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rgara515-my.sharepoint.com/personal/cesar_vergara_design/Documents/afinvest/"/>
    </mc:Choice>
  </mc:AlternateContent>
  <xr:revisionPtr revIDLastSave="38" documentId="13_ncr:1_{F724CE26-4B05-4A2F-9AA6-A1CF7D642709}" xr6:coauthVersionLast="47" xr6:coauthVersionMax="47" xr10:uidLastSave="{2AD64C75-E740-744A-9EFD-BCCD87E7308A}"/>
  <bookViews>
    <workbookView xWindow="0" yWindow="660" windowWidth="34560" windowHeight="19980" activeTab="4" xr2:uid="{CB8836CC-F2A4-4433-BE61-BDB9DA00BEAA}"/>
  </bookViews>
  <sheets>
    <sheet name="Resumo" sheetId="11" r:id="rId1"/>
    <sheet name="DRE Gerencial" sheetId="3" r:id="rId2"/>
    <sheet name="Resumo da Carteira" sheetId="4" r:id="rId3"/>
    <sheet name="Valor Patrimonial" sheetId="1" r:id="rId4"/>
    <sheet name="Cotista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14" i="3" l="1"/>
  <c r="BG7" i="2"/>
  <c r="BG5" i="2"/>
  <c r="BG10" i="1"/>
  <c r="BG7" i="1"/>
  <c r="BJ17" i="3"/>
  <c r="BJ18" i="3" s="1"/>
  <c r="BJ6" i="3"/>
  <c r="BJ14" i="3" s="1"/>
  <c r="BJ16" i="3" s="1"/>
  <c r="BF7" i="2" l="1"/>
  <c r="BF10" i="1"/>
  <c r="BF7" i="1"/>
  <c r="BE10" i="1"/>
  <c r="BE7" i="1"/>
  <c r="BE7" i="2"/>
  <c r="BI17" i="3"/>
  <c r="BI18" i="3" s="1"/>
  <c r="BI6" i="3"/>
  <c r="BI14" i="3" s="1"/>
  <c r="BI16" i="3" l="1"/>
  <c r="BD7" i="2" l="1"/>
  <c r="BD10" i="1"/>
  <c r="BD7" i="1"/>
  <c r="BH17" i="3"/>
  <c r="BH18" i="3" s="1"/>
  <c r="BH6" i="3"/>
  <c r="BH14" i="3" s="1"/>
  <c r="BH16" i="3" s="1"/>
  <c r="BC7" i="2" l="1"/>
  <c r="BC10" i="1"/>
  <c r="BC7" i="1"/>
  <c r="BG17" i="3"/>
  <c r="BG18" i="3" s="1"/>
  <c r="BG6" i="3"/>
  <c r="BG14" i="3" s="1"/>
  <c r="BG16" i="3" s="1"/>
  <c r="BF17" i="3"/>
  <c r="BF18" i="3" s="1"/>
  <c r="BF6" i="3"/>
  <c r="BF14" i="3" s="1"/>
  <c r="BF16" i="3" s="1"/>
  <c r="BB7" i="1"/>
  <c r="BB10" i="1"/>
  <c r="BB7" i="2"/>
  <c r="BE17" i="3"/>
  <c r="BE18" i="3" s="1"/>
  <c r="BE6" i="3"/>
  <c r="BE14" i="3" s="1"/>
  <c r="BE16" i="3" s="1"/>
  <c r="BA10" i="1" l="1"/>
  <c r="BA7" i="1"/>
  <c r="BA7" i="2"/>
  <c r="BD6" i="3"/>
  <c r="BD14" i="3" s="1"/>
  <c r="BD16" i="3" s="1"/>
  <c r="BD17" i="3"/>
  <c r="BD18" i="3" s="1"/>
  <c r="AZ7" i="2"/>
  <c r="AZ10" i="1"/>
  <c r="AZ7" i="1"/>
  <c r="AY7" i="2" l="1"/>
  <c r="AY10" i="1"/>
  <c r="AY7" i="1"/>
  <c r="BC17" i="3"/>
  <c r="BC18" i="3" s="1"/>
  <c r="BC6" i="3"/>
  <c r="BC14" i="3" s="1"/>
  <c r="BC16" i="3" s="1"/>
  <c r="AX7" i="2" l="1"/>
  <c r="AW7" i="2"/>
  <c r="AX10" i="1"/>
  <c r="AW10" i="1"/>
  <c r="AX7" i="1"/>
  <c r="AW7" i="1"/>
  <c r="BB17" i="3" l="1"/>
  <c r="BB18" i="3" s="1"/>
  <c r="BB6" i="3"/>
  <c r="BB14" i="3" s="1"/>
  <c r="BB16" i="3" s="1"/>
  <c r="BA6" i="3" l="1"/>
  <c r="BA14" i="3" s="1"/>
  <c r="BA16" i="3" s="1"/>
  <c r="BA17" i="3"/>
  <c r="BA18" i="3"/>
  <c r="AV7" i="1" l="1"/>
  <c r="AV7" i="2" l="1"/>
  <c r="AV10" i="1" l="1"/>
  <c r="AZ17" i="3" l="1"/>
  <c r="AZ18" i="3" s="1"/>
  <c r="AZ6" i="3"/>
  <c r="AZ14" i="3" s="1"/>
  <c r="AZ16" i="3" l="1"/>
  <c r="AX17" i="3"/>
  <c r="AX18" i="3" s="1"/>
  <c r="V7" i="2" l="1"/>
  <c r="AU7" i="2" l="1"/>
  <c r="AU10" i="1"/>
  <c r="AU7" i="1"/>
  <c r="AT7" i="2"/>
  <c r="AT10" i="1" l="1"/>
  <c r="AT7" i="1"/>
  <c r="AW17" i="3"/>
  <c r="AW18" i="3" s="1"/>
  <c r="AS7" i="2" l="1"/>
  <c r="AS10" i="1"/>
  <c r="AS7" i="1"/>
  <c r="AV17" i="3" l="1"/>
  <c r="AV18" i="3" s="1"/>
  <c r="AR7" i="2"/>
  <c r="AR10" i="1"/>
  <c r="AR7" i="1"/>
  <c r="AU17" i="3"/>
  <c r="AU18" i="3" s="1"/>
  <c r="AP5" i="2"/>
  <c r="AQ5" i="2" s="1"/>
  <c r="AR5" i="2" s="1"/>
  <c r="AS5" i="2" s="1"/>
  <c r="AT5" i="2" s="1"/>
  <c r="AU5" i="2" s="1"/>
  <c r="AV5" i="2" s="1"/>
  <c r="AW5" i="2" s="1"/>
  <c r="AX5" i="2" s="1"/>
  <c r="AY5" i="2" s="1"/>
  <c r="AZ5" i="2" s="1"/>
  <c r="BA5" i="2" s="1"/>
  <c r="BB5" i="2" s="1"/>
  <c r="BC5" i="2" s="1"/>
  <c r="BD5" i="2" s="1"/>
  <c r="BE5" i="2" s="1"/>
  <c r="BF5" i="2" s="1"/>
  <c r="AQ7" i="2" l="1"/>
  <c r="AP7" i="2"/>
  <c r="AQ7" i="1"/>
  <c r="AQ10" i="1"/>
  <c r="AT17" i="3"/>
  <c r="AT18" i="3" s="1"/>
  <c r="AS17" i="3"/>
  <c r="AS18" i="3" s="1"/>
  <c r="AP10" i="1" l="1"/>
  <c r="AP7" i="1"/>
  <c r="AP5" i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BF5" i="1" s="1"/>
  <c r="BG5" i="1" s="1"/>
  <c r="Q18" i="3" l="1"/>
  <c r="P18" i="3"/>
  <c r="O18" i="3"/>
  <c r="K18" i="3"/>
  <c r="J18" i="3"/>
  <c r="I18" i="3"/>
  <c r="H18" i="3"/>
  <c r="G18" i="3"/>
  <c r="E18" i="3"/>
  <c r="D18" i="3"/>
  <c r="C18" i="3"/>
  <c r="AR17" i="3"/>
  <c r="AR18" i="3" s="1"/>
  <c r="AQ17" i="3"/>
  <c r="AQ18" i="3" s="1"/>
  <c r="AP17" i="3"/>
  <c r="AP18" i="3" s="1"/>
  <c r="AO17" i="3"/>
  <c r="AO18" i="3" s="1"/>
  <c r="AN17" i="3"/>
  <c r="AN18" i="3" s="1"/>
  <c r="AM17" i="3"/>
  <c r="AM18" i="3" s="1"/>
  <c r="AK17" i="3"/>
  <c r="AK18" i="3" s="1"/>
  <c r="AJ17" i="3"/>
  <c r="AJ18" i="3" s="1"/>
  <c r="AI17" i="3"/>
  <c r="AI18" i="3" s="1"/>
  <c r="AH17" i="3"/>
  <c r="AH18" i="3" s="1"/>
  <c r="AF17" i="3"/>
  <c r="AE17" i="3"/>
  <c r="AE18" i="3" s="1"/>
  <c r="AD17" i="3"/>
  <c r="AD18" i="3" s="1"/>
  <c r="AC17" i="3"/>
  <c r="AC18" i="3" s="1"/>
  <c r="AB17" i="3"/>
  <c r="AB18" i="3" s="1"/>
  <c r="AA17" i="3"/>
  <c r="AA18" i="3" s="1"/>
  <c r="Z17" i="3"/>
  <c r="Z18" i="3" s="1"/>
  <c r="X17" i="3"/>
  <c r="X18" i="3" s="1"/>
  <c r="W17" i="3"/>
  <c r="W18" i="3" s="1"/>
  <c r="V17" i="3"/>
  <c r="V18" i="3" s="1"/>
  <c r="U17" i="3"/>
  <c r="U18" i="3" s="1"/>
  <c r="T17" i="3"/>
  <c r="S17" i="3"/>
  <c r="S18" i="3" s="1"/>
  <c r="R17" i="3"/>
  <c r="R18" i="3" s="1"/>
  <c r="N17" i="3"/>
  <c r="N18" i="3" s="1"/>
  <c r="M17" i="3"/>
  <c r="F17" i="3"/>
  <c r="AK16" i="3"/>
  <c r="AF16" i="3"/>
  <c r="W11" i="3"/>
  <c r="V11" i="3"/>
  <c r="U11" i="3"/>
  <c r="T11" i="3"/>
  <c r="T6" i="3" s="1"/>
  <c r="V10" i="3"/>
  <c r="U10" i="3"/>
  <c r="W9" i="3"/>
  <c r="V9" i="3"/>
  <c r="U9" i="3"/>
  <c r="AX6" i="3"/>
  <c r="AX14" i="3" s="1"/>
  <c r="AW6" i="3"/>
  <c r="AW14" i="3" s="1"/>
  <c r="AW16" i="3" s="1"/>
  <c r="AV6" i="3"/>
  <c r="AV14" i="3" s="1"/>
  <c r="AV16" i="3" s="1"/>
  <c r="AU6" i="3"/>
  <c r="AU14" i="3" s="1"/>
  <c r="AU16" i="3" s="1"/>
  <c r="AT6" i="3"/>
  <c r="AT14" i="3" s="1"/>
  <c r="AT16" i="3" s="1"/>
  <c r="AS6" i="3"/>
  <c r="AS14" i="3" s="1"/>
  <c r="AS16" i="3" s="1"/>
  <c r="AR6" i="3"/>
  <c r="AQ6" i="3"/>
  <c r="AQ14" i="3" s="1"/>
  <c r="AQ16" i="3" s="1"/>
  <c r="AP6" i="3"/>
  <c r="AO6" i="3"/>
  <c r="AN6" i="3"/>
  <c r="AN14" i="3" s="1"/>
  <c r="AN16" i="3" s="1"/>
  <c r="AM6" i="3"/>
  <c r="AK6" i="3"/>
  <c r="AI6" i="3"/>
  <c r="AI14" i="3" s="1"/>
  <c r="AI16" i="3" s="1"/>
  <c r="AH6" i="3"/>
  <c r="AH14" i="3" s="1"/>
  <c r="AG6" i="3"/>
  <c r="AF6" i="3"/>
  <c r="AE6" i="3"/>
  <c r="AC6" i="3"/>
  <c r="AC14" i="3" s="1"/>
  <c r="AC16" i="3" s="1"/>
  <c r="AB6" i="3"/>
  <c r="AB14" i="3" s="1"/>
  <c r="AB16" i="3" s="1"/>
  <c r="Z6" i="3"/>
  <c r="X6" i="3"/>
  <c r="X14" i="3" s="1"/>
  <c r="X16" i="3" s="1"/>
  <c r="S6" i="3"/>
  <c r="R6" i="3"/>
  <c r="R14" i="3" s="1"/>
  <c r="R16" i="3" s="1"/>
  <c r="Q6" i="3"/>
  <c r="Q14" i="3" s="1"/>
  <c r="Q16" i="3" s="1"/>
  <c r="P6" i="3"/>
  <c r="O6" i="3"/>
  <c r="N6" i="3"/>
  <c r="M6" i="3"/>
  <c r="K6" i="3"/>
  <c r="J6" i="3"/>
  <c r="J14" i="3" s="1"/>
  <c r="J16" i="3" s="1"/>
  <c r="I6" i="3"/>
  <c r="I14" i="3" s="1"/>
  <c r="I16" i="3" s="1"/>
  <c r="H6" i="3"/>
  <c r="H14" i="3" s="1"/>
  <c r="H16" i="3" s="1"/>
  <c r="G6" i="3"/>
  <c r="G14" i="3" s="1"/>
  <c r="G16" i="3" s="1"/>
  <c r="F6" i="3"/>
  <c r="E6" i="3"/>
  <c r="D6" i="3"/>
  <c r="C6" i="3"/>
  <c r="C14" i="3" s="1"/>
  <c r="AX16" i="3" l="1"/>
  <c r="M18" i="3"/>
  <c r="AF18" i="3"/>
  <c r="AJ6" i="3"/>
  <c r="AJ14" i="3" s="1"/>
  <c r="AJ16" i="3" s="1"/>
  <c r="U6" i="3"/>
  <c r="U14" i="3" s="1"/>
  <c r="U16" i="3" s="1"/>
  <c r="W6" i="3"/>
  <c r="W14" i="3" s="1"/>
  <c r="W16" i="3" s="1"/>
  <c r="E14" i="3"/>
  <c r="E16" i="3" s="1"/>
  <c r="V6" i="3"/>
  <c r="V14" i="3" s="1"/>
  <c r="V16" i="3" s="1"/>
  <c r="AD6" i="3"/>
  <c r="AD14" i="3" s="1"/>
  <c r="AD16" i="3" s="1"/>
  <c r="K14" i="3"/>
  <c r="K16" i="3" s="1"/>
  <c r="AO14" i="3"/>
  <c r="AO16" i="3" s="1"/>
  <c r="D14" i="3"/>
  <c r="D16" i="3" s="1"/>
  <c r="AA6" i="3"/>
  <c r="AA14" i="3" s="1"/>
  <c r="F18" i="3"/>
  <c r="O14" i="3"/>
  <c r="O16" i="3" s="1"/>
  <c r="AR14" i="3"/>
  <c r="AR16" i="3" s="1"/>
  <c r="Z14" i="3"/>
  <c r="Z16" i="3" s="1"/>
  <c r="P14" i="3"/>
  <c r="P16" i="3" s="1"/>
  <c r="N14" i="3"/>
  <c r="N16" i="3" s="1"/>
  <c r="AE14" i="3"/>
  <c r="AE16" i="3" s="1"/>
  <c r="T14" i="3"/>
  <c r="T16" i="3" s="1"/>
  <c r="C19" i="3"/>
  <c r="C16" i="3"/>
  <c r="AH16" i="3"/>
  <c r="F14" i="3"/>
  <c r="S14" i="3"/>
  <c r="M14" i="3"/>
  <c r="AM14" i="3"/>
  <c r="AP14" i="3" l="1"/>
  <c r="AP16" i="3" s="1"/>
  <c r="AA16" i="3"/>
  <c r="S16" i="3"/>
  <c r="F16" i="3"/>
  <c r="AM16" i="3"/>
  <c r="M16" i="3"/>
  <c r="C20" i="3"/>
  <c r="D19" i="3"/>
  <c r="D20" i="3" l="1"/>
  <c r="E19" i="3"/>
  <c r="E20" i="3" l="1"/>
  <c r="F19" i="3"/>
  <c r="G19" i="3"/>
  <c r="F20" i="3" l="1"/>
  <c r="H19" i="3"/>
  <c r="G20" i="3"/>
  <c r="H20" i="3" l="1"/>
  <c r="I19" i="3"/>
  <c r="I20" i="3" l="1"/>
  <c r="J19" i="3"/>
  <c r="J20" i="3" l="1"/>
  <c r="K19" i="3"/>
  <c r="M19" i="3" s="1"/>
  <c r="N19" i="3" l="1"/>
  <c r="M20" i="3"/>
  <c r="K20" i="3"/>
  <c r="N20" i="3" l="1"/>
  <c r="O19" i="3"/>
  <c r="P19" i="3" l="1"/>
  <c r="O20" i="3"/>
  <c r="Q19" i="3" l="1"/>
  <c r="P20" i="3"/>
  <c r="Q20" i="3" l="1"/>
  <c r="R19" i="3"/>
  <c r="R20" i="3" l="1"/>
  <c r="S19" i="3"/>
  <c r="T19" i="3" l="1"/>
  <c r="S20" i="3"/>
  <c r="U19" i="3" l="1"/>
  <c r="T20" i="3"/>
  <c r="U20" i="3" l="1"/>
  <c r="V19" i="3"/>
  <c r="V20" i="3" l="1"/>
  <c r="W19" i="3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D7" i="2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D7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C12" i="1"/>
  <c r="W20" i="3" l="1"/>
  <c r="X19" i="3"/>
  <c r="Z19" i="3" l="1"/>
  <c r="X20" i="3"/>
  <c r="Z20" i="3" l="1"/>
  <c r="AA19" i="3"/>
  <c r="AB19" i="3" l="1"/>
  <c r="AA20" i="3"/>
  <c r="AC19" i="3" l="1"/>
  <c r="AB20" i="3"/>
  <c r="AD19" i="3" l="1"/>
  <c r="AC20" i="3"/>
  <c r="AD20" i="3" l="1"/>
  <c r="AE19" i="3"/>
  <c r="AF19" i="3" l="1"/>
  <c r="AE20" i="3"/>
  <c r="AG19" i="3" l="1"/>
  <c r="AH19" i="3" s="1"/>
  <c r="AF20" i="3"/>
  <c r="AI19" i="3" l="1"/>
  <c r="AH20" i="3"/>
  <c r="AJ19" i="3" l="1"/>
  <c r="AK19" i="3" s="1"/>
  <c r="AM19" i="3" s="1"/>
  <c r="AN19" i="3" s="1"/>
  <c r="AO19" i="3" s="1"/>
  <c r="AP19" i="3" s="1"/>
  <c r="AQ19" i="3" s="1"/>
  <c r="AR19" i="3" s="1"/>
  <c r="AS19" i="3" s="1"/>
  <c r="AI20" i="3"/>
  <c r="AT19" i="3" l="1"/>
  <c r="AU19" i="3" s="1"/>
  <c r="AJ20" i="3"/>
  <c r="AU20" i="3" l="1"/>
  <c r="AV19" i="3"/>
  <c r="AK20" i="3"/>
  <c r="AV20" i="3" l="1"/>
  <c r="AW19" i="3"/>
  <c r="AX19" i="3" s="1"/>
  <c r="AZ19" i="3" s="1"/>
  <c r="AM20" i="3"/>
  <c r="BA19" i="3" l="1"/>
  <c r="AZ20" i="3"/>
  <c r="AW20" i="3"/>
  <c r="AX20" i="3"/>
  <c r="AN20" i="3"/>
  <c r="BB19" i="3" l="1"/>
  <c r="BA20" i="3"/>
  <c r="AO20" i="3"/>
  <c r="BB20" i="3" l="1"/>
  <c r="BC19" i="3"/>
  <c r="AP20" i="3"/>
  <c r="BC20" i="3" l="1"/>
  <c r="BD19" i="3"/>
  <c r="AQ20" i="3"/>
  <c r="BD20" i="3" l="1"/>
  <c r="BE19" i="3"/>
  <c r="AS20" i="3"/>
  <c r="AT20" i="3"/>
  <c r="AR20" i="3"/>
  <c r="BE20" i="3" l="1"/>
  <c r="BF19" i="3"/>
  <c r="BF20" i="3" l="1"/>
  <c r="BG19" i="3"/>
  <c r="BG20" i="3" l="1"/>
  <c r="BH19" i="3"/>
  <c r="BH20" i="3" l="1"/>
  <c r="BI19" i="3"/>
  <c r="BI20" i="3" l="1"/>
  <c r="BJ19" i="3"/>
  <c r="BJ20" i="3" s="1"/>
</calcChain>
</file>

<file path=xl/sharedStrings.xml><?xml version="1.0" encoding="utf-8"?>
<sst xmlns="http://schemas.openxmlformats.org/spreadsheetml/2006/main" count="831" uniqueCount="290">
  <si>
    <t>Cota Patrimonial</t>
  </si>
  <si>
    <t>Patrimônio Líquido</t>
  </si>
  <si>
    <t># cotas</t>
  </si>
  <si>
    <t>-</t>
  </si>
  <si>
    <t>Cotistas</t>
  </si>
  <si>
    <t>DRE Caixa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</si>
  <si>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</si>
  <si>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</si>
  <si>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</si>
  <si>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</si>
  <si>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</si>
  <si>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</si>
  <si>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</si>
  <si>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</si>
  <si>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</si>
  <si>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Janeiro</t>
  </si>
  <si>
    <t>Fevereiro</t>
  </si>
  <si>
    <t>Março</t>
  </si>
  <si>
    <t>Receitas</t>
  </si>
  <si>
    <t>Juros</t>
  </si>
  <si>
    <t>Correção Monetária</t>
  </si>
  <si>
    <t>Negociação CRI</t>
  </si>
  <si>
    <t>Negociação FII</t>
  </si>
  <si>
    <t>Rendimentos de Fundos Imobiliários</t>
  </si>
  <si>
    <t>Renda Fixa</t>
  </si>
  <si>
    <t>Despesas</t>
  </si>
  <si>
    <t>Resultado</t>
  </si>
  <si>
    <t>Cotas</t>
  </si>
  <si>
    <t>Resultado/Cota</t>
  </si>
  <si>
    <t>Rendimento</t>
  </si>
  <si>
    <t>Rendimento/Cota</t>
  </si>
  <si>
    <t>Resultado Acumulado</t>
  </si>
  <si>
    <t>Resultado Acumulado/Cota</t>
  </si>
  <si>
    <t>Devedor</t>
  </si>
  <si>
    <t>Segmento</t>
  </si>
  <si>
    <t>Tipo de Risco</t>
  </si>
  <si>
    <t>Código</t>
  </si>
  <si>
    <t>Série</t>
  </si>
  <si>
    <t>Emissor</t>
  </si>
  <si>
    <t>Indexador</t>
  </si>
  <si>
    <t>Spread</t>
  </si>
  <si>
    <t>Base Indexador</t>
  </si>
  <si>
    <t>Vencimento</t>
  </si>
  <si>
    <t>Risco</t>
  </si>
  <si>
    <t>% da Carteira</t>
  </si>
  <si>
    <t>Valor</t>
  </si>
  <si>
    <t>Duration</t>
  </si>
  <si>
    <t>Incorporação</t>
  </si>
  <si>
    <t>Pulverizado</t>
  </si>
  <si>
    <t>Única</t>
  </si>
  <si>
    <t>High Yield</t>
  </si>
  <si>
    <t>UFV Jacutinga</t>
  </si>
  <si>
    <t>Energia</t>
  </si>
  <si>
    <t>Contratual</t>
  </si>
  <si>
    <t>24A1301841</t>
  </si>
  <si>
    <t>Opea</t>
  </si>
  <si>
    <t>Shopping Center</t>
  </si>
  <si>
    <t>Corporativo</t>
  </si>
  <si>
    <t>High Grade</t>
  </si>
  <si>
    <t>Genial Malls</t>
  </si>
  <si>
    <t>21L0736590</t>
  </si>
  <si>
    <t>Sênior</t>
  </si>
  <si>
    <t xml:space="preserve">VISC Campinas Shopping </t>
  </si>
  <si>
    <t>22K1362572</t>
  </si>
  <si>
    <t>Virgo</t>
  </si>
  <si>
    <t>Oba</t>
  </si>
  <si>
    <t>Varejo Essencial</t>
  </si>
  <si>
    <t>21F0950228</t>
  </si>
  <si>
    <t>SPL Engenharia II</t>
  </si>
  <si>
    <t>24C1978007</t>
  </si>
  <si>
    <t>TRX Leroy Merlin</t>
  </si>
  <si>
    <t>Varejo</t>
  </si>
  <si>
    <t>24B1276268</t>
  </si>
  <si>
    <t>BariSec</t>
  </si>
  <si>
    <t>Socicam</t>
  </si>
  <si>
    <t>Transporte</t>
  </si>
  <si>
    <t>21G0707741</t>
  </si>
  <si>
    <t>REIT</t>
  </si>
  <si>
    <t xml:space="preserve">Morada </t>
  </si>
  <si>
    <t>Loteamento</t>
  </si>
  <si>
    <t>22L1270385</t>
  </si>
  <si>
    <t>Shopping Metrô Itaquera</t>
  </si>
  <si>
    <t>24C1526928</t>
  </si>
  <si>
    <t>True</t>
  </si>
  <si>
    <t>Assaí</t>
  </si>
  <si>
    <t>24D2960594</t>
  </si>
  <si>
    <t>21F0950009</t>
  </si>
  <si>
    <t>Grupo Mateus II</t>
  </si>
  <si>
    <t>24D0480929</t>
  </si>
  <si>
    <t>Grupo Comporte</t>
  </si>
  <si>
    <t>Logístico</t>
  </si>
  <si>
    <t>23I1270600</t>
  </si>
  <si>
    <t>Galleria Bank V</t>
  </si>
  <si>
    <t>Home Equity</t>
  </si>
  <si>
    <t>23L0012204</t>
  </si>
  <si>
    <t>Provincia</t>
  </si>
  <si>
    <t>GGR Covepi</t>
  </si>
  <si>
    <t>22B0945873</t>
  </si>
  <si>
    <t>Brookfield </t>
  </si>
  <si>
    <t>Lajes Corporativas</t>
  </si>
  <si>
    <t>22G0282285</t>
  </si>
  <si>
    <t>Júnior</t>
  </si>
  <si>
    <t>Copagril</t>
  </si>
  <si>
    <t>Agronegócio</t>
  </si>
  <si>
    <t>21F0968888</t>
  </si>
  <si>
    <t>Alphaville</t>
  </si>
  <si>
    <t>21G0856704</t>
  </si>
  <si>
    <t>TRX Obramax</t>
  </si>
  <si>
    <t>24B1276213</t>
  </si>
  <si>
    <t>Direcional</t>
  </si>
  <si>
    <t>21C0777936</t>
  </si>
  <si>
    <t>Tenda Pós</t>
  </si>
  <si>
    <t>23F0011202</t>
  </si>
  <si>
    <t>Zavit Real Estate Fund</t>
  </si>
  <si>
    <t>23F1447606</t>
  </si>
  <si>
    <t>FATN Athena</t>
  </si>
  <si>
    <t>22H1630624</t>
  </si>
  <si>
    <t>Casa Shopping</t>
  </si>
  <si>
    <t>22L1125977</t>
  </si>
  <si>
    <t>Grupo Mateus</t>
  </si>
  <si>
    <t>22H1631360</t>
  </si>
  <si>
    <t>MRV IX</t>
  </si>
  <si>
    <t>23F1240696</t>
  </si>
  <si>
    <t>21L0730011</t>
  </si>
  <si>
    <t>24D2960647</t>
  </si>
  <si>
    <t>Celeste</t>
  </si>
  <si>
    <t>24E2267881</t>
  </si>
  <si>
    <t>CashMe II</t>
  </si>
  <si>
    <t>24A1781654</t>
  </si>
  <si>
    <t>Galleria Bank VI</t>
  </si>
  <si>
    <t>24B1404723</t>
  </si>
  <si>
    <t>HSI Bemol</t>
  </si>
  <si>
    <t>22J0978863</t>
  </si>
  <si>
    <t xml:space="preserve">Urba </t>
  </si>
  <si>
    <t>23I1932138</t>
  </si>
  <si>
    <t>Mezanino</t>
  </si>
  <si>
    <t>Embraed</t>
  </si>
  <si>
    <t>23E1295288</t>
  </si>
  <si>
    <t>Canal</t>
  </si>
  <si>
    <t>CashMe</t>
  </si>
  <si>
    <t>22H1697882</t>
  </si>
  <si>
    <t>GPA</t>
  </si>
  <si>
    <t>20K0010253</t>
  </si>
  <si>
    <t>São Carlos</t>
  </si>
  <si>
    <t>19F0923004</t>
  </si>
  <si>
    <t>Tenda Pré</t>
  </si>
  <si>
    <t>23F0010802</t>
  </si>
  <si>
    <t>CK</t>
  </si>
  <si>
    <t>21H0748795</t>
  </si>
  <si>
    <t>Nação</t>
  </si>
  <si>
    <t>21C0708963</t>
  </si>
  <si>
    <t>21H0748781</t>
  </si>
  <si>
    <t>23L1279637</t>
  </si>
  <si>
    <t>Creditas</t>
  </si>
  <si>
    <t>20J0837185</t>
  </si>
  <si>
    <t>Vert</t>
  </si>
  <si>
    <t>3Z Realty</t>
  </si>
  <si>
    <t>21I0683349</t>
  </si>
  <si>
    <t>20L0687041</t>
  </si>
  <si>
    <t>Vitacon II</t>
  </si>
  <si>
    <t>19I0739560</t>
  </si>
  <si>
    <t>20L0687133</t>
  </si>
  <si>
    <t>Rede D'or</t>
  </si>
  <si>
    <t>Hospital</t>
  </si>
  <si>
    <t>19H0235501</t>
  </si>
  <si>
    <t>variação mensal (em %)</t>
  </si>
  <si>
    <t>Instrumento</t>
  </si>
  <si>
    <t>Securitizadora</t>
  </si>
  <si>
    <t>CRI</t>
  </si>
  <si>
    <t>Caixa</t>
  </si>
  <si>
    <t>Por Risco</t>
  </si>
  <si>
    <t>Resumo</t>
  </si>
  <si>
    <t>DRE Gerencial</t>
  </si>
  <si>
    <t>Resumo da Carteira</t>
  </si>
  <si>
    <t>Valor Patrimonial</t>
  </si>
  <si>
    <t>Grupo Aldo</t>
  </si>
  <si>
    <t>Óleo e Gás</t>
  </si>
  <si>
    <t>24H0031235</t>
  </si>
  <si>
    <t>24C1980162</t>
  </si>
  <si>
    <t>Balaroti</t>
  </si>
  <si>
    <t>19J0133907</t>
  </si>
  <si>
    <t>RNI</t>
  </si>
  <si>
    <t>19B0177968</t>
  </si>
  <si>
    <t>única</t>
  </si>
  <si>
    <t>mezanino</t>
  </si>
  <si>
    <t>sênior</t>
  </si>
  <si>
    <t>júnior</t>
  </si>
  <si>
    <t xml:space="preserve"> </t>
  </si>
  <si>
    <t>Ed. Rochaverá</t>
  </si>
  <si>
    <t>BIM Distribuidora</t>
  </si>
  <si>
    <t>24A2983450</t>
  </si>
  <si>
    <t>24J3510318</t>
  </si>
  <si>
    <t>1ª/215ª</t>
  </si>
  <si>
    <t>1ª/470ª</t>
  </si>
  <si>
    <t>2ª/65ª</t>
  </si>
  <si>
    <t>4ª/315ª</t>
  </si>
  <si>
    <t>3ª/27ª</t>
  </si>
  <si>
    <t>2ª/22ª</t>
  </si>
  <si>
    <t>1ª/264ª</t>
  </si>
  <si>
    <t>1ª/163ª</t>
  </si>
  <si>
    <t>1ª/158ª</t>
  </si>
  <si>
    <t>1ª/86ª</t>
  </si>
  <si>
    <t>1ª/286ª</t>
  </si>
  <si>
    <t>3ª/24ª</t>
  </si>
  <si>
    <t>1ª/208ª</t>
  </si>
  <si>
    <t>1ª/126ª</t>
  </si>
  <si>
    <t>4ª/279ª</t>
  </si>
  <si>
    <t>1ª/33ª</t>
  </si>
  <si>
    <t>4ª/39ª</t>
  </si>
  <si>
    <t>1ª/478ª</t>
  </si>
  <si>
    <t>1ª/219ª</t>
  </si>
  <si>
    <t>1ª/277ª</t>
  </si>
  <si>
    <t>4ª/45ª</t>
  </si>
  <si>
    <t>1ª/27ª</t>
  </si>
  <si>
    <t>1ª/371ª</t>
  </si>
  <si>
    <t>1ª/46ª</t>
  </si>
  <si>
    <t>3ª/65ª</t>
  </si>
  <si>
    <t>157ª/1ª</t>
  </si>
  <si>
    <t>4ª/238ª</t>
  </si>
  <si>
    <t>1ª/84ª</t>
  </si>
  <si>
    <t>178ª/1ª</t>
  </si>
  <si>
    <t>1ª/38ª</t>
  </si>
  <si>
    <t>2ª/264ª</t>
  </si>
  <si>
    <t>1ª/60ª</t>
  </si>
  <si>
    <t>4ª/24ª</t>
  </si>
  <si>
    <t>1ª/40ª</t>
  </si>
  <si>
    <t>1ª/55ª</t>
  </si>
  <si>
    <t>43ª/1ª</t>
  </si>
  <si>
    <t>1ª/484ª</t>
  </si>
  <si>
    <t>1ª/56ª</t>
  </si>
  <si>
    <t>1ª/216ª</t>
  </si>
  <si>
    <t>2ª/204ª</t>
  </si>
  <si>
    <t>1ª/296ª</t>
  </si>
  <si>
    <t>151ª/1ª</t>
  </si>
  <si>
    <t>1ª/432ª</t>
  </si>
  <si>
    <t>4ª/219ª</t>
  </si>
  <si>
    <t>1ª/431ª</t>
  </si>
  <si>
    <t>1ª/31ª</t>
  </si>
  <si>
    <t>1ª/200ª</t>
  </si>
  <si>
    <t>1ª/345ª</t>
  </si>
  <si>
    <t>1ª/435ª</t>
  </si>
  <si>
    <t>4ª/47ª</t>
  </si>
  <si>
    <t>22L1198360</t>
  </si>
  <si>
    <t>2ª/108ª</t>
  </si>
  <si>
    <t>1ª/346ª</t>
  </si>
  <si>
    <t>1ª/214ª</t>
  </si>
  <si>
    <t>Tenda II</t>
  </si>
  <si>
    <t>24K1682437</t>
  </si>
  <si>
    <t>3ª/349ª</t>
  </si>
  <si>
    <t>PRÉ</t>
  </si>
  <si>
    <t>Emissão/Série</t>
  </si>
  <si>
    <t>Bem Brasil</t>
  </si>
  <si>
    <t>21I0605705</t>
  </si>
  <si>
    <t>1ª/58</t>
  </si>
  <si>
    <t>Assaí HGRU</t>
  </si>
  <si>
    <t xml:space="preserve">FGR </t>
  </si>
  <si>
    <t xml:space="preserve">MRV </t>
  </si>
  <si>
    <t>19L0867734</t>
  </si>
  <si>
    <t>21H0748748</t>
  </si>
  <si>
    <t>IPCA</t>
  </si>
  <si>
    <t>CDI</t>
  </si>
  <si>
    <t>1ª/281ª</t>
  </si>
  <si>
    <t>1ª/430ª</t>
  </si>
  <si>
    <t>20/07/2026</t>
  </si>
  <si>
    <t>Muffato</t>
  </si>
  <si>
    <t>Tibério</t>
  </si>
  <si>
    <t>25F2703942</t>
  </si>
  <si>
    <t>Artesanal</t>
  </si>
  <si>
    <t>1ª/2ª</t>
  </si>
  <si>
    <t>20K0777893</t>
  </si>
  <si>
    <t>1ª/330ª</t>
  </si>
  <si>
    <t>22L1198359</t>
  </si>
  <si>
    <t>1ª/108ª</t>
  </si>
  <si>
    <t>Cahima - Direcional</t>
  </si>
  <si>
    <t>TRX Mateus</t>
  </si>
  <si>
    <t>25J2486442</t>
  </si>
  <si>
    <t>1ª/527ª</t>
  </si>
  <si>
    <t>24L0003403</t>
  </si>
  <si>
    <t>22L1125928</t>
  </si>
  <si>
    <t>2ª/84ª</t>
  </si>
  <si>
    <t>#</t>
  </si>
  <si>
    <t>Creditas II</t>
  </si>
  <si>
    <t>20F0755566</t>
  </si>
  <si>
    <t>1ª/23ª</t>
  </si>
  <si>
    <t>JMD Hamoa</t>
  </si>
  <si>
    <t>25K1934018</t>
  </si>
  <si>
    <t>1ª/515ª</t>
  </si>
  <si>
    <t>GARE Atacadão</t>
  </si>
  <si>
    <t>24K2582816</t>
  </si>
  <si>
    <t>1ª/230ª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</si>
</sst>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#,##0;\(#,##0\);\-"/>
    <numFmt numFmtId="166" formatCode="0.00%;\(0.00%\);\-"/>
    <numFmt numFmtId="167" formatCode="_-* #,##0_-;\-* #,##0_-;_-* &quot;-&quot;??_-;_-@_-"/>
    <numFmt numFmtId="168" formatCode="_-&quot;R$&quot;\ * #,##0.0000_-;\-&quot;R$&quot;\ * #,##0.0000_-;_-&quot;R$&quot;\ * &quot;-&quot;??_-;_-@_-"/>
    <numFmt numFmtId="169" formatCode="_-&quot;R$&quot;\ * #,##0.0000_-;\-&quot;R$&quot;\ * #,##0.0000_-;_-&quot;R$&quot;\ * &quot;-&quot;????_-;_-@_-"/>
    <numFmt numFmtId="170" formatCode="_-* #,##0.0000_-;\-* #,##0.0000_-;_-* &quot;-&quot;??_-;_-@_-"/>
    <numFmt numFmtId="171" formatCode="0.0%"/>
    <numFmt numFmtId="172" formatCode="#,##0;\(#,##0\);&quot;-&quot;;@"/>
    <numFmt numFmtId="173" formatCode="[$-416]mmm\-yy;@"/>
    <numFmt numFmtId="174" formatCode="#,##0.0%;\(#,##0.0%\);\-"/>
    <numFmt numFmtId="175" formatCode="#,##0.00%;\(#,##0.00%\);\-"/>
    <numFmt numFmtId="176" formatCode="#,##0.00;\(#,##0.00\);&quot;-&quot;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color theme="1"/>
      <name val="Arial"/>
      <family val="2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1D437D"/>
      <name val="Inter Regular"/>
    </font>
    <font>
      <u/>
      <sz val="11"/>
      <color theme="10"/>
      <name val="Calibri"/>
      <family val="2"/>
      <scheme val="minor"/>
    </font>
    <font>
      <u/>
      <sz val="14"/>
      <color rgb="FF1D437D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D437D"/>
        <bgColor indexed="64"/>
      </patternFill>
    </fill>
    <fill>
      <patternFill patternType="solid">
        <fgColor rgb="FFE8ECF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</cellStyleXfs>
  <cellXfs count="92">
    <xf numFmtId="0" fontId="0" fillId="0" borderId="0" xfId="0"/>
    <xf numFmtId="0" fontId="5" fillId="0" borderId="0" xfId="0" applyFont="1"/>
    <xf numFmtId="17" fontId="4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  <xf numFmtId="166" fontId="5" fillId="0" borderId="0" xfId="0" applyNumberFormat="1" applyFont="1"/>
    <xf numFmtId="165" fontId="3" fillId="0" borderId="0" xfId="0" applyNumberFormat="1" applyFont="1"/>
    <xf numFmtId="44" fontId="0" fillId="0" borderId="0" xfId="2" applyFont="1" applyFill="1" applyBorder="1" applyAlignment="1">
      <alignment horizontal="center" vertical="center"/>
    </xf>
    <xf numFmtId="44" fontId="0" fillId="0" borderId="0" xfId="3" applyNumberFormat="1" applyFont="1" applyFill="1" applyBorder="1" applyAlignment="1">
      <alignment horizontal="center" vertical="center"/>
    </xf>
    <xf numFmtId="44" fontId="6" fillId="0" borderId="0" xfId="2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9" fontId="0" fillId="0" borderId="0" xfId="3" applyFont="1" applyAlignment="1">
      <alignment horizontal="center" vertical="center"/>
    </xf>
    <xf numFmtId="44" fontId="0" fillId="0" borderId="0" xfId="2" applyFont="1" applyFill="1" applyBorder="1" applyAlignment="1">
      <alignment vertical="center"/>
    </xf>
    <xf numFmtId="168" fontId="0" fillId="0" borderId="0" xfId="2" applyNumberFormat="1" applyFont="1"/>
    <xf numFmtId="44" fontId="0" fillId="0" borderId="0" xfId="2" applyFont="1"/>
    <xf numFmtId="0" fontId="6" fillId="0" borderId="0" xfId="2" applyNumberFormat="1" applyFont="1" applyFill="1" applyBorder="1" applyAlignment="1" applyProtection="1"/>
    <xf numFmtId="168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0" xfId="2" applyFont="1" applyAlignment="1">
      <alignment horizontal="center" vertical="center"/>
    </xf>
    <xf numFmtId="169" fontId="0" fillId="0" borderId="0" xfId="0" applyNumberFormat="1"/>
    <xf numFmtId="44" fontId="0" fillId="0" borderId="0" xfId="0" applyNumberFormat="1"/>
    <xf numFmtId="170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71" fontId="0" fillId="0" borderId="0" xfId="3" applyNumberFormat="1" applyFont="1"/>
    <xf numFmtId="164" fontId="0" fillId="0" borderId="0" xfId="0" applyNumberFormat="1"/>
    <xf numFmtId="165" fontId="0" fillId="0" borderId="0" xfId="0" applyNumberFormat="1" applyAlignment="1">
      <alignment horizontal="center"/>
    </xf>
    <xf numFmtId="165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3" fillId="2" borderId="0" xfId="0" applyFont="1" applyFill="1" applyAlignment="1">
      <alignment vertical="center"/>
    </xf>
    <xf numFmtId="44" fontId="3" fillId="2" borderId="0" xfId="2" applyFont="1" applyFill="1" applyBorder="1" applyAlignment="1">
      <alignment horizontal="center" vertical="center"/>
    </xf>
    <xf numFmtId="167" fontId="3" fillId="2" borderId="0" xfId="1" applyNumberFormat="1" applyFont="1" applyFill="1" applyBorder="1" applyAlignment="1">
      <alignment horizontal="center" vertical="center"/>
    </xf>
    <xf numFmtId="168" fontId="3" fillId="2" borderId="0" xfId="2" applyNumberFormat="1" applyFont="1" applyFill="1" applyBorder="1" applyAlignment="1">
      <alignment horizontal="center" vertical="center"/>
    </xf>
    <xf numFmtId="44" fontId="3" fillId="2" borderId="0" xfId="0" applyNumberFormat="1" applyFont="1" applyFill="1" applyAlignment="1">
      <alignment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2" fillId="0" borderId="0" xfId="0" applyFont="1" applyAlignment="1">
      <alignment horizontal="centerContinuous" vertical="center"/>
    </xf>
    <xf numFmtId="2" fontId="2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44" fontId="3" fillId="0" borderId="0" xfId="2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168" fontId="3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165" fontId="6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72" fontId="0" fillId="0" borderId="0" xfId="0" applyNumberFormat="1" applyAlignment="1">
      <alignment horizontal="center"/>
    </xf>
    <xf numFmtId="10" fontId="0" fillId="0" borderId="0" xfId="0" applyNumberFormat="1"/>
    <xf numFmtId="0" fontId="6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9" fontId="0" fillId="0" borderId="0" xfId="3" applyFont="1"/>
    <xf numFmtId="0" fontId="9" fillId="0" borderId="0" xfId="0" applyFont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10" fontId="0" fillId="0" borderId="0" xfId="3" applyNumberFormat="1" applyFont="1" applyAlignment="1">
      <alignment horizontal="center" vertical="center"/>
    </xf>
    <xf numFmtId="173" fontId="6" fillId="4" borderId="0" xfId="0" applyNumberFormat="1" applyFont="1" applyFill="1" applyAlignment="1">
      <alignment horizontal="center" vertical="center"/>
    </xf>
    <xf numFmtId="166" fontId="0" fillId="4" borderId="0" xfId="0" applyNumberFormat="1" applyFill="1" applyAlignment="1">
      <alignment horizontal="center"/>
    </xf>
    <xf numFmtId="174" fontId="0" fillId="0" borderId="0" xfId="0" applyNumberFormat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75" fontId="10" fillId="0" borderId="0" xfId="0" applyNumberFormat="1" applyFont="1" applyAlignment="1">
      <alignment horizontal="center"/>
    </xf>
    <xf numFmtId="44" fontId="3" fillId="5" borderId="0" xfId="2" applyFont="1" applyFill="1" applyBorder="1" applyAlignment="1">
      <alignment horizontal="center" vertical="center"/>
    </xf>
    <xf numFmtId="10" fontId="0" fillId="3" borderId="0" xfId="0" applyNumberFormat="1" applyFill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72" fontId="6" fillId="4" borderId="0" xfId="0" applyNumberFormat="1" applyFont="1" applyFill="1" applyAlignment="1">
      <alignment horizontal="center" vertical="center"/>
    </xf>
    <xf numFmtId="176" fontId="0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Border="1" applyAlignment="1">
      <alignment horizontal="center" vertical="center"/>
    </xf>
    <xf numFmtId="17" fontId="0" fillId="0" borderId="0" xfId="0" applyNumberFormat="1"/>
    <xf numFmtId="17" fontId="7" fillId="6" borderId="0" xfId="0" applyNumberFormat="1" applyFont="1" applyFill="1"/>
    <xf numFmtId="0" fontId="7" fillId="6" borderId="0" xfId="0" applyFont="1" applyFill="1"/>
    <xf numFmtId="0" fontId="8" fillId="7" borderId="0" xfId="0" applyFont="1" applyFill="1" applyBorder="1"/>
    <xf numFmtId="0" fontId="8" fillId="7" borderId="0" xfId="0" applyFont="1" applyFill="1" applyBorder="1" applyAlignment="1">
      <alignment horizontal="left" indent="1"/>
    </xf>
    <xf numFmtId="0" fontId="11" fillId="7" borderId="0" xfId="0" applyFont="1" applyFill="1" applyBorder="1"/>
    <xf numFmtId="0" fontId="13" fillId="7" borderId="0" xfId="5" applyFont="1" applyFill="1" applyBorder="1" applyAlignment="1">
      <alignment horizontal="left"/>
    </xf>
    <xf numFmtId="0" fontId="4" fillId="6" borderId="0" xfId="0" applyFont="1" applyFill="1" applyAlignment="1">
      <alignment horizontal="centerContinuous" vertical="center"/>
    </xf>
    <xf numFmtId="0" fontId="4" fillId="6" borderId="0" xfId="0" applyFont="1" applyFill="1" applyAlignment="1">
      <alignment horizontal="center" vertical="center"/>
    </xf>
    <xf numFmtId="17" fontId="4" fillId="6" borderId="0" xfId="0" applyNumberFormat="1" applyFont="1" applyFill="1" applyAlignment="1">
      <alignment horizontal="center"/>
    </xf>
    <xf numFmtId="49" fontId="4" fillId="6" borderId="0" xfId="0" applyNumberFormat="1" applyFont="1" applyFill="1" applyAlignment="1">
      <alignment horizontal="centerContinuous"/>
    </xf>
    <xf numFmtId="17" fontId="4" fillId="6" borderId="0" xfId="0" applyNumberFormat="1" applyFont="1" applyFill="1" applyAlignment="1">
      <alignment horizontal="centerContinuous"/>
    </xf>
    <xf numFmtId="0" fontId="4" fillId="6" borderId="0" xfId="0" applyFont="1" applyFill="1" applyAlignment="1">
      <alignment vertical="center"/>
    </xf>
    <xf numFmtId="17" fontId="4" fillId="6" borderId="0" xfId="0" applyNumberFormat="1" applyFont="1" applyFill="1" applyAlignment="1">
      <alignment horizontal="left"/>
    </xf>
  </cellXfs>
  <cellStyles count="6">
    <cellStyle name="Hiperlink" xfId="5" builtinId="8"/>
    <cellStyle name="Moeda" xfId="2" builtinId="4"/>
    <cellStyle name="Normal" xfId="0" builtinId="0"/>
    <cellStyle name="Normal 11" xfId="4" xr:uid="{1736AD36-AD70-4AB8-AA19-1AA794FD3B98}"/>
    <cellStyle name="Porcentagem" xfId="3" builtinId="5"/>
    <cellStyle name="Vírgula" xfId="1" builtinId="3"/>
  </cellStyles>
  <dxfs count="4">
    <dxf>
      <font>
        <color rgb="FFFF0000"/>
      </font>
    </dxf>
    <dxf>
      <font>
        <color rgb="FFFF0000"/>
      </font>
      <fill>
        <patternFill>
          <bgColor rgb="FFFFFFFF"/>
        </patternFill>
      </fill>
    </dxf>
    <dxf>
      <font>
        <color rgb="FFFF0000"/>
      </font>
    </dxf>
    <dxf>
      <font>
        <color rgb="FFFF0000"/>
      </font>
      <fill>
        <patternFill>
          <bgColor rgb="FFFFFFFF"/>
        </patternFill>
      </fill>
    </dxf>
  </dxfs>
  <tableStyles count="0" defaultTableStyle="TableStyleMedium2" defaultPivotStyle="PivotStyleLight16"/>
  <colors>
    <mruColors>
      <color rgb="FF1D437D"/>
      <color rgb="FFE8ECF2"/>
      <color rgb="FFDCE4FC"/>
      <color rgb="FF9BB1F7"/>
      <color rgb="FF5177F1"/>
      <color rgb="FF296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514350</xdr:colOff>
      <xdr:row>6</xdr:row>
      <xdr:rowOff>38100</xdr:rowOff>
    </xdr:from>
    <xdr:ext cx="9267825" cy="1077218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964D750-F485-4778-9605-CAC668873EA1}"/>
            </a:ext>
          </a:extLst>
        </xdr:cNvPr>
        <xdr:cNvSpPr txBox="1"/>
      </xdr:nvSpPr>
      <xdr:spPr>
        <a:xfrm>
          <a:off x="4781550" y="1143000"/>
          <a:ext cx="9267825" cy="10772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3600" b="1" baseline="0">
              <a:solidFill>
                <a:schemeClr val="bg1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Planilha de Fundamentos</a:t>
          </a:r>
        </a:p>
        <a:p>
          <a:r>
            <a:rPr lang="pt-BR" sz="2800">
              <a:solidFill>
                <a:schemeClr val="bg1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Dezembro, 2025</a:t>
          </a:r>
        </a:p>
      </xdr:txBody>
    </xdr:sp>
    <xdr:clientData/>
  </xdr:oneCellAnchor>
  <xdr:twoCellAnchor editAs="oneCell">
    <xdr:from>
      <xdr:col>0</xdr:col>
      <xdr:colOff>590550</xdr:colOff>
      <xdr:row>4</xdr:row>
      <xdr:rowOff>104775</xdr:rowOff>
    </xdr:from>
    <xdr:to>
      <xdr:col>6</xdr:col>
      <xdr:colOff>457200</xdr:colOff>
      <xdr:row>11</xdr:row>
      <xdr:rowOff>130815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1F5A801-FBAB-622A-47A7-E10BA1C2A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28675"/>
          <a:ext cx="3524250" cy="1292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1200384</xdr:colOff>
      <xdr:row>3</xdr:row>
      <xdr:rowOff>112296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A53EAAE9-000F-494D-AC49-4C357762F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" y="190500"/>
          <a:ext cx="1200384" cy="4805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22412</xdr:colOff>
      <xdr:row>0</xdr:row>
      <xdr:rowOff>168089</xdr:rowOff>
    </xdr:from>
    <xdr:to>
      <xdr:col>2</xdr:col>
      <xdr:colOff>1235496</xdr:colOff>
      <xdr:row>3</xdr:row>
      <xdr:rowOff>77185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6A5C8B2C-429A-40F2-AC30-ADC6726F0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387" y="168089"/>
          <a:ext cx="1200384" cy="4805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0</xdr:row>
      <xdr:rowOff>168088</xdr:rowOff>
    </xdr:from>
    <xdr:to>
      <xdr:col>1</xdr:col>
      <xdr:colOff>1235496</xdr:colOff>
      <xdr:row>3</xdr:row>
      <xdr:rowOff>77184</xdr:rowOff>
    </xdr:to>
    <xdr:pic>
      <xdr:nvPicPr>
        <xdr:cNvPr id="10" name="Imagem 3">
          <a:extLst>
            <a:ext uri="{FF2B5EF4-FFF2-40B4-BE49-F238E27FC236}">
              <a16:creationId xmlns:a16="http://schemas.microsoft.com/office/drawing/2014/main" id="{190A2E2F-9687-4F96-A02C-C0CB4587B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168088"/>
          <a:ext cx="1200384" cy="4805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0</xdr:row>
      <xdr:rowOff>168089</xdr:rowOff>
    </xdr:from>
    <xdr:to>
      <xdr:col>1</xdr:col>
      <xdr:colOff>1235496</xdr:colOff>
      <xdr:row>3</xdr:row>
      <xdr:rowOff>77185</xdr:rowOff>
    </xdr:to>
    <xdr:pic>
      <xdr:nvPicPr>
        <xdr:cNvPr id="5" name="Imagem 3">
          <a:extLst>
            <a:ext uri="{FF2B5EF4-FFF2-40B4-BE49-F238E27FC236}">
              <a16:creationId xmlns:a16="http://schemas.microsoft.com/office/drawing/2014/main" id="{67E0D75C-2FF2-4F0F-A228-10F20D0F1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168089"/>
          <a:ext cx="1200384" cy="480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A4B4-EC0D-46B7-A070-033568E8791A}">
  <dimension ref="B1:Q29"/>
  <sheetViews>
    <sheetView showGridLines="0" zoomScale="70" zoomScaleNormal="70" workbookViewId="0">
      <selection activeCell="H24" sqref="H24"/>
    </sheetView>
  </sheetViews>
  <sheetFormatPr baseColWidth="10" defaultColWidth="8.83203125" defaultRowHeight="15"/>
  <cols>
    <col min="17" max="17" width="9.1640625" style="78" customWidth="1"/>
  </cols>
  <sheetData>
    <row r="1" spans="17:17" s="80" customFormat="1">
      <c r="Q1" s="79"/>
    </row>
    <row r="2" spans="17:17" s="80" customFormat="1">
      <c r="Q2" s="79"/>
    </row>
    <row r="3" spans="17:17" s="80" customFormat="1">
      <c r="Q3" s="79"/>
    </row>
    <row r="4" spans="17:17" s="80" customFormat="1">
      <c r="Q4" s="79"/>
    </row>
    <row r="5" spans="17:17" s="80" customFormat="1">
      <c r="Q5" s="79"/>
    </row>
    <row r="6" spans="17:17" s="80" customFormat="1">
      <c r="Q6" s="79"/>
    </row>
    <row r="7" spans="17:17" s="80" customFormat="1">
      <c r="Q7" s="79"/>
    </row>
    <row r="8" spans="17:17" s="80" customFormat="1">
      <c r="Q8" s="79"/>
    </row>
    <row r="9" spans="17:17" s="80" customFormat="1">
      <c r="Q9" s="79"/>
    </row>
    <row r="10" spans="17:17" s="80" customFormat="1">
      <c r="Q10" s="79"/>
    </row>
    <row r="11" spans="17:17" s="80" customFormat="1">
      <c r="Q11" s="79"/>
    </row>
    <row r="12" spans="17:17" s="80" customFormat="1">
      <c r="Q12" s="79"/>
    </row>
    <row r="13" spans="17:17" s="80" customFormat="1">
      <c r="Q13" s="79"/>
    </row>
    <row r="14" spans="17:17" s="80" customFormat="1">
      <c r="Q14" s="79"/>
    </row>
    <row r="15" spans="17:17" s="80" customFormat="1">
      <c r="Q15" s="79"/>
    </row>
    <row r="16" spans="17:17" s="80" customFormat="1">
      <c r="Q16" s="79"/>
    </row>
    <row r="17" spans="2:17" s="80" customFormat="1">
      <c r="Q17" s="79"/>
    </row>
    <row r="18" spans="2:17" s="80" customFormat="1">
      <c r="Q18" s="79"/>
    </row>
    <row r="22" spans="2:17" ht="22" customHeight="1">
      <c r="B22" s="81"/>
      <c r="C22" s="81"/>
      <c r="D22" s="81"/>
      <c r="E22" s="81"/>
      <c r="F22" s="81"/>
      <c r="G22" s="81"/>
    </row>
    <row r="23" spans="2:17" ht="22" customHeight="1">
      <c r="B23" s="81"/>
      <c r="C23" s="83" t="s">
        <v>171</v>
      </c>
      <c r="D23" s="81"/>
      <c r="E23" s="81"/>
      <c r="F23" s="81"/>
      <c r="G23" s="81"/>
    </row>
    <row r="24" spans="2:17" ht="22" customHeight="1">
      <c r="B24" s="81"/>
      <c r="C24" s="81"/>
      <c r="D24" s="81"/>
      <c r="E24" s="81"/>
      <c r="F24" s="81"/>
      <c r="G24" s="81"/>
      <c r="J24" s="53"/>
    </row>
    <row r="25" spans="2:17" ht="22" customHeight="1">
      <c r="B25" s="81"/>
      <c r="C25" s="84" t="s">
        <v>172</v>
      </c>
      <c r="D25" s="82"/>
      <c r="E25" s="81"/>
      <c r="F25" s="81"/>
      <c r="G25" s="81"/>
      <c r="J25" s="53"/>
    </row>
    <row r="26" spans="2:17" ht="22" customHeight="1">
      <c r="B26" s="81"/>
      <c r="C26" s="84" t="s">
        <v>173</v>
      </c>
      <c r="D26" s="82"/>
      <c r="E26" s="81"/>
      <c r="F26" s="81"/>
      <c r="G26" s="81"/>
    </row>
    <row r="27" spans="2:17" ht="22" customHeight="1">
      <c r="B27" s="81"/>
      <c r="C27" s="84" t="s">
        <v>174</v>
      </c>
      <c r="D27" s="82"/>
      <c r="E27" s="81"/>
      <c r="F27" s="81"/>
      <c r="G27" s="81"/>
    </row>
    <row r="28" spans="2:17" ht="22" customHeight="1">
      <c r="B28" s="81"/>
      <c r="C28" s="84" t="s">
        <v>4</v>
      </c>
      <c r="D28" s="82"/>
      <c r="E28" s="81"/>
      <c r="F28" s="81"/>
      <c r="G28" s="81"/>
    </row>
    <row r="29" spans="2:17" ht="22" customHeight="1">
      <c r="B29" s="81"/>
      <c r="C29" s="81"/>
      <c r="D29" s="81"/>
      <c r="E29" s="81"/>
      <c r="F29" s="81"/>
      <c r="G29" s="81"/>
    </row>
  </sheetData>
  <hyperlinks>
    <hyperlink ref="C25" location="'DRE Gerencial'!A1" display="DRE Gerencial" xr:uid="{990C4A42-9C8D-9F44-90D4-9860E63F2719}"/>
    <hyperlink ref="C26" location="'Resumo da Carteira'!A1" display="Resumo da Carteira" xr:uid="{63F646E5-A6BE-C94D-B5AD-48CB95CB28FB}"/>
    <hyperlink ref="C27" location="'Valor Patrimonial'!A1" display="Valor Patrimonial" xr:uid="{948FB2DF-AC69-5644-ABF0-D9967387ACA8}"/>
    <hyperlink ref="C28" location="Cotistas!A1" display="Cotistas" xr:uid="{AA61DEC4-45F1-8A4D-8C1C-130E6A9DE911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53924-B663-4446-B306-1729F36DAD16}">
  <dimension ref="B1:BL70"/>
  <sheetViews>
    <sheetView showGridLines="0" zoomScale="85" zoomScaleNormal="85" workbookViewId="0">
      <pane xSplit="2" ySplit="5" topLeftCell="C6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9.1640625" defaultRowHeight="15" zeroHeight="1" outlineLevelCol="1"/>
  <cols>
    <col min="1" max="1" width="2.6640625" customWidth="1"/>
    <col min="2" max="2" width="36.5" style="10" bestFit="1" customWidth="1"/>
    <col min="3" max="5" width="19.83203125" style="10" customWidth="1"/>
    <col min="6" max="11" width="20.83203125" style="10" customWidth="1"/>
    <col min="12" max="12" width="10.6640625" style="10" customWidth="1"/>
    <col min="13" max="15" width="20.83203125" style="10" customWidth="1"/>
    <col min="16" max="24" width="20.83203125" style="11" customWidth="1"/>
    <col min="25" max="25" width="10.6640625" style="11" customWidth="1"/>
    <col min="26" max="26" width="22.5" customWidth="1"/>
    <col min="27" max="27" width="22.1640625" customWidth="1"/>
    <col min="28" max="30" width="22.5" customWidth="1"/>
    <col min="31" max="31" width="22.1640625" customWidth="1"/>
    <col min="32" max="36" width="22.5" customWidth="1"/>
    <col min="37" max="37" width="20.83203125" customWidth="1"/>
    <col min="38" max="38" width="10.83203125" customWidth="1"/>
    <col min="39" max="39" width="22.1640625" bestFit="1" customWidth="1" outlineLevel="1"/>
    <col min="40" max="40" width="22.5" bestFit="1" customWidth="1" outlineLevel="1"/>
    <col min="41" max="41" width="21.5" customWidth="1" outlineLevel="1"/>
    <col min="42" max="42" width="20.1640625" customWidth="1" outlineLevel="1"/>
    <col min="43" max="43" width="17.5" bestFit="1" customWidth="1" outlineLevel="1"/>
    <col min="44" max="50" width="22.5" customWidth="1" outlineLevel="1"/>
    <col min="51" max="51" width="10.83203125" customWidth="1"/>
    <col min="52" max="63" width="22.5" customWidth="1" outlineLevel="1"/>
    <col min="64" max="64" width="16" bestFit="1" customWidth="1"/>
  </cols>
  <sheetData>
    <row r="1" spans="2:64">
      <c r="AR1" s="20"/>
      <c r="AS1" s="20"/>
      <c r="AT1" s="20"/>
      <c r="AU1" s="20"/>
      <c r="AV1" s="20"/>
      <c r="AW1" s="20"/>
      <c r="AX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</row>
    <row r="2" spans="2:64"/>
    <row r="3" spans="2:64">
      <c r="X3" s="12"/>
    </row>
    <row r="4" spans="2:64">
      <c r="C4" s="88">
        <v>2021</v>
      </c>
      <c r="D4" s="89"/>
      <c r="E4" s="89"/>
      <c r="F4" s="89"/>
      <c r="G4" s="89"/>
      <c r="H4" s="89"/>
      <c r="I4" s="89"/>
      <c r="J4" s="89"/>
      <c r="K4" s="89"/>
      <c r="L4" s="43"/>
      <c r="M4" s="85">
        <v>2022</v>
      </c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42"/>
      <c r="Z4" s="85">
        <v>2023</v>
      </c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42"/>
      <c r="AM4" s="85">
        <v>2024</v>
      </c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42"/>
      <c r="AZ4" s="85">
        <v>2025</v>
      </c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</row>
    <row r="5" spans="2:64">
      <c r="B5" s="90" t="s">
        <v>5</v>
      </c>
      <c r="C5" s="87" t="s">
        <v>6</v>
      </c>
      <c r="D5" s="87" t="s">
        <v>7</v>
      </c>
      <c r="E5" s="87" t="s">
        <v>8</v>
      </c>
      <c r="F5" s="87" t="s">
        <v>9</v>
      </c>
      <c r="G5" s="87" t="s">
        <v>10</v>
      </c>
      <c r="H5" s="87" t="s">
        <v>11</v>
      </c>
      <c r="I5" s="87" t="s">
        <v>12</v>
      </c>
      <c r="J5" s="87" t="s">
        <v>13</v>
      </c>
      <c r="K5" s="87" t="s">
        <v>14</v>
      </c>
      <c r="L5" s="44"/>
      <c r="M5" s="87" t="s">
        <v>15</v>
      </c>
      <c r="N5" s="87" t="s">
        <v>16</v>
      </c>
      <c r="O5" s="87" t="s">
        <v>17</v>
      </c>
      <c r="P5" s="87" t="s">
        <v>6</v>
      </c>
      <c r="Q5" s="87" t="s">
        <v>7</v>
      </c>
      <c r="R5" s="87" t="s">
        <v>8</v>
      </c>
      <c r="S5" s="87" t="s">
        <v>9</v>
      </c>
      <c r="T5" s="87" t="s">
        <v>10</v>
      </c>
      <c r="U5" s="87" t="s">
        <v>11</v>
      </c>
      <c r="V5" s="87" t="s">
        <v>12</v>
      </c>
      <c r="W5" s="87" t="s">
        <v>13</v>
      </c>
      <c r="X5" s="87" t="s">
        <v>14</v>
      </c>
      <c r="Y5" s="44"/>
      <c r="Z5" s="86" t="s">
        <v>15</v>
      </c>
      <c r="AA5" s="86" t="s">
        <v>16</v>
      </c>
      <c r="AB5" s="86" t="s">
        <v>17</v>
      </c>
      <c r="AC5" s="86" t="s">
        <v>6</v>
      </c>
      <c r="AD5" s="86" t="s">
        <v>7</v>
      </c>
      <c r="AE5" s="86" t="s">
        <v>8</v>
      </c>
      <c r="AF5" s="86" t="s">
        <v>9</v>
      </c>
      <c r="AG5" s="86" t="s">
        <v>10</v>
      </c>
      <c r="AH5" s="86" t="s">
        <v>11</v>
      </c>
      <c r="AI5" s="86" t="s">
        <v>12</v>
      </c>
      <c r="AJ5" s="86" t="s">
        <v>13</v>
      </c>
      <c r="AK5" s="86" t="s">
        <v>14</v>
      </c>
      <c r="AL5" s="44"/>
      <c r="AM5" s="86" t="s">
        <v>15</v>
      </c>
      <c r="AN5" s="86" t="s">
        <v>16</v>
      </c>
      <c r="AO5" s="86" t="s">
        <v>17</v>
      </c>
      <c r="AP5" s="86" t="s">
        <v>6</v>
      </c>
      <c r="AQ5" s="86" t="s">
        <v>7</v>
      </c>
      <c r="AR5" s="86" t="s">
        <v>8</v>
      </c>
      <c r="AS5" s="86" t="s">
        <v>9</v>
      </c>
      <c r="AT5" s="86" t="s">
        <v>10</v>
      </c>
      <c r="AU5" s="86" t="s">
        <v>11</v>
      </c>
      <c r="AV5" s="86" t="s">
        <v>12</v>
      </c>
      <c r="AW5" s="86" t="s">
        <v>13</v>
      </c>
      <c r="AX5" s="86" t="s">
        <v>14</v>
      </c>
      <c r="AY5" s="44"/>
      <c r="AZ5" s="86" t="s">
        <v>15</v>
      </c>
      <c r="BA5" s="86" t="s">
        <v>16</v>
      </c>
      <c r="BB5" s="86" t="s">
        <v>17</v>
      </c>
      <c r="BC5" s="86" t="s">
        <v>6</v>
      </c>
      <c r="BD5" s="86" t="s">
        <v>7</v>
      </c>
      <c r="BE5" s="86" t="s">
        <v>8</v>
      </c>
      <c r="BF5" s="86" t="s">
        <v>9</v>
      </c>
      <c r="BG5" s="86" t="s">
        <v>10</v>
      </c>
      <c r="BH5" s="86" t="s">
        <v>11</v>
      </c>
      <c r="BI5" s="86" t="s">
        <v>12</v>
      </c>
      <c r="BJ5" s="86" t="s">
        <v>13</v>
      </c>
      <c r="BK5" s="86" t="s">
        <v>14</v>
      </c>
    </row>
    <row r="6" spans="2:64">
      <c r="B6" s="30" t="s">
        <v>18</v>
      </c>
      <c r="C6" s="31">
        <f>SUM(C7:C12)</f>
        <v>1250394.3800000001</v>
      </c>
      <c r="D6" s="31">
        <f t="shared" ref="D6:E6" si="0">SUM(D7:D12)</f>
        <v>1087505.29</v>
      </c>
      <c r="E6" s="31">
        <f t="shared" si="0"/>
        <v>1784805.3599999999</v>
      </c>
      <c r="F6" s="31">
        <f>SUM(F7:F12)</f>
        <v>1751247.9600000002</v>
      </c>
      <c r="G6" s="31">
        <f t="shared" ref="G6:K6" si="1">SUM(G7:G12)</f>
        <v>2309636.3400000003</v>
      </c>
      <c r="H6" s="31">
        <f t="shared" si="1"/>
        <v>1655157.5599999998</v>
      </c>
      <c r="I6" s="31">
        <f t="shared" si="1"/>
        <v>2574714.284822322</v>
      </c>
      <c r="J6" s="31">
        <f t="shared" si="1"/>
        <v>2378860.3022277844</v>
      </c>
      <c r="K6" s="31">
        <f t="shared" si="1"/>
        <v>2569375.84</v>
      </c>
      <c r="L6" s="45"/>
      <c r="M6" s="34">
        <f>SUM(M7:M12)</f>
        <v>2598123.19</v>
      </c>
      <c r="N6" s="34">
        <f t="shared" ref="N6:Q6" si="2">SUM(N7:N12)</f>
        <v>2087891.56</v>
      </c>
      <c r="O6" s="34">
        <f t="shared" si="2"/>
        <v>2880526.9740984738</v>
      </c>
      <c r="P6" s="34">
        <f t="shared" si="2"/>
        <v>2294104.2600000002</v>
      </c>
      <c r="Q6" s="34">
        <f t="shared" si="2"/>
        <v>2910922.76</v>
      </c>
      <c r="R6" s="31">
        <f>SUM(R7:R12)</f>
        <v>3825788.42</v>
      </c>
      <c r="S6" s="31">
        <f t="shared" ref="S6:X6" si="3">SUM(S7:S12)</f>
        <v>3803912.8600000003</v>
      </c>
      <c r="T6" s="31">
        <f t="shared" si="3"/>
        <v>3322796.9700000007</v>
      </c>
      <c r="U6" s="31">
        <f t="shared" si="3"/>
        <v>3252641.6300000004</v>
      </c>
      <c r="V6" s="31">
        <f t="shared" si="3"/>
        <v>2918080.5299999993</v>
      </c>
      <c r="W6" s="31">
        <f t="shared" si="3"/>
        <v>2810154.11</v>
      </c>
      <c r="X6" s="31">
        <f t="shared" si="3"/>
        <v>3130785.812228696</v>
      </c>
      <c r="Y6" s="45"/>
      <c r="Z6" s="31">
        <f t="shared" ref="Z6:AE6" si="4">SUM(Z7:Z12)</f>
        <v>4159494.2199999997</v>
      </c>
      <c r="AA6" s="31">
        <f t="shared" si="4"/>
        <v>3541305.67</v>
      </c>
      <c r="AB6" s="31">
        <f t="shared" si="4"/>
        <v>3587995.0411197217</v>
      </c>
      <c r="AC6" s="31">
        <f>SUM(AC7:AC12)</f>
        <v>3662835.89</v>
      </c>
      <c r="AD6" s="31">
        <f t="shared" si="4"/>
        <v>3521667.6818017331</v>
      </c>
      <c r="AE6" s="31">
        <f t="shared" si="4"/>
        <v>3652091.3308777665</v>
      </c>
      <c r="AF6" s="31">
        <f t="shared" ref="AF6:BJ6" si="5">SUM(AF7:AF12)</f>
        <v>3448538.4970065816</v>
      </c>
      <c r="AG6" s="31">
        <f t="shared" si="5"/>
        <v>3536587.6605729475</v>
      </c>
      <c r="AH6" s="31">
        <f>SUM(AH7:AH12)</f>
        <v>4509588.5964946961</v>
      </c>
      <c r="AI6" s="31">
        <f t="shared" si="5"/>
        <v>3171089.611824831</v>
      </c>
      <c r="AJ6" s="31">
        <f t="shared" si="5"/>
        <v>3370764.3293022928</v>
      </c>
      <c r="AK6" s="31">
        <f t="shared" si="5"/>
        <v>3403187.1221067868</v>
      </c>
      <c r="AL6" s="45"/>
      <c r="AM6" s="31">
        <f t="shared" si="5"/>
        <v>3231604.9902628264</v>
      </c>
      <c r="AN6" s="31">
        <f t="shared" si="5"/>
        <v>3978335.9700926766</v>
      </c>
      <c r="AO6" s="31">
        <f t="shared" si="5"/>
        <v>4108649.5895679118</v>
      </c>
      <c r="AP6" s="31">
        <f t="shared" si="5"/>
        <v>4311358.8678140687</v>
      </c>
      <c r="AQ6" s="31">
        <f t="shared" si="5"/>
        <v>4139334.4213862042</v>
      </c>
      <c r="AR6" s="31">
        <f t="shared" si="5"/>
        <v>4381018.9293772802</v>
      </c>
      <c r="AS6" s="31">
        <f t="shared" si="5"/>
        <v>4741773.2563015893</v>
      </c>
      <c r="AT6" s="31">
        <f t="shared" si="5"/>
        <v>4585407.5727786738</v>
      </c>
      <c r="AU6" s="31">
        <f t="shared" si="5"/>
        <v>4746974.0135474959</v>
      </c>
      <c r="AV6" s="31">
        <f t="shared" si="5"/>
        <v>4282451.9782680878</v>
      </c>
      <c r="AW6" s="31">
        <f t="shared" si="5"/>
        <v>4784556.5895394403</v>
      </c>
      <c r="AX6" s="31">
        <f t="shared" si="5"/>
        <v>4982471.709999999</v>
      </c>
      <c r="AY6" s="45"/>
      <c r="AZ6" s="31">
        <f t="shared" si="5"/>
        <v>4824284.8984340141</v>
      </c>
      <c r="BA6" s="31">
        <f t="shared" si="5"/>
        <v>5342375.9687422803</v>
      </c>
      <c r="BB6" s="31">
        <f t="shared" si="5"/>
        <v>4441804.4637259804</v>
      </c>
      <c r="BC6" s="31">
        <f t="shared" si="5"/>
        <v>5863690.273513101</v>
      </c>
      <c r="BD6" s="31">
        <f t="shared" si="5"/>
        <v>5429252.3523550993</v>
      </c>
      <c r="BE6" s="31">
        <f t="shared" si="5"/>
        <v>5276169.7079012096</v>
      </c>
      <c r="BF6" s="31">
        <f t="shared" si="5"/>
        <v>4865449.2496508397</v>
      </c>
      <c r="BG6" s="31">
        <f t="shared" si="5"/>
        <v>5004848.7067631297</v>
      </c>
      <c r="BH6" s="31">
        <f t="shared" si="5"/>
        <v>5402699.6977187507</v>
      </c>
      <c r="BI6" s="31">
        <f t="shared" si="5"/>
        <v>4249714.43032296</v>
      </c>
      <c r="BJ6" s="31">
        <f t="shared" si="5"/>
        <v>5071176.2558102999</v>
      </c>
      <c r="BK6" s="31">
        <v>4924532.7419727398</v>
      </c>
    </row>
    <row r="7" spans="2:64">
      <c r="B7" s="48" t="s">
        <v>19</v>
      </c>
      <c r="C7" s="7">
        <v>525446.04</v>
      </c>
      <c r="D7" s="7">
        <v>595180.67000000004</v>
      </c>
      <c r="E7" s="7">
        <v>1129013.6100000001</v>
      </c>
      <c r="F7" s="7">
        <v>835130.3</v>
      </c>
      <c r="G7" s="7">
        <v>944453.58</v>
      </c>
      <c r="H7" s="7">
        <v>926289.01</v>
      </c>
      <c r="I7" s="7">
        <v>1025011.978040587</v>
      </c>
      <c r="J7" s="7">
        <v>1043684.3243063184</v>
      </c>
      <c r="K7" s="7">
        <v>1110224.21</v>
      </c>
      <c r="L7" s="7"/>
      <c r="M7" s="13">
        <v>1187313.6599999999</v>
      </c>
      <c r="N7" s="13">
        <v>831477.26</v>
      </c>
      <c r="O7" s="13">
        <v>1455656.6281710628</v>
      </c>
      <c r="P7" s="7">
        <v>1273491.28</v>
      </c>
      <c r="Q7" s="7">
        <v>1395332.47</v>
      </c>
      <c r="R7" s="7">
        <v>1690878.2</v>
      </c>
      <c r="S7" s="7">
        <v>1900872.54</v>
      </c>
      <c r="T7" s="7">
        <v>2368696.9300000002</v>
      </c>
      <c r="U7" s="7">
        <v>2473624.98</v>
      </c>
      <c r="V7" s="7">
        <v>2526991.04</v>
      </c>
      <c r="W7" s="7">
        <v>2483942.71</v>
      </c>
      <c r="X7" s="7">
        <v>2641086.1545361737</v>
      </c>
      <c r="Y7" s="7"/>
      <c r="Z7" s="7">
        <v>3168536.09</v>
      </c>
      <c r="AA7" s="7">
        <v>2538621.37</v>
      </c>
      <c r="AB7" s="7">
        <v>2311209.7659520484</v>
      </c>
      <c r="AC7" s="7">
        <v>2561596.08</v>
      </c>
      <c r="AD7" s="7">
        <v>2424768.5815311526</v>
      </c>
      <c r="AE7" s="7">
        <v>2495676.8392091827</v>
      </c>
      <c r="AF7" s="7">
        <v>2518279.0288509494</v>
      </c>
      <c r="AG7" s="8">
        <v>2964194.42980529</v>
      </c>
      <c r="AH7" s="7">
        <v>2632933.5100000002</v>
      </c>
      <c r="AI7" s="7">
        <v>2506156.5118248309</v>
      </c>
      <c r="AJ7" s="7">
        <v>2726645.7310931641</v>
      </c>
      <c r="AK7" s="7">
        <v>2785419.42</v>
      </c>
      <c r="AL7" s="7"/>
      <c r="AM7" s="7">
        <v>2621087.1008064114</v>
      </c>
      <c r="AN7" s="7">
        <v>2832394.5214756662</v>
      </c>
      <c r="AO7" s="7">
        <v>2894210.487286577</v>
      </c>
      <c r="AP7" s="9">
        <v>3093298.4498199676</v>
      </c>
      <c r="AQ7" s="9">
        <v>3153031.2978069335</v>
      </c>
      <c r="AR7" s="7">
        <v>3266366.6279825061</v>
      </c>
      <c r="AS7" s="7">
        <v>3265138.441523178</v>
      </c>
      <c r="AT7" s="7">
        <v>3364222.6562039056</v>
      </c>
      <c r="AU7" s="7">
        <v>3459791.2193849119</v>
      </c>
      <c r="AV7" s="7">
        <v>3133746.5971684302</v>
      </c>
      <c r="AW7" s="7">
        <v>3487298.9593534805</v>
      </c>
      <c r="AX7" s="7">
        <v>3515403.89</v>
      </c>
      <c r="AY7" s="7"/>
      <c r="AZ7" s="7">
        <v>3477171.3610118399</v>
      </c>
      <c r="BA7" s="7">
        <v>3709546.8934340002</v>
      </c>
      <c r="BB7" s="7">
        <v>3239629.2943429998</v>
      </c>
      <c r="BC7" s="7">
        <v>3603883.5720890001</v>
      </c>
      <c r="BD7" s="7">
        <v>3302415.3557410999</v>
      </c>
      <c r="BE7" s="7">
        <v>3685584.2387239998</v>
      </c>
      <c r="BF7" s="7">
        <v>3580922.8</v>
      </c>
      <c r="BG7" s="7">
        <v>3925694.2688839999</v>
      </c>
      <c r="BH7" s="7">
        <v>3704077.84479</v>
      </c>
      <c r="BI7" s="7">
        <v>3416763.5758690001</v>
      </c>
      <c r="BJ7" s="7">
        <v>3747958.5</v>
      </c>
      <c r="BK7" s="7">
        <v>3528777.1532177296</v>
      </c>
    </row>
    <row r="8" spans="2:64">
      <c r="B8" s="48" t="s">
        <v>20</v>
      </c>
      <c r="C8" s="7">
        <v>367769.03</v>
      </c>
      <c r="D8" s="7">
        <v>231159.19</v>
      </c>
      <c r="E8" s="7">
        <v>345825.91</v>
      </c>
      <c r="F8" s="7">
        <v>499950.23</v>
      </c>
      <c r="G8" s="7">
        <v>537677.77</v>
      </c>
      <c r="H8" s="7">
        <v>512324.92</v>
      </c>
      <c r="I8" s="7">
        <v>695761.88678173488</v>
      </c>
      <c r="J8" s="7">
        <v>728722.78792146547</v>
      </c>
      <c r="K8" s="7">
        <v>895322.97</v>
      </c>
      <c r="L8" s="7"/>
      <c r="M8" s="13">
        <v>674330.18</v>
      </c>
      <c r="N8" s="13">
        <v>339474.32</v>
      </c>
      <c r="O8" s="13">
        <v>718758.92592741107</v>
      </c>
      <c r="P8" s="7">
        <v>592117.06999999995</v>
      </c>
      <c r="Q8" s="7">
        <v>648739.15</v>
      </c>
      <c r="R8" s="7">
        <v>672139.01</v>
      </c>
      <c r="S8" s="7">
        <v>550980.16</v>
      </c>
      <c r="T8" s="7">
        <v>301929.09999999998</v>
      </c>
      <c r="U8" s="7">
        <v>-10487.23</v>
      </c>
      <c r="V8" s="7">
        <v>-173514.7</v>
      </c>
      <c r="W8" s="7">
        <v>-235900.17</v>
      </c>
      <c r="X8" s="7">
        <v>169360.81769252245</v>
      </c>
      <c r="Y8" s="7"/>
      <c r="Z8" s="7">
        <v>778179.32</v>
      </c>
      <c r="AA8" s="7">
        <v>845879.81</v>
      </c>
      <c r="AB8" s="7">
        <v>1075689.5151676731</v>
      </c>
      <c r="AC8" s="7">
        <v>1025072.62</v>
      </c>
      <c r="AD8" s="7">
        <v>967026.98027058027</v>
      </c>
      <c r="AE8" s="7">
        <v>964354.72166858381</v>
      </c>
      <c r="AF8" s="7">
        <v>592121.43815563258</v>
      </c>
      <c r="AG8" s="8">
        <v>421371.34076765756</v>
      </c>
      <c r="AH8" s="7">
        <v>61142.036589775707</v>
      </c>
      <c r="AI8" s="7">
        <v>367245.9</v>
      </c>
      <c r="AJ8" s="7">
        <v>422836.22820912866</v>
      </c>
      <c r="AK8" s="7">
        <v>400806.88210678671</v>
      </c>
      <c r="AL8" s="7"/>
      <c r="AM8" s="7">
        <v>476513.0573207374</v>
      </c>
      <c r="AN8" s="7">
        <v>848316.95861701027</v>
      </c>
      <c r="AO8" s="7">
        <v>841652.40228133521</v>
      </c>
      <c r="AP8" s="9">
        <v>1114216.1779941022</v>
      </c>
      <c r="AQ8" s="9">
        <v>652492.20918435103</v>
      </c>
      <c r="AR8" s="7">
        <v>962368.58139477437</v>
      </c>
      <c r="AS8" s="7">
        <v>1003875.2447784112</v>
      </c>
      <c r="AT8" s="7">
        <v>650999.64857956488</v>
      </c>
      <c r="AU8" s="7">
        <v>874724.74744058482</v>
      </c>
      <c r="AV8" s="7">
        <v>332833.78410732915</v>
      </c>
      <c r="AW8" s="7">
        <v>999299.96018596005</v>
      </c>
      <c r="AX8" s="7">
        <v>1400695.4799999986</v>
      </c>
      <c r="AY8" s="7"/>
      <c r="AZ8" s="7">
        <v>1173222.2374221743</v>
      </c>
      <c r="BA8" s="7">
        <v>1363906.8052532901</v>
      </c>
      <c r="BB8" s="7">
        <v>901904.24018297996</v>
      </c>
      <c r="BC8" s="7">
        <v>2030436.8631502001</v>
      </c>
      <c r="BD8" s="7">
        <v>1822806.41028205</v>
      </c>
      <c r="BE8" s="7">
        <v>1474866.8391772099</v>
      </c>
      <c r="BF8" s="7">
        <v>1018043.98</v>
      </c>
      <c r="BG8" s="7">
        <v>921672.51309167</v>
      </c>
      <c r="BH8" s="7">
        <v>950392.94728155003</v>
      </c>
      <c r="BI8" s="7">
        <v>406228.84954045003</v>
      </c>
      <c r="BJ8" s="7">
        <v>1060681</v>
      </c>
      <c r="BK8" s="7">
        <v>539117.07275238005</v>
      </c>
    </row>
    <row r="9" spans="2:64">
      <c r="B9" s="48" t="s">
        <v>21</v>
      </c>
      <c r="C9" s="7">
        <v>78117.39</v>
      </c>
      <c r="D9" s="7">
        <v>0</v>
      </c>
      <c r="E9" s="7">
        <v>162328.92000000001</v>
      </c>
      <c r="F9" s="7">
        <v>362668.15</v>
      </c>
      <c r="G9" s="7">
        <v>783694.18</v>
      </c>
      <c r="H9" s="7">
        <v>192165.87</v>
      </c>
      <c r="I9" s="7">
        <v>798652.6</v>
      </c>
      <c r="J9" s="7">
        <v>548538.05000000005</v>
      </c>
      <c r="K9" s="7">
        <v>510301.16</v>
      </c>
      <c r="L9" s="7"/>
      <c r="M9" s="13">
        <v>675227.69</v>
      </c>
      <c r="N9" s="13">
        <v>811959.49</v>
      </c>
      <c r="O9" s="13">
        <v>643321.5</v>
      </c>
      <c r="P9" s="7">
        <v>333293.23</v>
      </c>
      <c r="Q9" s="7">
        <v>707338.38999999966</v>
      </c>
      <c r="R9" s="7">
        <v>1215208.98</v>
      </c>
      <c r="S9" s="7">
        <v>1249464.19</v>
      </c>
      <c r="T9" s="7">
        <v>220445.77</v>
      </c>
      <c r="U9" s="7">
        <f>-29485.23+527013.52</f>
        <v>497528.29000000004</v>
      </c>
      <c r="V9" s="7">
        <f>370511.36-2973.1</f>
        <v>367538.26</v>
      </c>
      <c r="W9" s="7">
        <f>400518.44</f>
        <v>400518.44</v>
      </c>
      <c r="X9" s="7">
        <v>213835.74</v>
      </c>
      <c r="Y9" s="7"/>
      <c r="Z9" s="7">
        <v>105454.97</v>
      </c>
      <c r="AA9" s="7">
        <v>0</v>
      </c>
      <c r="AB9" s="7">
        <v>3420.16</v>
      </c>
      <c r="AC9" s="7">
        <v>-50770.58</v>
      </c>
      <c r="AD9" s="7">
        <v>1172.3699999999999</v>
      </c>
      <c r="AE9" s="7">
        <v>31523.52</v>
      </c>
      <c r="AF9" s="7">
        <v>230850.58</v>
      </c>
      <c r="AG9" s="7">
        <v>14411.02</v>
      </c>
      <c r="AH9" s="7">
        <v>1470120.35990492</v>
      </c>
      <c r="AI9" s="7">
        <v>0</v>
      </c>
      <c r="AJ9" s="7">
        <v>121215.6</v>
      </c>
      <c r="AK9" s="7">
        <v>108847.7</v>
      </c>
      <c r="AL9" s="7"/>
      <c r="AM9" s="7">
        <v>12446.182135678129</v>
      </c>
      <c r="AN9" s="7">
        <v>14979.99</v>
      </c>
      <c r="AO9" s="7">
        <v>56319.42</v>
      </c>
      <c r="AP9" s="9">
        <v>-83702.95</v>
      </c>
      <c r="AQ9" s="9">
        <v>186454.38</v>
      </c>
      <c r="AR9" s="7">
        <v>146.84999999985999</v>
      </c>
      <c r="AS9" s="7">
        <v>159240.03</v>
      </c>
      <c r="AT9" s="7">
        <v>319378.76799520338</v>
      </c>
      <c r="AU9" s="7">
        <v>136133.74672199998</v>
      </c>
      <c r="AV9" s="7">
        <v>557750.08699232806</v>
      </c>
      <c r="AW9" s="7">
        <v>184945.06</v>
      </c>
      <c r="AX9" s="7">
        <v>0</v>
      </c>
      <c r="AY9" s="7"/>
      <c r="AZ9" s="7">
        <v>0</v>
      </c>
      <c r="BA9" s="7">
        <v>183927.693313</v>
      </c>
      <c r="BB9" s="7">
        <v>170907.14</v>
      </c>
      <c r="BC9" s="7">
        <v>68874.968273899998</v>
      </c>
      <c r="BD9" s="7">
        <v>145572.75013194999</v>
      </c>
      <c r="BE9" s="7">
        <v>-26596.15</v>
      </c>
      <c r="BF9" s="7">
        <v>103430.79965084</v>
      </c>
      <c r="BG9" s="7">
        <v>-19432.835212540002</v>
      </c>
      <c r="BH9" s="7">
        <v>408779.57564719999</v>
      </c>
      <c r="BI9" s="7">
        <v>43705.684913509998</v>
      </c>
      <c r="BJ9" s="7">
        <v>16200.765810299999</v>
      </c>
      <c r="BK9" s="7">
        <v>770700.84600262996</v>
      </c>
    </row>
    <row r="10" spans="2:64">
      <c r="B10" s="48" t="s">
        <v>22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/>
      <c r="M10" s="13">
        <v>3549</v>
      </c>
      <c r="N10" s="13">
        <v>52407.360000000001</v>
      </c>
      <c r="O10" s="13">
        <v>10738.770000000004</v>
      </c>
      <c r="P10" s="7">
        <v>46894.909999999989</v>
      </c>
      <c r="Q10" s="7">
        <v>0</v>
      </c>
      <c r="R10" s="7">
        <v>5104.43</v>
      </c>
      <c r="S10" s="7">
        <v>2499.23</v>
      </c>
      <c r="T10" s="7">
        <v>5137.21</v>
      </c>
      <c r="U10" s="7">
        <f>721.67+10.43</f>
        <v>732.09999999999991</v>
      </c>
      <c r="V10" s="7">
        <f>429.28</f>
        <v>429.28</v>
      </c>
      <c r="W10" s="7">
        <v>0</v>
      </c>
      <c r="X10" s="7">
        <v>2.2400000000000002</v>
      </c>
      <c r="Y10" s="7"/>
      <c r="Z10" s="7">
        <v>0</v>
      </c>
      <c r="AA10" s="7">
        <v>0</v>
      </c>
      <c r="AB10" s="7">
        <v>-9840.41</v>
      </c>
      <c r="AC10" s="7">
        <v>-3093.73</v>
      </c>
      <c r="AD10" s="7">
        <v>-2602.37</v>
      </c>
      <c r="AE10" s="7">
        <v>6552.38</v>
      </c>
      <c r="AF10" s="7">
        <v>45398.820000000007</v>
      </c>
      <c r="AG10" s="7">
        <v>0</v>
      </c>
      <c r="AH10" s="7">
        <v>51861.33</v>
      </c>
      <c r="AI10" s="7">
        <v>0</v>
      </c>
      <c r="AJ10" s="7">
        <v>0</v>
      </c>
      <c r="AK10" s="7">
        <v>0</v>
      </c>
      <c r="AL10" s="7"/>
      <c r="AM10" s="7">
        <v>0</v>
      </c>
      <c r="AN10" s="7">
        <v>7790.18</v>
      </c>
      <c r="AO10" s="7">
        <v>0</v>
      </c>
      <c r="AP10" s="9">
        <v>10006.65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7"/>
      <c r="AZ10" s="7">
        <v>0</v>
      </c>
      <c r="BA10" s="7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/>
    </row>
    <row r="11" spans="2:64">
      <c r="B11" s="48" t="s">
        <v>23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1750</v>
      </c>
      <c r="I11" s="7">
        <v>19500</v>
      </c>
      <c r="J11" s="7">
        <v>28749.999999999996</v>
      </c>
      <c r="K11" s="7">
        <v>30000</v>
      </c>
      <c r="L11" s="7"/>
      <c r="M11" s="13">
        <v>30000</v>
      </c>
      <c r="N11" s="13">
        <v>17500</v>
      </c>
      <c r="O11" s="13">
        <v>11802</v>
      </c>
      <c r="P11" s="7">
        <v>5592.18</v>
      </c>
      <c r="Q11" s="7">
        <v>13724.25</v>
      </c>
      <c r="R11" s="7">
        <v>11151</v>
      </c>
      <c r="S11" s="7">
        <v>15275</v>
      </c>
      <c r="T11" s="7">
        <f>9962.5+6.93</f>
        <v>9969.43</v>
      </c>
      <c r="U11" s="7">
        <f>4025</f>
        <v>4025</v>
      </c>
      <c r="V11" s="7">
        <f>3000</f>
        <v>3000</v>
      </c>
      <c r="W11" s="7">
        <f>3000</f>
        <v>3000</v>
      </c>
      <c r="X11" s="7">
        <v>2997</v>
      </c>
      <c r="Y11" s="7"/>
      <c r="Z11" s="7">
        <v>13597</v>
      </c>
      <c r="AA11" s="7">
        <v>11497</v>
      </c>
      <c r="AB11" s="7">
        <v>11997</v>
      </c>
      <c r="AC11" s="7">
        <v>10050</v>
      </c>
      <c r="AD11" s="7">
        <v>9000</v>
      </c>
      <c r="AE11" s="7">
        <v>10500</v>
      </c>
      <c r="AF11" s="7">
        <v>16742.5</v>
      </c>
      <c r="AG11" s="7">
        <v>6750</v>
      </c>
      <c r="AH11" s="7">
        <v>10000</v>
      </c>
      <c r="AI11" s="7">
        <v>1200</v>
      </c>
      <c r="AJ11" s="7">
        <v>5500</v>
      </c>
      <c r="AK11" s="7">
        <v>5500</v>
      </c>
      <c r="AL11" s="7"/>
      <c r="AM11" s="7">
        <v>7750</v>
      </c>
      <c r="AN11" s="7">
        <v>5500</v>
      </c>
      <c r="AO11" s="7">
        <v>3625</v>
      </c>
      <c r="AP11" s="9">
        <v>3625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7"/>
      <c r="AZ11" s="7">
        <v>0</v>
      </c>
      <c r="BA11" s="7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/>
    </row>
    <row r="12" spans="2:64">
      <c r="B12" s="48" t="s">
        <v>24</v>
      </c>
      <c r="C12" s="7">
        <v>279061.92</v>
      </c>
      <c r="D12" s="7">
        <v>261165.43</v>
      </c>
      <c r="E12" s="7">
        <v>147636.92000000001</v>
      </c>
      <c r="F12" s="7">
        <v>53499.280000000006</v>
      </c>
      <c r="G12" s="7">
        <v>43810.81</v>
      </c>
      <c r="H12" s="7">
        <v>22627.760000000002</v>
      </c>
      <c r="I12" s="7">
        <v>35787.82</v>
      </c>
      <c r="J12" s="7">
        <v>29165.139999999985</v>
      </c>
      <c r="K12" s="7">
        <v>23527.5</v>
      </c>
      <c r="L12" s="7"/>
      <c r="M12" s="13">
        <v>27702.660000000047</v>
      </c>
      <c r="N12" s="13">
        <v>35073.129999999976</v>
      </c>
      <c r="O12" s="13">
        <v>40249.150000000023</v>
      </c>
      <c r="P12" s="7">
        <v>42715.59</v>
      </c>
      <c r="Q12" s="7">
        <v>145788.49999999997</v>
      </c>
      <c r="R12" s="7">
        <v>231306.80000000002</v>
      </c>
      <c r="S12" s="7">
        <v>84821.739999999991</v>
      </c>
      <c r="T12" s="7">
        <v>416618.53</v>
      </c>
      <c r="U12" s="7">
        <v>287218.49000000005</v>
      </c>
      <c r="V12" s="7">
        <v>193636.65000000002</v>
      </c>
      <c r="W12" s="7">
        <v>158593.13</v>
      </c>
      <c r="X12" s="7">
        <v>103503.86000000002</v>
      </c>
      <c r="Y12" s="7"/>
      <c r="Z12" s="7">
        <v>93726.840000000011</v>
      </c>
      <c r="AA12" s="7">
        <v>145307.49</v>
      </c>
      <c r="AB12" s="7">
        <v>195519.01</v>
      </c>
      <c r="AC12" s="7">
        <v>119981.5</v>
      </c>
      <c r="AD12" s="7">
        <v>122302.12</v>
      </c>
      <c r="AE12" s="7">
        <v>143483.87</v>
      </c>
      <c r="AF12" s="7">
        <v>45146.13</v>
      </c>
      <c r="AG12" s="7">
        <v>129860.87</v>
      </c>
      <c r="AH12" s="7">
        <v>283531.36000000004</v>
      </c>
      <c r="AI12" s="7">
        <v>296487.2</v>
      </c>
      <c r="AJ12" s="7">
        <v>94566.77</v>
      </c>
      <c r="AK12" s="7">
        <v>102613.12</v>
      </c>
      <c r="AL12" s="7"/>
      <c r="AM12" s="7">
        <v>113808.65</v>
      </c>
      <c r="AN12" s="7">
        <v>269354.32</v>
      </c>
      <c r="AO12" s="7">
        <v>312842.27999999997</v>
      </c>
      <c r="AP12" s="9">
        <v>173915.54</v>
      </c>
      <c r="AQ12" s="9">
        <v>147356.53439491984</v>
      </c>
      <c r="AR12" s="7">
        <v>152136.87</v>
      </c>
      <c r="AS12" s="7">
        <v>313519.53999999998</v>
      </c>
      <c r="AT12" s="7">
        <v>250806.5</v>
      </c>
      <c r="AU12" s="7">
        <v>276324.30000000005</v>
      </c>
      <c r="AV12" s="7">
        <v>258121.51</v>
      </c>
      <c r="AW12" s="7">
        <v>113012.61</v>
      </c>
      <c r="AX12" s="7">
        <v>66372.340000000011</v>
      </c>
      <c r="AY12" s="7"/>
      <c r="AZ12" s="7">
        <v>173891.3</v>
      </c>
      <c r="BA12" s="7">
        <v>84994.576741989993</v>
      </c>
      <c r="BB12" s="7">
        <v>129363.7892</v>
      </c>
      <c r="BC12" s="7">
        <v>160494.87</v>
      </c>
      <c r="BD12" s="7">
        <v>158457.83619999999</v>
      </c>
      <c r="BE12" s="7">
        <v>142314.78</v>
      </c>
      <c r="BF12" s="7">
        <v>163051.67000000001</v>
      </c>
      <c r="BG12" s="7">
        <v>176914.76</v>
      </c>
      <c r="BH12" s="7">
        <v>339449.33</v>
      </c>
      <c r="BI12" s="7">
        <v>383016.32</v>
      </c>
      <c r="BJ12" s="7">
        <v>246335.99</v>
      </c>
      <c r="BK12" s="7">
        <v>85937.67</v>
      </c>
    </row>
    <row r="13" spans="2:64">
      <c r="B13" s="30" t="s">
        <v>25</v>
      </c>
      <c r="C13" s="71">
        <v>290019.68</v>
      </c>
      <c r="D13" s="71">
        <v>49199.68</v>
      </c>
      <c r="E13" s="71">
        <v>162403.96000000002</v>
      </c>
      <c r="F13" s="71">
        <v>153572.10999999999</v>
      </c>
      <c r="G13" s="71">
        <v>154202.60999999999</v>
      </c>
      <c r="H13" s="71">
        <v>153952.94</v>
      </c>
      <c r="I13" s="71">
        <v>163962.29</v>
      </c>
      <c r="J13" s="71">
        <v>155913.20000000001</v>
      </c>
      <c r="K13" s="71">
        <v>154395.89000000001</v>
      </c>
      <c r="L13" s="45"/>
      <c r="M13" s="71">
        <v>168314.08</v>
      </c>
      <c r="N13" s="71">
        <v>166657.76999999999</v>
      </c>
      <c r="O13" s="71">
        <v>157167.74999999997</v>
      </c>
      <c r="P13" s="71">
        <v>164570.22</v>
      </c>
      <c r="Q13" s="71">
        <v>193471.99000000002</v>
      </c>
      <c r="R13" s="71">
        <v>207466.41000000003</v>
      </c>
      <c r="S13" s="71">
        <v>208983.22999999998</v>
      </c>
      <c r="T13" s="71">
        <v>254837.46000000002</v>
      </c>
      <c r="U13" s="71">
        <v>259225.87999999998</v>
      </c>
      <c r="V13" s="71">
        <v>267865.75</v>
      </c>
      <c r="W13" s="71">
        <v>272786.93000000005</v>
      </c>
      <c r="X13" s="71">
        <v>246858.43000000002</v>
      </c>
      <c r="Y13" s="45"/>
      <c r="Z13" s="71">
        <v>277130.49</v>
      </c>
      <c r="AA13" s="71">
        <v>260366.16</v>
      </c>
      <c r="AB13" s="71">
        <v>257507.47000000003</v>
      </c>
      <c r="AC13" s="71">
        <v>255294.18</v>
      </c>
      <c r="AD13" s="71">
        <v>273014.79000000004</v>
      </c>
      <c r="AE13" s="71">
        <v>280622.75</v>
      </c>
      <c r="AF13" s="71">
        <v>278253.13</v>
      </c>
      <c r="AG13" s="71">
        <v>283033.78000000003</v>
      </c>
      <c r="AH13" s="71">
        <v>336173.42999999993</v>
      </c>
      <c r="AI13" s="71">
        <v>296089.42</v>
      </c>
      <c r="AJ13" s="71">
        <v>310211.52930229221</v>
      </c>
      <c r="AK13" s="71">
        <v>295307.40999999997</v>
      </c>
      <c r="AL13" s="45"/>
      <c r="AM13" s="71">
        <v>301084.63</v>
      </c>
      <c r="AN13" s="71">
        <v>337361.80999999994</v>
      </c>
      <c r="AO13" s="71">
        <v>349550.01999999996</v>
      </c>
      <c r="AP13" s="71">
        <v>350492.9578140697</v>
      </c>
      <c r="AQ13" s="71">
        <v>364778.36</v>
      </c>
      <c r="AR13" s="71">
        <v>379037.82000000007</v>
      </c>
      <c r="AS13" s="71">
        <v>395477.23</v>
      </c>
      <c r="AT13" s="71">
        <v>394716.00000000006</v>
      </c>
      <c r="AU13" s="71">
        <v>428438.79354749713</v>
      </c>
      <c r="AV13" s="71">
        <v>387150.68826808769</v>
      </c>
      <c r="AW13" s="71">
        <v>412767.03</v>
      </c>
      <c r="AX13" s="71">
        <v>362890.51</v>
      </c>
      <c r="AY13" s="45"/>
      <c r="AZ13" s="71">
        <v>364517.27843401383</v>
      </c>
      <c r="BA13" s="71">
        <v>368681.64333333017</v>
      </c>
      <c r="BB13" s="71">
        <v>363544.97833167022</v>
      </c>
      <c r="BC13" s="71">
        <v>381375.03656667098</v>
      </c>
      <c r="BD13" s="71">
        <v>392562.74666666891</v>
      </c>
      <c r="BE13" s="71">
        <v>395057.99</v>
      </c>
      <c r="BF13" s="71">
        <v>379061.14999999997</v>
      </c>
      <c r="BG13" s="71">
        <v>393912.7</v>
      </c>
      <c r="BH13" s="71">
        <v>410541.85666667076</v>
      </c>
      <c r="BI13" s="71">
        <v>382948.01999999996</v>
      </c>
      <c r="BJ13" s="71">
        <v>388801.56999999995</v>
      </c>
      <c r="BK13" s="71">
        <v>390738.01666666899</v>
      </c>
    </row>
    <row r="14" spans="2:64">
      <c r="B14" s="30" t="s">
        <v>26</v>
      </c>
      <c r="C14" s="31">
        <f>C6-C13</f>
        <v>960374.70000000019</v>
      </c>
      <c r="D14" s="31">
        <f>D6-D13</f>
        <v>1038305.61</v>
      </c>
      <c r="E14" s="31">
        <f>E6-E13</f>
        <v>1622401.4</v>
      </c>
      <c r="F14" s="31">
        <f t="shared" ref="F14:K14" si="6">F6-F13</f>
        <v>1597675.85</v>
      </c>
      <c r="G14" s="31">
        <f t="shared" si="6"/>
        <v>2155433.7300000004</v>
      </c>
      <c r="H14" s="31">
        <f t="shared" si="6"/>
        <v>1501204.6199999999</v>
      </c>
      <c r="I14" s="31">
        <f t="shared" si="6"/>
        <v>2410751.9948223219</v>
      </c>
      <c r="J14" s="31">
        <f t="shared" si="6"/>
        <v>2222947.1022277842</v>
      </c>
      <c r="K14" s="31">
        <f t="shared" si="6"/>
        <v>2414979.9499999997</v>
      </c>
      <c r="L14" s="45"/>
      <c r="M14" s="31">
        <f t="shared" ref="M14:R14" si="7">M6-M13</f>
        <v>2429809.11</v>
      </c>
      <c r="N14" s="31">
        <f t="shared" si="7"/>
        <v>1921233.79</v>
      </c>
      <c r="O14" s="31">
        <f t="shared" si="7"/>
        <v>2723359.2240984738</v>
      </c>
      <c r="P14" s="31">
        <f t="shared" si="7"/>
        <v>2129534.04</v>
      </c>
      <c r="Q14" s="31">
        <f t="shared" si="7"/>
        <v>2717450.7699999996</v>
      </c>
      <c r="R14" s="31">
        <f t="shared" si="7"/>
        <v>3618322.01</v>
      </c>
      <c r="S14" s="31">
        <f t="shared" ref="S14:X14" si="8">S6-S13</f>
        <v>3594929.6300000004</v>
      </c>
      <c r="T14" s="31">
        <f t="shared" si="8"/>
        <v>3067959.5100000007</v>
      </c>
      <c r="U14" s="31">
        <f t="shared" si="8"/>
        <v>2993415.7500000005</v>
      </c>
      <c r="V14" s="31">
        <f t="shared" si="8"/>
        <v>2650214.7799999993</v>
      </c>
      <c r="W14" s="31">
        <f t="shared" si="8"/>
        <v>2537367.1799999997</v>
      </c>
      <c r="X14" s="31">
        <f t="shared" si="8"/>
        <v>2883927.3822286958</v>
      </c>
      <c r="Y14" s="45"/>
      <c r="Z14" s="31">
        <f t="shared" ref="Z14:AE14" si="9">Z6-Z13</f>
        <v>3882363.7299999995</v>
      </c>
      <c r="AA14" s="31">
        <f t="shared" si="9"/>
        <v>3280939.51</v>
      </c>
      <c r="AB14" s="31">
        <f t="shared" si="9"/>
        <v>3330487.5711197215</v>
      </c>
      <c r="AC14" s="31">
        <f t="shared" si="9"/>
        <v>3407541.71</v>
      </c>
      <c r="AD14" s="31">
        <f t="shared" si="9"/>
        <v>3248652.8918017331</v>
      </c>
      <c r="AE14" s="31">
        <f t="shared" si="9"/>
        <v>3371468.5808777665</v>
      </c>
      <c r="AF14" s="31">
        <v>3170285.3670065817</v>
      </c>
      <c r="AG14" s="31">
        <v>3253553.8805729477</v>
      </c>
      <c r="AH14" s="31">
        <f>AH6-AH13</f>
        <v>4173415.1664946964</v>
      </c>
      <c r="AI14" s="31">
        <f>AI6-AI13</f>
        <v>2875000.1918248311</v>
      </c>
      <c r="AJ14" s="31">
        <f>AJ6-AJ13</f>
        <v>3060552.8000000007</v>
      </c>
      <c r="AK14" s="31">
        <v>3107879.71</v>
      </c>
      <c r="AL14" s="45"/>
      <c r="AM14" s="31">
        <f>AM6-AM13-19341.44</f>
        <v>2911178.9202628266</v>
      </c>
      <c r="AN14" s="31">
        <f>AN6-AN13-267987.65</f>
        <v>3372986.5100926766</v>
      </c>
      <c r="AO14" s="31">
        <f>AO6-AO13</f>
        <v>3759099.5695679118</v>
      </c>
      <c r="AP14" s="31">
        <f>AP6-AP13</f>
        <v>3960865.9099999992</v>
      </c>
      <c r="AQ14" s="31">
        <f>AQ6-AQ13</f>
        <v>3774556.0613862043</v>
      </c>
      <c r="AR14" s="31">
        <f>AR6-AR13-98295.23</f>
        <v>3903685.8793772799</v>
      </c>
      <c r="AS14" s="31">
        <f>AS6-AS13</f>
        <v>4346296.0263015889</v>
      </c>
      <c r="AT14" s="31">
        <f>AT6-AT13</f>
        <v>4190691.5727786738</v>
      </c>
      <c r="AU14" s="31">
        <f t="shared" ref="AU14:AV14" si="10">AU6-AU13</f>
        <v>4318535.2199999988</v>
      </c>
      <c r="AV14" s="31">
        <f t="shared" si="10"/>
        <v>3895301.29</v>
      </c>
      <c r="AW14" s="31">
        <f t="shared" ref="AW14" si="11">AW6-AW13</f>
        <v>4371789.5595394401</v>
      </c>
      <c r="AX14" s="31">
        <f>AX6-AX13</f>
        <v>4619581.1999999993</v>
      </c>
      <c r="AY14" s="45"/>
      <c r="AZ14" s="31">
        <f>AZ6-AZ13</f>
        <v>4459767.62</v>
      </c>
      <c r="BA14" s="31">
        <f t="shared" ref="BA14:BB14" si="12">BA6-BA13</f>
        <v>4973694.3254089504</v>
      </c>
      <c r="BB14" s="31">
        <f t="shared" si="12"/>
        <v>4078259.4853943102</v>
      </c>
      <c r="BC14" s="31">
        <f t="shared" ref="BC14:BD14" si="13">BC6-BC13</f>
        <v>5482315.2369464301</v>
      </c>
      <c r="BD14" s="31">
        <f t="shared" si="13"/>
        <v>5036689.6056884304</v>
      </c>
      <c r="BE14" s="31">
        <f t="shared" ref="BE14:BF14" si="14">BE6-BE13</f>
        <v>4881111.7179012094</v>
      </c>
      <c r="BF14" s="31">
        <f t="shared" si="14"/>
        <v>4486388.0996508393</v>
      </c>
      <c r="BG14" s="31">
        <f t="shared" ref="BG14" si="15">BG6-BG13</f>
        <v>4610936.0067631295</v>
      </c>
      <c r="BH14" s="31">
        <f>BH6-BH13</f>
        <v>4992157.8410520796</v>
      </c>
      <c r="BI14" s="31">
        <f>BI6-BI13</f>
        <v>3866766.41032296</v>
      </c>
      <c r="BJ14" s="31">
        <f t="shared" ref="BJ14" si="16">BJ6-BJ13</f>
        <v>4682374.6858102996</v>
      </c>
      <c r="BK14" s="31">
        <f>BK6-BK13-131619.950882485</f>
        <v>4402174.7744235853</v>
      </c>
    </row>
    <row r="15" spans="2:64">
      <c r="B15" s="30" t="s">
        <v>27</v>
      </c>
      <c r="C15" s="32">
        <v>1787671</v>
      </c>
      <c r="D15" s="32">
        <v>1787671</v>
      </c>
      <c r="E15" s="32">
        <v>1787671</v>
      </c>
      <c r="F15" s="32">
        <v>1787671</v>
      </c>
      <c r="G15" s="32">
        <v>1787671</v>
      </c>
      <c r="H15" s="32">
        <v>1787671</v>
      </c>
      <c r="I15" s="32">
        <v>1787671</v>
      </c>
      <c r="J15" s="32">
        <v>1787671</v>
      </c>
      <c r="K15" s="32">
        <v>1787671</v>
      </c>
      <c r="L15" s="46"/>
      <c r="M15" s="32">
        <v>1787671</v>
      </c>
      <c r="N15" s="32">
        <v>1787671</v>
      </c>
      <c r="O15" s="32">
        <v>1787671</v>
      </c>
      <c r="P15" s="32">
        <v>1787671</v>
      </c>
      <c r="Q15" s="32">
        <v>2338240</v>
      </c>
      <c r="R15" s="32">
        <v>2338240</v>
      </c>
      <c r="S15" s="32">
        <v>2476636</v>
      </c>
      <c r="T15" s="32">
        <v>3019453</v>
      </c>
      <c r="U15" s="32">
        <v>3019453</v>
      </c>
      <c r="V15" s="32">
        <v>3019453</v>
      </c>
      <c r="W15" s="32">
        <v>3019453</v>
      </c>
      <c r="X15" s="32">
        <v>3019453</v>
      </c>
      <c r="Y15" s="46"/>
      <c r="Z15" s="32">
        <v>3019453</v>
      </c>
      <c r="AA15" s="32">
        <v>3019453</v>
      </c>
      <c r="AB15" s="32">
        <v>3019453</v>
      </c>
      <c r="AC15" s="32">
        <v>3019453</v>
      </c>
      <c r="AD15" s="32">
        <v>3019453</v>
      </c>
      <c r="AE15" s="32">
        <v>3019453</v>
      </c>
      <c r="AF15" s="32">
        <v>3019453</v>
      </c>
      <c r="AG15" s="32">
        <v>3019453</v>
      </c>
      <c r="AH15" s="32">
        <v>3343095</v>
      </c>
      <c r="AI15" s="32">
        <v>3343095</v>
      </c>
      <c r="AJ15" s="32">
        <v>3343095</v>
      </c>
      <c r="AK15" s="32">
        <v>3343095</v>
      </c>
      <c r="AL15" s="46"/>
      <c r="AM15" s="32">
        <v>3343095</v>
      </c>
      <c r="AN15" s="32">
        <v>3343095</v>
      </c>
      <c r="AO15" s="32">
        <v>3996951</v>
      </c>
      <c r="AP15" s="32">
        <v>3996951</v>
      </c>
      <c r="AQ15" s="32">
        <v>3996951</v>
      </c>
      <c r="AR15" s="32">
        <v>3996951</v>
      </c>
      <c r="AS15" s="32">
        <v>4555618</v>
      </c>
      <c r="AT15" s="32">
        <v>4555618</v>
      </c>
      <c r="AU15" s="32">
        <v>4555618</v>
      </c>
      <c r="AV15" s="32">
        <v>4555618</v>
      </c>
      <c r="AW15" s="32">
        <v>4555618</v>
      </c>
      <c r="AX15" s="32">
        <v>4555618</v>
      </c>
      <c r="AY15" s="46"/>
      <c r="AZ15" s="32">
        <v>4555618</v>
      </c>
      <c r="BA15" s="32">
        <v>4555618</v>
      </c>
      <c r="BB15" s="32">
        <v>4555618</v>
      </c>
      <c r="BC15" s="32">
        <v>4555618</v>
      </c>
      <c r="BD15" s="32">
        <v>4555618</v>
      </c>
      <c r="BE15" s="32">
        <v>4555618</v>
      </c>
      <c r="BF15" s="32">
        <v>4555618</v>
      </c>
      <c r="BG15" s="32">
        <v>4555618</v>
      </c>
      <c r="BH15" s="32">
        <v>4555618</v>
      </c>
      <c r="BI15" s="32">
        <v>4555618</v>
      </c>
      <c r="BJ15" s="32">
        <v>4555618</v>
      </c>
      <c r="BK15" s="32">
        <v>4555618</v>
      </c>
      <c r="BL15" s="21"/>
    </row>
    <row r="16" spans="2:64" s="14" customFormat="1">
      <c r="B16" s="30" t="s">
        <v>28</v>
      </c>
      <c r="C16" s="33">
        <f>C14/C15</f>
        <v>0.5372211665345582</v>
      </c>
      <c r="D16" s="33">
        <f t="shared" ref="D16:AQ16" si="17">D14/D15</f>
        <v>0.58081470807547919</v>
      </c>
      <c r="E16" s="33">
        <f t="shared" si="17"/>
        <v>0.90755032665406554</v>
      </c>
      <c r="F16" s="33">
        <f t="shared" si="17"/>
        <v>0.89371917427759362</v>
      </c>
      <c r="G16" s="33">
        <f t="shared" si="17"/>
        <v>1.2057217071821384</v>
      </c>
      <c r="H16" s="33">
        <f t="shared" si="17"/>
        <v>0.83975441789904293</v>
      </c>
      <c r="I16" s="33">
        <f t="shared" si="17"/>
        <v>1.3485434371438156</v>
      </c>
      <c r="J16" s="33">
        <f t="shared" si="17"/>
        <v>1.2434878130415408</v>
      </c>
      <c r="K16" s="33">
        <f t="shared" si="17"/>
        <v>1.3509085005014903</v>
      </c>
      <c r="L16" s="47"/>
      <c r="M16" s="33">
        <f t="shared" si="17"/>
        <v>1.3592037405092994</v>
      </c>
      <c r="N16" s="33">
        <f t="shared" si="17"/>
        <v>1.0747132945603526</v>
      </c>
      <c r="O16" s="33">
        <f t="shared" si="17"/>
        <v>1.5234118717026084</v>
      </c>
      <c r="P16" s="33">
        <f t="shared" si="17"/>
        <v>1.1912337560994166</v>
      </c>
      <c r="Q16" s="33">
        <f t="shared" si="17"/>
        <v>1.1621778645476939</v>
      </c>
      <c r="R16" s="33">
        <f t="shared" si="17"/>
        <v>1.5474553553099766</v>
      </c>
      <c r="S16" s="33">
        <f t="shared" si="17"/>
        <v>1.451537339358711</v>
      </c>
      <c r="T16" s="33">
        <f t="shared" si="17"/>
        <v>1.0160646680044367</v>
      </c>
      <c r="U16" s="33">
        <f t="shared" si="17"/>
        <v>0.99137683216132211</v>
      </c>
      <c r="V16" s="33">
        <f t="shared" si="17"/>
        <v>0.87771353950533404</v>
      </c>
      <c r="W16" s="33">
        <f t="shared" si="17"/>
        <v>0.84034001522792368</v>
      </c>
      <c r="X16" s="33">
        <f>X14/X15</f>
        <v>0.95511583794438792</v>
      </c>
      <c r="Y16" s="47"/>
      <c r="Z16" s="33">
        <f t="shared" si="17"/>
        <v>1.2857837926273399</v>
      </c>
      <c r="AA16" s="33">
        <f t="shared" si="17"/>
        <v>1.0866006226955676</v>
      </c>
      <c r="AB16" s="33">
        <f t="shared" si="17"/>
        <v>1.1030102376555362</v>
      </c>
      <c r="AC16" s="33">
        <f t="shared" si="17"/>
        <v>1.1285294753718638</v>
      </c>
      <c r="AD16" s="33">
        <f t="shared" si="17"/>
        <v>1.0759077527624152</v>
      </c>
      <c r="AE16" s="33">
        <f t="shared" si="17"/>
        <v>1.1165825667356857</v>
      </c>
      <c r="AF16" s="33">
        <f t="shared" si="17"/>
        <v>1.0499535402626177</v>
      </c>
      <c r="AG16" s="33">
        <v>1.0775308907185996</v>
      </c>
      <c r="AH16" s="33">
        <f t="shared" ref="AH16:AK16" si="18">AH14/AH15</f>
        <v>1.2483687022040044</v>
      </c>
      <c r="AI16" s="33">
        <f t="shared" si="18"/>
        <v>0.85998160142766844</v>
      </c>
      <c r="AJ16" s="33">
        <f t="shared" si="18"/>
        <v>0.91548484263833385</v>
      </c>
      <c r="AK16" s="33">
        <f t="shared" si="18"/>
        <v>0.92964145799027542</v>
      </c>
      <c r="AL16" s="47"/>
      <c r="AM16" s="33">
        <f t="shared" si="17"/>
        <v>0.87080352794725446</v>
      </c>
      <c r="AN16" s="33">
        <f t="shared" si="17"/>
        <v>1.0089412685229335</v>
      </c>
      <c r="AO16" s="33">
        <f t="shared" si="17"/>
        <v>0.94049178225300034</v>
      </c>
      <c r="AP16" s="33">
        <f t="shared" si="17"/>
        <v>0.99097184578945285</v>
      </c>
      <c r="AQ16" s="33">
        <f t="shared" si="17"/>
        <v>0.94435885288216048</v>
      </c>
      <c r="AR16" s="33">
        <f>AR14/AR15</f>
        <v>0.97666593345209385</v>
      </c>
      <c r="AS16" s="33">
        <f t="shared" ref="AS16:AT16" si="19">AS14/AS15</f>
        <v>0.95405190389132466</v>
      </c>
      <c r="AT16" s="33">
        <f t="shared" si="19"/>
        <v>0.91989529692319982</v>
      </c>
      <c r="AU16" s="33">
        <f t="shared" ref="AU16" si="20">AU14/AU15</f>
        <v>0.94795815189069821</v>
      </c>
      <c r="AV16" s="33">
        <f>AV14/AV15</f>
        <v>0.85505441632726886</v>
      </c>
      <c r="AW16" s="33">
        <f t="shared" ref="AW16" si="21">AW14/AW15</f>
        <v>0.95964796862674617</v>
      </c>
      <c r="AX16" s="33">
        <f>AX14/AX15</f>
        <v>1.0140405099813021</v>
      </c>
      <c r="AY16" s="47"/>
      <c r="AZ16" s="33">
        <f>AZ14/AZ15</f>
        <v>0.9789599610854115</v>
      </c>
      <c r="BA16" s="33">
        <f t="shared" ref="BA16:BB16" si="22">BA14/BA15</f>
        <v>1.091771593976701</v>
      </c>
      <c r="BB16" s="33">
        <f t="shared" si="22"/>
        <v>0.89521542091420092</v>
      </c>
      <c r="BC16" s="33">
        <f t="shared" ref="BC16:BD16" si="23">BC14/BC15</f>
        <v>1.203418556372907</v>
      </c>
      <c r="BD16" s="33">
        <f t="shared" si="23"/>
        <v>1.1055996366878063</v>
      </c>
      <c r="BE16" s="33">
        <f t="shared" ref="BE16:BF16" si="24">BE14/BE15</f>
        <v>1.0714488611427053</v>
      </c>
      <c r="BF16" s="33">
        <f t="shared" si="24"/>
        <v>0.98480340091088392</v>
      </c>
      <c r="BG16" s="33">
        <f t="shared" ref="BG16:BH16" si="25">BG14/BG15</f>
        <v>1.0121428106489898</v>
      </c>
      <c r="BH16" s="33">
        <f t="shared" si="25"/>
        <v>1.0958245052706526</v>
      </c>
      <c r="BI16" s="33">
        <f t="shared" ref="BI16:BJ16" si="26">BI14/BI15</f>
        <v>0.8487907481099074</v>
      </c>
      <c r="BJ16" s="33">
        <f t="shared" si="26"/>
        <v>1.0278242569526899</v>
      </c>
      <c r="BK16" s="33">
        <v>0.96631780241969001</v>
      </c>
    </row>
    <row r="17" spans="2:63">
      <c r="B17" s="30" t="s">
        <v>29</v>
      </c>
      <c r="C17" s="31">
        <v>893835.5</v>
      </c>
      <c r="D17" s="31">
        <v>1072602.5999999999</v>
      </c>
      <c r="E17" s="31">
        <v>1608903.9000000001</v>
      </c>
      <c r="F17" s="31">
        <f>0.9*1787671</f>
        <v>1608903.9000000001</v>
      </c>
      <c r="G17" s="31">
        <v>1787671</v>
      </c>
      <c r="H17" s="31">
        <v>1877054.55</v>
      </c>
      <c r="I17" s="31">
        <v>2145205.1999999997</v>
      </c>
      <c r="J17" s="31">
        <v>2234588.75</v>
      </c>
      <c r="K17" s="31">
        <v>2323972.3000000003</v>
      </c>
      <c r="L17" s="45"/>
      <c r="M17" s="31">
        <f>1.3*1787671</f>
        <v>2323972.3000000003</v>
      </c>
      <c r="N17" s="31">
        <f>1.3*1787671</f>
        <v>2323972.3000000003</v>
      </c>
      <c r="O17" s="31">
        <v>2413355.85</v>
      </c>
      <c r="P17" s="31">
        <v>2413355.85</v>
      </c>
      <c r="Q17" s="31">
        <v>2751045.1100000003</v>
      </c>
      <c r="R17" s="31">
        <f>2338240*1.4</f>
        <v>3273536</v>
      </c>
      <c r="S17" s="31">
        <f>(1.3*2338240)+(40149.55218678)</f>
        <v>3079861.5521867801</v>
      </c>
      <c r="T17" s="31">
        <f>(1.15*2338240)+(1.15*138396)+(0.721531723*542817)</f>
        <v>3239791.0852836911</v>
      </c>
      <c r="U17" s="31">
        <f>U15*1</f>
        <v>3019453</v>
      </c>
      <c r="V17" s="31">
        <f>V15*0.95</f>
        <v>2868480.35</v>
      </c>
      <c r="W17" s="31">
        <f>W15*0.96</f>
        <v>2898674.88</v>
      </c>
      <c r="X17" s="31">
        <f>X15*1</f>
        <v>3019453</v>
      </c>
      <c r="Y17" s="45"/>
      <c r="Z17" s="31">
        <f>Z15*1.05</f>
        <v>3170425.65</v>
      </c>
      <c r="AA17" s="31">
        <f>AA15*1.06</f>
        <v>3200620.18</v>
      </c>
      <c r="AB17" s="31">
        <f>AB15*1.1</f>
        <v>3321398.3000000003</v>
      </c>
      <c r="AC17" s="31">
        <f>AC15*1.1</f>
        <v>3321398.3000000003</v>
      </c>
      <c r="AD17" s="31">
        <f>AD15*1.1</f>
        <v>3321398.3000000003</v>
      </c>
      <c r="AE17" s="31">
        <f>AE15*1.1</f>
        <v>3321398.3000000003</v>
      </c>
      <c r="AF17" s="31">
        <f>AF15*1.05</f>
        <v>3170425.65</v>
      </c>
      <c r="AG17" s="31">
        <v>3303891.94</v>
      </c>
      <c r="AH17" s="31">
        <f t="shared" ref="AH17" si="27">AH15*1.05</f>
        <v>3510249.75</v>
      </c>
      <c r="AI17" s="31">
        <f>AI15*1.02</f>
        <v>3409956.9</v>
      </c>
      <c r="AJ17" s="31">
        <f>AJ15*1</f>
        <v>3343095</v>
      </c>
      <c r="AK17" s="31">
        <f t="shared" ref="AK17" si="28">AK15*1</f>
        <v>3343095</v>
      </c>
      <c r="AL17" s="45"/>
      <c r="AM17" s="31">
        <f>AM15*0.95</f>
        <v>3175940.25</v>
      </c>
      <c r="AN17" s="31">
        <f>AN15*0.95</f>
        <v>3175940.25</v>
      </c>
      <c r="AO17" s="31">
        <f t="shared" ref="AO17:AP17" si="29">AO15*0.95</f>
        <v>3797103.4499999997</v>
      </c>
      <c r="AP17" s="31">
        <f t="shared" si="29"/>
        <v>3797103.4499999997</v>
      </c>
      <c r="AQ17" s="31">
        <f>AQ15*0.96</f>
        <v>3837072.96</v>
      </c>
      <c r="AR17" s="31">
        <f>AR15*0.95</f>
        <v>3797103.4499999997</v>
      </c>
      <c r="AS17" s="31">
        <f t="shared" ref="AS17" si="30">AS15*0.95</f>
        <v>4327837.0999999996</v>
      </c>
      <c r="AT17" s="31">
        <f>AT15*0.93</f>
        <v>4236724.74</v>
      </c>
      <c r="AU17" s="31">
        <f t="shared" ref="AU17:AV17" si="31">AU15*0.93</f>
        <v>4236724.74</v>
      </c>
      <c r="AV17" s="31">
        <f t="shared" si="31"/>
        <v>4236724.74</v>
      </c>
      <c r="AW17" s="31">
        <f>AW15*0.95</f>
        <v>4327837.0999999996</v>
      </c>
      <c r="AX17" s="31">
        <f>AX15*0.95</f>
        <v>4327837.0999999996</v>
      </c>
      <c r="AY17" s="45"/>
      <c r="AZ17" s="31">
        <f>AZ15*0.97</f>
        <v>4418949.46</v>
      </c>
      <c r="BA17" s="31">
        <f>BA15*0.98</f>
        <v>4464505.6399999997</v>
      </c>
      <c r="BB17" s="31">
        <f>BB15*0.99</f>
        <v>4510061.82</v>
      </c>
      <c r="BC17" s="31">
        <f>BC15*1</f>
        <v>4555618</v>
      </c>
      <c r="BD17" s="31">
        <f>BD15*1.01</f>
        <v>4601174.18</v>
      </c>
      <c r="BE17" s="31">
        <f>BE15*1.09</f>
        <v>4965623.62</v>
      </c>
      <c r="BF17" s="31">
        <f>BF15*1.01</f>
        <v>4601174.18</v>
      </c>
      <c r="BG17" s="31">
        <f t="shared" ref="BG17:BH17" si="32">BG15*1.01</f>
        <v>4601174.18</v>
      </c>
      <c r="BH17" s="31">
        <f t="shared" si="32"/>
        <v>4601174.18</v>
      </c>
      <c r="BI17" s="31">
        <f t="shared" ref="BI17:BJ17" si="33">BI15*1.01</f>
        <v>4601174.18</v>
      </c>
      <c r="BJ17" s="31">
        <f t="shared" si="33"/>
        <v>4601174.18</v>
      </c>
      <c r="BK17" s="31">
        <v>4601174.18</v>
      </c>
    </row>
    <row r="18" spans="2:63" s="14" customFormat="1">
      <c r="B18" s="30" t="s">
        <v>30</v>
      </c>
      <c r="C18" s="33">
        <f>C17/C15</f>
        <v>0.5</v>
      </c>
      <c r="D18" s="33">
        <f t="shared" ref="D18:X18" si="34">D17/D15</f>
        <v>0.59999999999999987</v>
      </c>
      <c r="E18" s="33">
        <f t="shared" si="34"/>
        <v>0.90000000000000013</v>
      </c>
      <c r="F18" s="33">
        <f t="shared" si="34"/>
        <v>0.90000000000000013</v>
      </c>
      <c r="G18" s="33">
        <f t="shared" si="34"/>
        <v>1</v>
      </c>
      <c r="H18" s="33">
        <f t="shared" si="34"/>
        <v>1.05</v>
      </c>
      <c r="I18" s="33">
        <f t="shared" si="34"/>
        <v>1.1999999999999997</v>
      </c>
      <c r="J18" s="33">
        <f t="shared" si="34"/>
        <v>1.25</v>
      </c>
      <c r="K18" s="33">
        <f t="shared" si="34"/>
        <v>1.3000000000000003</v>
      </c>
      <c r="L18" s="47"/>
      <c r="M18" s="33">
        <f t="shared" si="34"/>
        <v>1.3000000000000003</v>
      </c>
      <c r="N18" s="33">
        <f t="shared" si="34"/>
        <v>1.3000000000000003</v>
      </c>
      <c r="O18" s="33">
        <f t="shared" si="34"/>
        <v>1.35</v>
      </c>
      <c r="P18" s="33">
        <f t="shared" si="34"/>
        <v>1.35</v>
      </c>
      <c r="Q18" s="33">
        <f t="shared" si="34"/>
        <v>1.176545226324073</v>
      </c>
      <c r="R18" s="33">
        <f t="shared" si="34"/>
        <v>1.4</v>
      </c>
      <c r="S18" s="33">
        <f>S17/2338240</f>
        <v>1.3171708431071147</v>
      </c>
      <c r="T18" s="33">
        <v>1.1499999999999999</v>
      </c>
      <c r="U18" s="33">
        <f t="shared" si="34"/>
        <v>1</v>
      </c>
      <c r="V18" s="33">
        <f t="shared" si="34"/>
        <v>0.95000000000000007</v>
      </c>
      <c r="W18" s="33">
        <f t="shared" si="34"/>
        <v>0.96</v>
      </c>
      <c r="X18" s="33">
        <f t="shared" si="34"/>
        <v>1</v>
      </c>
      <c r="Y18" s="47"/>
      <c r="Z18" s="33">
        <f>Z17/Z15</f>
        <v>1.05</v>
      </c>
      <c r="AA18" s="33">
        <f>AA17/AA15</f>
        <v>1.06</v>
      </c>
      <c r="AB18" s="33">
        <f t="shared" ref="AB18:AQ18" si="35">AB17/AB15</f>
        <v>1.1000000000000001</v>
      </c>
      <c r="AC18" s="33">
        <f t="shared" si="35"/>
        <v>1.1000000000000001</v>
      </c>
      <c r="AD18" s="33">
        <f t="shared" si="35"/>
        <v>1.1000000000000001</v>
      </c>
      <c r="AE18" s="33">
        <f t="shared" si="35"/>
        <v>1.1000000000000001</v>
      </c>
      <c r="AF18" s="33">
        <f t="shared" si="35"/>
        <v>1.05</v>
      </c>
      <c r="AG18" s="33">
        <v>1.0942021419111343</v>
      </c>
      <c r="AH18" s="33">
        <f t="shared" ref="AH18:AK18" si="36">AH17/AH15</f>
        <v>1.05</v>
      </c>
      <c r="AI18" s="33">
        <f t="shared" si="36"/>
        <v>1.02</v>
      </c>
      <c r="AJ18" s="33">
        <f t="shared" si="36"/>
        <v>1</v>
      </c>
      <c r="AK18" s="33">
        <f t="shared" si="36"/>
        <v>1</v>
      </c>
      <c r="AL18" s="47"/>
      <c r="AM18" s="33">
        <f t="shared" si="35"/>
        <v>0.95</v>
      </c>
      <c r="AN18" s="33">
        <f t="shared" si="35"/>
        <v>0.95</v>
      </c>
      <c r="AO18" s="33">
        <f t="shared" si="35"/>
        <v>0.95</v>
      </c>
      <c r="AP18" s="33">
        <f t="shared" si="35"/>
        <v>0.95</v>
      </c>
      <c r="AQ18" s="33">
        <f t="shared" si="35"/>
        <v>0.96</v>
      </c>
      <c r="AR18" s="33">
        <f>AR17/AR15</f>
        <v>0.95</v>
      </c>
      <c r="AS18" s="33">
        <f t="shared" ref="AS18:AT18" si="37">AS17/AS15</f>
        <v>0.95</v>
      </c>
      <c r="AT18" s="33">
        <f t="shared" si="37"/>
        <v>0.93</v>
      </c>
      <c r="AU18" s="33">
        <f t="shared" ref="AU18" si="38">AU17/AU15</f>
        <v>0.93</v>
      </c>
      <c r="AV18" s="33">
        <f>AV17/AV15</f>
        <v>0.93</v>
      </c>
      <c r="AW18" s="33">
        <f t="shared" ref="AW18" si="39">AW17/AW15</f>
        <v>0.95</v>
      </c>
      <c r="AX18" s="33">
        <f>AX17/AX15</f>
        <v>0.95</v>
      </c>
      <c r="AY18" s="47"/>
      <c r="AZ18" s="33">
        <f>AZ17/AZ15</f>
        <v>0.97</v>
      </c>
      <c r="BA18" s="33">
        <f t="shared" ref="BA18:BB18" si="40">BA17/BA15</f>
        <v>0.97999999999999987</v>
      </c>
      <c r="BB18" s="33">
        <f t="shared" si="40"/>
        <v>0.9900000000000001</v>
      </c>
      <c r="BC18" s="33">
        <f t="shared" ref="BC18:BD18" si="41">BC17/BC15</f>
        <v>1</v>
      </c>
      <c r="BD18" s="33">
        <f t="shared" si="41"/>
        <v>1.01</v>
      </c>
      <c r="BE18" s="33">
        <f t="shared" ref="BE18:BF18" si="42">BE17/BE15</f>
        <v>1.0900000000000001</v>
      </c>
      <c r="BF18" s="33">
        <f t="shared" si="42"/>
        <v>1.01</v>
      </c>
      <c r="BG18" s="33">
        <f t="shared" ref="BG18:BH18" si="43">BG17/BG15</f>
        <v>1.01</v>
      </c>
      <c r="BH18" s="33">
        <f t="shared" si="43"/>
        <v>1.01</v>
      </c>
      <c r="BI18" s="33">
        <f t="shared" ref="BI18:BJ18" si="44">BI17/BI15</f>
        <v>1.01</v>
      </c>
      <c r="BJ18" s="33">
        <f t="shared" si="44"/>
        <v>1.01</v>
      </c>
      <c r="BK18" s="33">
        <v>1.01</v>
      </c>
    </row>
    <row r="19" spans="2:63">
      <c r="B19" s="30" t="s">
        <v>31</v>
      </c>
      <c r="C19" s="31">
        <f>C14-C17</f>
        <v>66539.200000000186</v>
      </c>
      <c r="D19" s="31">
        <f>C19+D14-D17</f>
        <v>32242.210000000196</v>
      </c>
      <c r="E19" s="31">
        <f>D19+E14-E17</f>
        <v>45739.709999999963</v>
      </c>
      <c r="F19" s="31">
        <f>E19+(F14-F17)</f>
        <v>34511.659999999916</v>
      </c>
      <c r="G19" s="31">
        <f t="shared" ref="G19:K19" si="45">F19+(G14-G17)</f>
        <v>402274.39000000036</v>
      </c>
      <c r="H19" s="31">
        <f t="shared" si="45"/>
        <v>26424.460000000196</v>
      </c>
      <c r="I19" s="31">
        <f t="shared" si="45"/>
        <v>291971.2548223224</v>
      </c>
      <c r="J19" s="31">
        <f t="shared" si="45"/>
        <v>280329.60705010663</v>
      </c>
      <c r="K19" s="31">
        <f t="shared" si="45"/>
        <v>371337.25705010607</v>
      </c>
      <c r="L19" s="45"/>
      <c r="M19" s="31">
        <f>K19+(M14-M17)</f>
        <v>477174.06705010566</v>
      </c>
      <c r="N19" s="31">
        <f t="shared" ref="N19:R19" si="46">M19+(N14-N17)</f>
        <v>74435.557050105417</v>
      </c>
      <c r="O19" s="31">
        <f t="shared" si="46"/>
        <v>384438.93114857911</v>
      </c>
      <c r="P19" s="31">
        <f t="shared" si="46"/>
        <v>100617.12114857906</v>
      </c>
      <c r="Q19" s="31">
        <f t="shared" si="46"/>
        <v>67022.781148578273</v>
      </c>
      <c r="R19" s="31">
        <f t="shared" si="46"/>
        <v>411808.79114857805</v>
      </c>
      <c r="S19" s="31">
        <f>R19+(S14-S17)</f>
        <v>926876.86896179826</v>
      </c>
      <c r="T19" s="31">
        <f t="shared" ref="T19:X19" si="47">S19+(T14-T17)</f>
        <v>755045.2936781079</v>
      </c>
      <c r="U19" s="31">
        <f t="shared" si="47"/>
        <v>729008.04367810837</v>
      </c>
      <c r="V19" s="31">
        <f t="shared" si="47"/>
        <v>510742.47367810761</v>
      </c>
      <c r="W19" s="31">
        <f t="shared" si="47"/>
        <v>149434.77367810742</v>
      </c>
      <c r="X19" s="31">
        <f t="shared" si="47"/>
        <v>13909.155906803207</v>
      </c>
      <c r="Y19" s="45"/>
      <c r="Z19" s="31">
        <f>X19+(Z14-Z17)</f>
        <v>725847.23590680282</v>
      </c>
      <c r="AA19" s="31">
        <f t="shared" ref="AA19:AE19" si="48">Z19+(AA14-AA17)</f>
        <v>806166.56590680243</v>
      </c>
      <c r="AB19" s="31">
        <f t="shared" si="48"/>
        <v>815255.83702652366</v>
      </c>
      <c r="AC19" s="31">
        <f t="shared" si="48"/>
        <v>901399.24702652334</v>
      </c>
      <c r="AD19" s="31">
        <f t="shared" si="48"/>
        <v>828653.83882825612</v>
      </c>
      <c r="AE19" s="31">
        <f t="shared" si="48"/>
        <v>878724.11970602232</v>
      </c>
      <c r="AF19" s="31">
        <f>AE19+(AF14-AF17)</f>
        <v>878583.83671260416</v>
      </c>
      <c r="AG19" s="31">
        <f>AF19+(AG14-AG17)</f>
        <v>828245.77728555189</v>
      </c>
      <c r="AH19" s="31">
        <f t="shared" ref="AH19:AJ19" si="49">AG19+(AH14-AH17)</f>
        <v>1491411.1937802483</v>
      </c>
      <c r="AI19" s="31">
        <f t="shared" si="49"/>
        <v>956454.48560507945</v>
      </c>
      <c r="AJ19" s="31">
        <f t="shared" si="49"/>
        <v>673912.28560508019</v>
      </c>
      <c r="AK19" s="31">
        <f>AJ19+(AK14-AK17)</f>
        <v>438696.99560508016</v>
      </c>
      <c r="AL19" s="45"/>
      <c r="AM19" s="31">
        <f>AK19+(AM14-AM17)</f>
        <v>173935.66586790676</v>
      </c>
      <c r="AN19" s="31">
        <f t="shared" ref="AN19:AT19" si="50">AM19+(AN14-AN17)</f>
        <v>370981.92596058338</v>
      </c>
      <c r="AO19" s="31">
        <f t="shared" si="50"/>
        <v>332978.04552849545</v>
      </c>
      <c r="AP19" s="31">
        <f t="shared" si="50"/>
        <v>496740.50552849495</v>
      </c>
      <c r="AQ19" s="31">
        <f t="shared" si="50"/>
        <v>434223.60691469931</v>
      </c>
      <c r="AR19" s="31">
        <f t="shared" si="50"/>
        <v>540806.03629197949</v>
      </c>
      <c r="AS19" s="31">
        <f t="shared" si="50"/>
        <v>559264.96259356872</v>
      </c>
      <c r="AT19" s="31">
        <f t="shared" si="50"/>
        <v>513231.79537224234</v>
      </c>
      <c r="AU19" s="31">
        <f t="shared" ref="AU19" si="51">AT19+(AU14-AU17)</f>
        <v>595042.27537224093</v>
      </c>
      <c r="AV19" s="31">
        <f t="shared" ref="AV19" si="52">AU19+(AV14-AV17)</f>
        <v>253618.82537224074</v>
      </c>
      <c r="AW19" s="31">
        <f t="shared" ref="AW19" si="53">AV19+(AW14-AW17)</f>
        <v>297571.2849116812</v>
      </c>
      <c r="AX19" s="31">
        <f>AW19+(AX14-AX17)</f>
        <v>589315.38491168083</v>
      </c>
      <c r="AY19" s="45"/>
      <c r="AZ19" s="31">
        <f>AX19+(AZ14-AZ17)</f>
        <v>630133.54491168098</v>
      </c>
      <c r="BA19" s="31">
        <f>AZ19+(BA14-BA17)</f>
        <v>1139322.2303206318</v>
      </c>
      <c r="BB19" s="31">
        <f>BA19+(BB14-BB17)</f>
        <v>707519.89571494167</v>
      </c>
      <c r="BC19" s="31">
        <f t="shared" ref="BC19" si="54">BB19+(BC14-BC17)</f>
        <v>1634217.1326613717</v>
      </c>
      <c r="BD19" s="31">
        <f t="shared" ref="BD19" si="55">BC19+(BD14-BD17)</f>
        <v>2069732.5583498024</v>
      </c>
      <c r="BE19" s="31">
        <f t="shared" ref="BE19" si="56">BD19+(BE14-BE17)</f>
        <v>1985220.6562510116</v>
      </c>
      <c r="BF19" s="31">
        <f t="shared" ref="BF19" si="57">BE19+(BF14-BF17)</f>
        <v>1870434.5759018513</v>
      </c>
      <c r="BG19" s="31">
        <f t="shared" ref="BG19" si="58">BF19+(BG14-BG17)</f>
        <v>1880196.4026649811</v>
      </c>
      <c r="BH19" s="31">
        <f t="shared" ref="BH19:BI19" si="59">BG19+(BH14-BH17)</f>
        <v>2271180.0637170607</v>
      </c>
      <c r="BI19" s="31">
        <f t="shared" si="59"/>
        <v>1536772.294040021</v>
      </c>
      <c r="BJ19" s="31">
        <f t="shared" ref="BJ19" si="60">BI19+(BJ14-BJ17)</f>
        <v>1617972.7998503209</v>
      </c>
      <c r="BK19" s="31">
        <v>1418973.3925717273</v>
      </c>
    </row>
    <row r="20" spans="2:63" s="14" customFormat="1">
      <c r="B20" s="30" t="s">
        <v>32</v>
      </c>
      <c r="C20" s="33">
        <f>C19/C15</f>
        <v>3.7221166534558196E-2</v>
      </c>
      <c r="D20" s="33">
        <f>D19/D15</f>
        <v>1.8035874610037413E-2</v>
      </c>
      <c r="E20" s="33">
        <f>E19/E15</f>
        <v>2.5586201264102826E-2</v>
      </c>
      <c r="F20" s="33">
        <f>F19/F15</f>
        <v>1.9305375541696385E-2</v>
      </c>
      <c r="G20" s="33">
        <f t="shared" ref="G20:K20" si="61">G19/G15</f>
        <v>0.22502708272383473</v>
      </c>
      <c r="H20" s="33">
        <f t="shared" si="61"/>
        <v>1.4781500622877586E-2</v>
      </c>
      <c r="I20" s="33">
        <f t="shared" si="61"/>
        <v>0.16332493776669332</v>
      </c>
      <c r="J20" s="33">
        <f t="shared" si="61"/>
        <v>0.15681275080823409</v>
      </c>
      <c r="K20" s="33">
        <f t="shared" si="61"/>
        <v>0.20772125130972424</v>
      </c>
      <c r="L20" s="47"/>
      <c r="M20" s="33">
        <f>M19/M15</f>
        <v>0.26692499181902357</v>
      </c>
      <c r="N20" s="33">
        <f t="shared" ref="N20:R20" si="62">N19/N15</f>
        <v>4.1638286379375972E-2</v>
      </c>
      <c r="O20" s="33">
        <f t="shared" si="62"/>
        <v>0.21505015808198438</v>
      </c>
      <c r="P20" s="33">
        <f t="shared" si="62"/>
        <v>5.6283914181400857E-2</v>
      </c>
      <c r="Q20" s="33">
        <f t="shared" si="62"/>
        <v>2.8663773243370345E-2</v>
      </c>
      <c r="R20" s="33">
        <f t="shared" si="62"/>
        <v>0.17611912855334699</v>
      </c>
      <c r="S20" s="33">
        <f>S19/S15</f>
        <v>0.37424832270943259</v>
      </c>
      <c r="T20" s="33">
        <f>T19/T15</f>
        <v>0.25006029028373944</v>
      </c>
      <c r="U20" s="33">
        <f>U19/U15</f>
        <v>0.24143712244506152</v>
      </c>
      <c r="V20" s="33">
        <f t="shared" ref="V20:X20" si="63">V19/V15</f>
        <v>0.16915066195039552</v>
      </c>
      <c r="W20" s="33">
        <f>W19/W15</f>
        <v>4.949067717831919E-2</v>
      </c>
      <c r="X20" s="33">
        <f t="shared" si="63"/>
        <v>4.6065151227070627E-3</v>
      </c>
      <c r="Y20" s="47"/>
      <c r="Z20" s="33">
        <f>Z19/Z15</f>
        <v>0.24039030775004705</v>
      </c>
      <c r="AA20" s="33">
        <f>AA19/AA15</f>
        <v>0.26699093044561462</v>
      </c>
      <c r="AB20" s="33">
        <f>AB19/AB15</f>
        <v>0.27000116810115066</v>
      </c>
      <c r="AC20" s="33">
        <f t="shared" ref="AC20:AF20" si="64">AC19/AC15</f>
        <v>0.29853064347301428</v>
      </c>
      <c r="AD20" s="33">
        <f t="shared" si="64"/>
        <v>0.27443839623542943</v>
      </c>
      <c r="AE20" s="33">
        <f t="shared" si="64"/>
        <v>0.29102096297111507</v>
      </c>
      <c r="AF20" s="33">
        <f t="shared" si="64"/>
        <v>0.29097450323373281</v>
      </c>
      <c r="AG20" s="33">
        <v>0.27430325204119899</v>
      </c>
      <c r="AH20" s="33">
        <f>AH19/AH15</f>
        <v>0.44611690477843086</v>
      </c>
      <c r="AI20" s="33">
        <f t="shared" ref="AI20:AK20" si="65">AI19/AI15</f>
        <v>0.28609850620609928</v>
      </c>
      <c r="AJ20" s="33">
        <f t="shared" si="65"/>
        <v>0.20158334884443313</v>
      </c>
      <c r="AK20" s="33">
        <f t="shared" si="65"/>
        <v>0.13122480683470861</v>
      </c>
      <c r="AL20" s="47"/>
      <c r="AM20" s="33">
        <f>AM19/AM15</f>
        <v>5.2028334781963052E-2</v>
      </c>
      <c r="AN20" s="33">
        <f>AN19/AN15</f>
        <v>0.11096960330489662</v>
      </c>
      <c r="AO20" s="33">
        <f t="shared" ref="AO20:AQ20" si="66">AO19/AO15</f>
        <v>8.3308012914968296E-2</v>
      </c>
      <c r="AP20" s="33">
        <f t="shared" si="66"/>
        <v>0.12427985870442118</v>
      </c>
      <c r="AQ20" s="33">
        <f t="shared" si="66"/>
        <v>0.1086387115865817</v>
      </c>
      <c r="AR20" s="33">
        <f>AR19/AR15</f>
        <v>0.13530464503867559</v>
      </c>
      <c r="AS20" s="33">
        <f t="shared" ref="AS20:AT20" si="67">AS19/AS15</f>
        <v>0.12276379683142193</v>
      </c>
      <c r="AT20" s="33">
        <f t="shared" si="67"/>
        <v>0.11265909375462173</v>
      </c>
      <c r="AU20" s="33">
        <f t="shared" ref="AU20:AV20" si="68">AU19/AU15</f>
        <v>0.1306172456453199</v>
      </c>
      <c r="AV20" s="33">
        <f t="shared" si="68"/>
        <v>5.5671661972588736E-2</v>
      </c>
      <c r="AW20" s="33">
        <f t="shared" ref="AW20:AX20" si="69">AW19/AW15</f>
        <v>6.5319630599334974E-2</v>
      </c>
      <c r="AX20" s="33">
        <f t="shared" si="69"/>
        <v>0.12936014058063711</v>
      </c>
      <c r="AY20" s="47"/>
      <c r="AZ20" s="33">
        <f t="shared" ref="AZ20:BB20" si="70">AZ19/AZ15</f>
        <v>0.13832010166604861</v>
      </c>
      <c r="BA20" s="33">
        <f t="shared" si="70"/>
        <v>0.25009169564274963</v>
      </c>
      <c r="BB20" s="33">
        <f t="shared" si="70"/>
        <v>0.15530711655695048</v>
      </c>
      <c r="BC20" s="33">
        <f t="shared" ref="BC20:BD20" si="71">BC19/BC15</f>
        <v>0.35872567292985752</v>
      </c>
      <c r="BD20" s="33">
        <f t="shared" si="71"/>
        <v>0.45432530961766382</v>
      </c>
      <c r="BE20" s="33">
        <f t="shared" ref="BE20:BF20" si="72">BE19/BE15</f>
        <v>0.43577417076036923</v>
      </c>
      <c r="BF20" s="33">
        <f t="shared" si="72"/>
        <v>0.41057757167125325</v>
      </c>
      <c r="BG20" s="33">
        <f t="shared" ref="BG20:BH20" si="73">BG19/BG15</f>
        <v>0.41272038232024305</v>
      </c>
      <c r="BH20" s="33">
        <f t="shared" si="73"/>
        <v>0.4985448875908956</v>
      </c>
      <c r="BI20" s="33">
        <f t="shared" ref="BI20:BJ20" si="74">BI19/BI15</f>
        <v>0.33733563570080305</v>
      </c>
      <c r="BJ20" s="33">
        <f t="shared" si="74"/>
        <v>0.35515989265349307</v>
      </c>
      <c r="BK20" s="33">
        <v>0.31147769469953962</v>
      </c>
    </row>
    <row r="21" spans="2:63" hidden="1">
      <c r="Z21" s="15"/>
      <c r="AA21" s="15"/>
      <c r="AM21" s="16"/>
    </row>
    <row r="22" spans="2:63" hidden="1">
      <c r="R22" s="17"/>
      <c r="S22" s="18"/>
      <c r="U22" s="18"/>
      <c r="V22" s="19"/>
      <c r="W22" s="19"/>
      <c r="Z22" s="19"/>
      <c r="AA22" s="19"/>
      <c r="AB22" s="15"/>
      <c r="AG22" s="20"/>
      <c r="AI22" s="21"/>
    </row>
    <row r="23" spans="2:63" hidden="1">
      <c r="R23" s="17"/>
      <c r="S23" s="19"/>
      <c r="V23" s="18"/>
      <c r="W23" s="18"/>
      <c r="X23" s="22"/>
      <c r="AB23" s="21"/>
    </row>
    <row r="24" spans="2:63" hidden="1">
      <c r="R24" s="23"/>
      <c r="S24" s="23"/>
      <c r="Z24" s="24"/>
      <c r="AG24" s="20"/>
    </row>
    <row r="26" spans="2:63" hidden="1">
      <c r="AC26" s="21"/>
    </row>
    <row r="27" spans="2:63" hidden="1">
      <c r="AK27" s="21"/>
      <c r="AL27" s="21"/>
      <c r="AY27" s="21"/>
    </row>
    <row r="28" spans="2:63" hidden="1">
      <c r="AC28" s="21"/>
    </row>
    <row r="50" spans="26:27" hidden="1">
      <c r="Z50">
        <v>1</v>
      </c>
      <c r="AA50" s="25">
        <v>11981</v>
      </c>
    </row>
    <row r="51" spans="26:27" hidden="1">
      <c r="Z51">
        <v>2</v>
      </c>
      <c r="AA51" s="25">
        <v>12113.74</v>
      </c>
    </row>
    <row r="52" spans="26:27" hidden="1">
      <c r="Z52">
        <v>3</v>
      </c>
      <c r="AA52" s="25">
        <v>11692.130000000001</v>
      </c>
    </row>
    <row r="53" spans="26:27" hidden="1">
      <c r="Z53">
        <v>6</v>
      </c>
      <c r="AA53" s="25">
        <v>11221.19</v>
      </c>
    </row>
    <row r="54" spans="26:27" hidden="1">
      <c r="Z54">
        <v>7</v>
      </c>
      <c r="AA54" s="25">
        <v>11864.66</v>
      </c>
    </row>
    <row r="55" spans="26:27" hidden="1">
      <c r="Z55">
        <v>8</v>
      </c>
      <c r="AA55" s="25">
        <v>11666.73</v>
      </c>
    </row>
    <row r="56" spans="26:27" hidden="1">
      <c r="Z56">
        <v>9</v>
      </c>
      <c r="AA56" s="25">
        <v>11559.93</v>
      </c>
    </row>
    <row r="57" spans="26:27" hidden="1">
      <c r="Z57">
        <v>10</v>
      </c>
      <c r="AA57" s="25">
        <v>11530.17</v>
      </c>
    </row>
    <row r="58" spans="26:27" hidden="1">
      <c r="Z58">
        <v>13</v>
      </c>
      <c r="AA58" s="25">
        <v>11486.3</v>
      </c>
    </row>
    <row r="59" spans="26:27" hidden="1">
      <c r="Z59">
        <v>14</v>
      </c>
      <c r="AA59" s="25">
        <v>11251.519999999999</v>
      </c>
    </row>
    <row r="60" spans="26:27" hidden="1">
      <c r="Z60">
        <v>15</v>
      </c>
      <c r="AA60" s="25">
        <v>11212.81</v>
      </c>
    </row>
    <row r="61" spans="26:27" hidden="1">
      <c r="Z61">
        <v>16</v>
      </c>
      <c r="AA61" s="25">
        <v>9522.07</v>
      </c>
    </row>
    <row r="62" spans="26:27" hidden="1">
      <c r="Z62">
        <v>17</v>
      </c>
      <c r="AA62" s="25">
        <v>12190.91</v>
      </c>
    </row>
    <row r="63" spans="26:27" hidden="1">
      <c r="Z63">
        <v>20</v>
      </c>
      <c r="AA63" s="25">
        <v>12490.15</v>
      </c>
    </row>
    <row r="64" spans="26:27" hidden="1">
      <c r="Z64">
        <v>21</v>
      </c>
      <c r="AA64" s="25">
        <v>10165.36</v>
      </c>
    </row>
    <row r="65" spans="26:27" hidden="1">
      <c r="Z65">
        <v>22</v>
      </c>
      <c r="AA65" s="25">
        <v>8615.6</v>
      </c>
    </row>
    <row r="66" spans="26:27" hidden="1">
      <c r="Z66">
        <v>23</v>
      </c>
      <c r="AA66" s="25">
        <v>9166.5500000000011</v>
      </c>
    </row>
    <row r="67" spans="26:27" hidden="1">
      <c r="Z67">
        <v>24</v>
      </c>
      <c r="AA67" s="25">
        <v>9447.0500000000011</v>
      </c>
    </row>
    <row r="68" spans="26:27" hidden="1">
      <c r="Z68">
        <v>27</v>
      </c>
      <c r="AA68" s="25">
        <v>9455.98</v>
      </c>
    </row>
    <row r="69" spans="26:27" hidden="1">
      <c r="Z69">
        <v>28</v>
      </c>
      <c r="AA69" s="25">
        <v>10219.02</v>
      </c>
    </row>
    <row r="70" spans="26:27" hidden="1">
      <c r="Z70">
        <v>29</v>
      </c>
      <c r="AA70" s="25">
        <v>10768.08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8C34-DD30-480E-B405-BFD786795B05}">
  <dimension ref="A4:AX74"/>
  <sheetViews>
    <sheetView showGridLines="0" zoomScale="85" zoomScaleNormal="85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N36" sqref="N36"/>
    </sheetView>
  </sheetViews>
  <sheetFormatPr baseColWidth="10" defaultColWidth="0" defaultRowHeight="15"/>
  <cols>
    <col min="1" max="1" width="10.6640625" bestFit="1" customWidth="1"/>
    <col min="2" max="2" width="3.1640625" bestFit="1" customWidth="1"/>
    <col min="3" max="3" width="27.1640625" bestFit="1" customWidth="1"/>
    <col min="4" max="4" width="18.1640625" bestFit="1" customWidth="1"/>
    <col min="5" max="5" width="12.5" bestFit="1" customWidth="1"/>
    <col min="6" max="6" width="11.5" bestFit="1" customWidth="1"/>
    <col min="7" max="7" width="10.33203125" bestFit="1" customWidth="1"/>
    <col min="8" max="8" width="10" bestFit="1" customWidth="1"/>
    <col min="9" max="9" width="13.6640625" bestFit="1" customWidth="1"/>
    <col min="10" max="10" width="10" bestFit="1" customWidth="1"/>
    <col min="11" max="11" width="7.1640625" bestFit="1" customWidth="1"/>
    <col min="12" max="12" width="14.6640625" bestFit="1" customWidth="1"/>
    <col min="13" max="13" width="11.83203125" bestFit="1" customWidth="1"/>
    <col min="14" max="14" width="11.5" bestFit="1" customWidth="1"/>
    <col min="15" max="15" width="8.6640625" bestFit="1" customWidth="1"/>
    <col min="16" max="16" width="12.5" bestFit="1" customWidth="1"/>
    <col min="17" max="17" width="17" bestFit="1" customWidth="1"/>
    <col min="18" max="18" width="3.33203125" customWidth="1"/>
    <col min="19" max="19" width="2.1640625" customWidth="1"/>
    <col min="20" max="20" width="3" customWidth="1"/>
    <col min="21" max="21" width="13.5" bestFit="1" customWidth="1"/>
    <col min="22" max="22" width="9.1640625" customWidth="1"/>
    <col min="23" max="23" width="1.5" customWidth="1"/>
    <col min="24" max="24" width="12" bestFit="1" customWidth="1"/>
    <col min="25" max="25" width="9.1640625" customWidth="1"/>
    <col min="26" max="26" width="1.5" customWidth="1"/>
    <col min="27" max="27" width="12.5" bestFit="1" customWidth="1"/>
    <col min="28" max="28" width="9" customWidth="1"/>
    <col min="29" max="29" width="1.5" customWidth="1"/>
    <col min="30" max="30" width="11.5" bestFit="1" customWidth="1"/>
    <col min="31" max="31" width="9" customWidth="1"/>
    <col min="32" max="32" width="1.5" customWidth="1"/>
    <col min="33" max="33" width="18.1640625" bestFit="1" customWidth="1"/>
    <col min="34" max="34" width="9.1640625" customWidth="1"/>
    <col min="35" max="35" width="1.5" customWidth="1"/>
    <col min="36" max="36" width="13.6640625" bestFit="1" customWidth="1"/>
    <col min="37" max="37" width="9.1640625" customWidth="1"/>
    <col min="38" max="38" width="1.5" customWidth="1"/>
    <col min="39" max="39" width="13.6640625" bestFit="1" customWidth="1"/>
    <col min="40" max="40" width="9.1640625" customWidth="1"/>
    <col min="41" max="50" width="0" hidden="1" customWidth="1"/>
    <col min="51" max="16384" width="9.1640625" hidden="1"/>
  </cols>
  <sheetData>
    <row r="4" spans="1:50">
      <c r="M4" s="62"/>
    </row>
    <row r="5" spans="1:50">
      <c r="A5" s="91"/>
      <c r="B5" s="87" t="s">
        <v>280</v>
      </c>
      <c r="C5" s="86" t="s">
        <v>33</v>
      </c>
      <c r="D5" s="86" t="s">
        <v>34</v>
      </c>
      <c r="E5" s="86" t="s">
        <v>35</v>
      </c>
      <c r="F5" s="86" t="s">
        <v>36</v>
      </c>
      <c r="G5" s="86" t="s">
        <v>37</v>
      </c>
      <c r="H5" s="86" t="s">
        <v>38</v>
      </c>
      <c r="I5" s="86" t="s">
        <v>250</v>
      </c>
      <c r="J5" s="86" t="s">
        <v>39</v>
      </c>
      <c r="K5" s="86" t="s">
        <v>40</v>
      </c>
      <c r="L5" s="86" t="s">
        <v>41</v>
      </c>
      <c r="M5" s="86" t="s">
        <v>42</v>
      </c>
      <c r="N5" s="86" t="s">
        <v>43</v>
      </c>
      <c r="O5" s="87" t="s">
        <v>46</v>
      </c>
      <c r="P5" s="87" t="s">
        <v>44</v>
      </c>
      <c r="Q5" s="87" t="s">
        <v>45</v>
      </c>
      <c r="R5" s="2"/>
      <c r="S5" s="2"/>
      <c r="T5" s="2"/>
      <c r="U5" s="89" t="s">
        <v>39</v>
      </c>
      <c r="V5" s="89"/>
      <c r="W5" s="2"/>
      <c r="X5" s="89" t="s">
        <v>166</v>
      </c>
      <c r="Y5" s="89"/>
      <c r="Z5" s="2"/>
      <c r="AA5" s="89" t="s">
        <v>35</v>
      </c>
      <c r="AB5" s="89"/>
      <c r="AC5" s="2"/>
      <c r="AD5" s="89" t="s">
        <v>170</v>
      </c>
      <c r="AE5" s="89"/>
      <c r="AF5" s="2"/>
      <c r="AG5" s="89" t="s">
        <v>34</v>
      </c>
      <c r="AH5" s="89"/>
      <c r="AI5" s="2"/>
      <c r="AJ5" s="89" t="s">
        <v>167</v>
      </c>
      <c r="AK5" s="89"/>
      <c r="AL5" s="2"/>
      <c r="AM5" s="89" t="s">
        <v>37</v>
      </c>
      <c r="AN5" s="89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>
      <c r="A6" s="56" t="s">
        <v>168</v>
      </c>
      <c r="B6" s="56">
        <v>1</v>
      </c>
      <c r="C6" s="54" t="s">
        <v>287</v>
      </c>
      <c r="D6" s="55" t="s">
        <v>66</v>
      </c>
      <c r="E6" s="56" t="s">
        <v>53</v>
      </c>
      <c r="F6" s="56" t="s">
        <v>288</v>
      </c>
      <c r="G6" s="55" t="s">
        <v>49</v>
      </c>
      <c r="H6" s="56" t="s">
        <v>64</v>
      </c>
      <c r="I6" s="56" t="s">
        <v>289</v>
      </c>
      <c r="J6" s="64" t="s">
        <v>259</v>
      </c>
      <c r="K6" s="57">
        <v>9.3729999999999994E-2</v>
      </c>
      <c r="L6" s="62">
        <v>46022</v>
      </c>
      <c r="M6" s="65">
        <v>47471</v>
      </c>
      <c r="N6" s="55" t="s">
        <v>58</v>
      </c>
      <c r="O6" s="75">
        <v>7.3134920634920633</v>
      </c>
      <c r="P6" s="76">
        <v>4.3551138615462497E-2</v>
      </c>
      <c r="Q6" s="69">
        <v>19779230.309258878</v>
      </c>
      <c r="R6" s="6"/>
      <c r="S6" s="6"/>
      <c r="T6" s="6"/>
      <c r="U6" s="40" t="s">
        <v>259</v>
      </c>
      <c r="V6" s="63">
        <v>0.70555331101635177</v>
      </c>
      <c r="W6" s="26"/>
      <c r="X6" s="49" t="s">
        <v>168</v>
      </c>
      <c r="Y6" s="63">
        <v>0.93002740865511324</v>
      </c>
      <c r="Z6" s="26"/>
      <c r="AA6" s="40" t="s">
        <v>53</v>
      </c>
      <c r="AB6" s="63">
        <v>0.48719081269979242</v>
      </c>
      <c r="AC6" s="26"/>
      <c r="AD6" s="40" t="s">
        <v>58</v>
      </c>
      <c r="AE6" s="63">
        <v>0.70909056731131137</v>
      </c>
      <c r="AF6" s="26"/>
      <c r="AG6" s="40" t="s">
        <v>47</v>
      </c>
      <c r="AH6" s="63">
        <v>0.17358541462609287</v>
      </c>
      <c r="AI6" s="26"/>
      <c r="AJ6" t="s">
        <v>267</v>
      </c>
      <c r="AK6" s="63">
        <v>4.4357851288388976E-2</v>
      </c>
      <c r="AL6" s="26"/>
      <c r="AM6" s="41" t="s">
        <v>183</v>
      </c>
      <c r="AN6" s="63">
        <v>0.79768319066275772</v>
      </c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1:50">
      <c r="A7" s="56" t="s">
        <v>168</v>
      </c>
      <c r="B7" s="56">
        <v>2</v>
      </c>
      <c r="C7" s="54" t="s">
        <v>264</v>
      </c>
      <c r="D7" s="55" t="s">
        <v>66</v>
      </c>
      <c r="E7" s="56" t="s">
        <v>53</v>
      </c>
      <c r="F7" s="56" t="s">
        <v>266</v>
      </c>
      <c r="G7" s="55" t="s">
        <v>49</v>
      </c>
      <c r="H7" s="56" t="s">
        <v>267</v>
      </c>
      <c r="I7" s="56" t="s">
        <v>268</v>
      </c>
      <c r="J7" s="64" t="s">
        <v>260</v>
      </c>
      <c r="K7" s="57">
        <v>2.5000000000000001E-2</v>
      </c>
      <c r="L7" s="62">
        <v>45991</v>
      </c>
      <c r="M7" s="73">
        <v>49481</v>
      </c>
      <c r="N7" s="56" t="s">
        <v>58</v>
      </c>
      <c r="O7" s="75">
        <v>5.3412698412698409</v>
      </c>
      <c r="P7" s="77">
        <v>4.1254017487249245E-2</v>
      </c>
      <c r="Q7" s="69">
        <v>18735967.393807501</v>
      </c>
      <c r="R7" s="5"/>
      <c r="S7" s="5"/>
      <c r="T7" s="5"/>
      <c r="U7" s="41" t="s">
        <v>260</v>
      </c>
      <c r="V7" s="63">
        <v>0.27810330788012699</v>
      </c>
      <c r="W7" s="29"/>
      <c r="X7" s="50" t="s">
        <v>169</v>
      </c>
      <c r="Y7" s="63">
        <v>6.9972591344886759E-2</v>
      </c>
      <c r="Z7" s="29"/>
      <c r="AA7" s="41" t="s">
        <v>48</v>
      </c>
      <c r="AB7" s="63">
        <v>0.25378941604308219</v>
      </c>
      <c r="AC7" s="29"/>
      <c r="AD7" s="41" t="s">
        <v>50</v>
      </c>
      <c r="AE7" s="63">
        <v>0.29090943268868874</v>
      </c>
      <c r="AF7" s="29"/>
      <c r="AG7" s="41" t="s">
        <v>66</v>
      </c>
      <c r="AH7" s="63">
        <v>0.25825437628788489</v>
      </c>
      <c r="AI7" s="29"/>
      <c r="AJ7" t="s">
        <v>55</v>
      </c>
      <c r="AK7" s="63">
        <v>0.40455955706589819</v>
      </c>
      <c r="AL7" s="29"/>
      <c r="AM7" t="s">
        <v>184</v>
      </c>
      <c r="AN7" s="63">
        <v>1.1205375124075236E-2</v>
      </c>
      <c r="AO7" s="5"/>
      <c r="AP7" s="5"/>
      <c r="AQ7" s="5"/>
      <c r="AR7" s="5"/>
      <c r="AS7" s="5"/>
      <c r="AT7" s="5"/>
      <c r="AU7" s="5"/>
      <c r="AV7" s="5"/>
      <c r="AW7" s="5"/>
      <c r="AX7" s="5"/>
    </row>
    <row r="8" spans="1:50">
      <c r="A8" s="56" t="s">
        <v>168</v>
      </c>
      <c r="B8" s="56">
        <v>3</v>
      </c>
      <c r="C8" s="54" t="s">
        <v>273</v>
      </c>
      <c r="D8" s="55" t="s">
        <v>47</v>
      </c>
      <c r="E8" s="56" t="s">
        <v>53</v>
      </c>
      <c r="F8" s="56" t="s">
        <v>275</v>
      </c>
      <c r="G8" s="55" t="s">
        <v>61</v>
      </c>
      <c r="H8" s="56" t="s">
        <v>55</v>
      </c>
      <c r="I8" s="56" t="s">
        <v>276</v>
      </c>
      <c r="J8" s="64" t="s">
        <v>260</v>
      </c>
      <c r="K8" s="57">
        <v>0.02</v>
      </c>
      <c r="L8" s="62">
        <v>45991</v>
      </c>
      <c r="M8" s="65">
        <v>48141</v>
      </c>
      <c r="N8" s="55" t="s">
        <v>58</v>
      </c>
      <c r="O8" s="75">
        <v>1.84</v>
      </c>
      <c r="P8" s="76">
        <v>3.9020206031450101E-2</v>
      </c>
      <c r="Q8" s="69">
        <v>17721457.264880002</v>
      </c>
      <c r="U8" s="36" t="s">
        <v>249</v>
      </c>
      <c r="V8" s="63">
        <v>1.6343381103521591E-2</v>
      </c>
      <c r="W8" s="4"/>
      <c r="X8" s="51"/>
      <c r="Y8" s="51"/>
      <c r="Z8" s="4"/>
      <c r="AA8" s="36" t="s">
        <v>57</v>
      </c>
      <c r="AB8" s="63">
        <v>0.25901977125712566</v>
      </c>
      <c r="AC8" s="4"/>
      <c r="AD8" s="36"/>
      <c r="AE8" s="36"/>
      <c r="AF8" s="4"/>
      <c r="AG8" s="36" t="s">
        <v>75</v>
      </c>
      <c r="AH8" s="63">
        <v>2.6387999654868148E-2</v>
      </c>
      <c r="AI8" s="4"/>
      <c r="AJ8" t="s">
        <v>155</v>
      </c>
      <c r="AK8" s="63">
        <v>5.669386335849954E-2</v>
      </c>
      <c r="AL8" s="4"/>
      <c r="AM8" t="s">
        <v>185</v>
      </c>
      <c r="AN8" s="63">
        <v>0.17011604718169529</v>
      </c>
    </row>
    <row r="9" spans="1:50">
      <c r="A9" s="56" t="s">
        <v>168</v>
      </c>
      <c r="B9" s="56">
        <v>4</v>
      </c>
      <c r="C9" s="54" t="s">
        <v>51</v>
      </c>
      <c r="D9" s="55" t="s">
        <v>52</v>
      </c>
      <c r="E9" s="56" t="s">
        <v>53</v>
      </c>
      <c r="F9" s="56" t="s">
        <v>54</v>
      </c>
      <c r="G9" s="55" t="s">
        <v>49</v>
      </c>
      <c r="H9" s="56" t="s">
        <v>55</v>
      </c>
      <c r="I9" s="56" t="s">
        <v>192</v>
      </c>
      <c r="J9" s="56" t="s">
        <v>259</v>
      </c>
      <c r="K9" s="57">
        <v>9.5000000000000001E-2</v>
      </c>
      <c r="L9" s="62">
        <v>45961</v>
      </c>
      <c r="M9" s="65">
        <v>49686</v>
      </c>
      <c r="N9" s="55" t="s">
        <v>50</v>
      </c>
      <c r="O9" s="75">
        <v>5.9523809523809526</v>
      </c>
      <c r="P9" s="76">
        <v>3.7075699495216871E-2</v>
      </c>
      <c r="Q9" s="69">
        <v>16838338.15845184</v>
      </c>
      <c r="AG9" t="s">
        <v>56</v>
      </c>
      <c r="AH9" s="63">
        <v>0.11345275761075288</v>
      </c>
      <c r="AJ9" t="s">
        <v>64</v>
      </c>
      <c r="AK9" s="63">
        <v>0.24087569243881896</v>
      </c>
      <c r="AM9" t="s">
        <v>186</v>
      </c>
      <c r="AN9" s="63">
        <v>2.0995387031471961E-2</v>
      </c>
    </row>
    <row r="10" spans="1:50">
      <c r="A10" s="56" t="s">
        <v>168</v>
      </c>
      <c r="B10" s="56">
        <v>5</v>
      </c>
      <c r="C10" s="54" t="s">
        <v>188</v>
      </c>
      <c r="D10" s="55" t="s">
        <v>99</v>
      </c>
      <c r="E10" s="56" t="s">
        <v>57</v>
      </c>
      <c r="F10" s="56" t="s">
        <v>190</v>
      </c>
      <c r="G10" s="55" t="s">
        <v>49</v>
      </c>
      <c r="H10" s="56" t="s">
        <v>155</v>
      </c>
      <c r="I10" s="56" t="s">
        <v>205</v>
      </c>
      <c r="J10" s="64" t="s">
        <v>260</v>
      </c>
      <c r="K10" s="57">
        <v>2.5999999999999999E-2</v>
      </c>
      <c r="L10" s="62">
        <v>45991</v>
      </c>
      <c r="M10" s="65">
        <v>47158</v>
      </c>
      <c r="N10" s="55" t="s">
        <v>58</v>
      </c>
      <c r="O10" s="75">
        <v>3.5833333333333335</v>
      </c>
      <c r="P10" s="76">
        <v>3.5110004917599018E-2</v>
      </c>
      <c r="Q10" s="69">
        <v>15945596.269160319</v>
      </c>
      <c r="AG10" t="s">
        <v>79</v>
      </c>
      <c r="AH10" s="63">
        <v>5.5279377170109681E-2</v>
      </c>
      <c r="AJ10" t="s">
        <v>73</v>
      </c>
      <c r="AK10" s="63">
        <v>9.3552502600642823E-2</v>
      </c>
    </row>
    <row r="11" spans="1:50">
      <c r="A11" s="56" t="s">
        <v>168</v>
      </c>
      <c r="B11" s="56">
        <v>6</v>
      </c>
      <c r="C11" s="54" t="s">
        <v>62</v>
      </c>
      <c r="D11" s="55" t="s">
        <v>56</v>
      </c>
      <c r="E11" s="56" t="s">
        <v>57</v>
      </c>
      <c r="F11" s="56" t="s">
        <v>63</v>
      </c>
      <c r="G11" s="55" t="s">
        <v>61</v>
      </c>
      <c r="H11" s="56" t="s">
        <v>64</v>
      </c>
      <c r="I11" s="56" t="s">
        <v>194</v>
      </c>
      <c r="J11" s="64" t="s">
        <v>259</v>
      </c>
      <c r="K11" s="57">
        <v>7.5303496372437051E-2</v>
      </c>
      <c r="L11" s="62">
        <v>45961</v>
      </c>
      <c r="M11" s="65">
        <v>49270</v>
      </c>
      <c r="N11" s="55" t="s">
        <v>58</v>
      </c>
      <c r="O11" s="75">
        <v>5.6587301587301591</v>
      </c>
      <c r="P11" s="76">
        <v>3.4196450310142762E-2</v>
      </c>
      <c r="Q11" s="69">
        <v>15530695.36058691</v>
      </c>
      <c r="AG11" t="s">
        <v>90</v>
      </c>
      <c r="AH11" s="63">
        <v>8.3788916006638278E-2</v>
      </c>
      <c r="AJ11" t="s">
        <v>83</v>
      </c>
      <c r="AK11" s="63">
        <v>8.6132510351527081E-2</v>
      </c>
    </row>
    <row r="12" spans="1:50">
      <c r="A12" s="56" t="s">
        <v>168</v>
      </c>
      <c r="B12" s="56">
        <v>7</v>
      </c>
      <c r="C12" s="11" t="s">
        <v>59</v>
      </c>
      <c r="D12" s="56" t="s">
        <v>56</v>
      </c>
      <c r="E12" s="56" t="s">
        <v>57</v>
      </c>
      <c r="F12" s="11" t="s">
        <v>60</v>
      </c>
      <c r="G12" s="55" t="s">
        <v>61</v>
      </c>
      <c r="H12" s="56" t="s">
        <v>55</v>
      </c>
      <c r="I12" s="56" t="s">
        <v>193</v>
      </c>
      <c r="J12" s="64" t="s">
        <v>259</v>
      </c>
      <c r="K12" s="57">
        <v>7.7499999999999999E-2</v>
      </c>
      <c r="L12" s="62">
        <v>45961</v>
      </c>
      <c r="M12" s="66">
        <v>50033</v>
      </c>
      <c r="N12" s="56" t="s">
        <v>58</v>
      </c>
      <c r="O12" s="75">
        <v>6.7023809523809526</v>
      </c>
      <c r="P12" s="77">
        <v>3.3961277009615196E-2</v>
      </c>
      <c r="Q12" s="69">
        <v>15423888.810365701</v>
      </c>
      <c r="AG12" t="s">
        <v>99</v>
      </c>
      <c r="AH12" s="63">
        <v>8.1965717750340686E-2</v>
      </c>
      <c r="AJ12" t="s">
        <v>77</v>
      </c>
      <c r="AK12" s="63">
        <v>2.6387999654868148E-2</v>
      </c>
    </row>
    <row r="13" spans="1:50">
      <c r="A13" s="56" t="s">
        <v>168</v>
      </c>
      <c r="B13" s="56">
        <v>8</v>
      </c>
      <c r="C13" s="11" t="s">
        <v>70</v>
      </c>
      <c r="D13" s="56" t="s">
        <v>71</v>
      </c>
      <c r="E13" s="56" t="s">
        <v>53</v>
      </c>
      <c r="F13" s="11" t="s">
        <v>72</v>
      </c>
      <c r="G13" s="55" t="s">
        <v>49</v>
      </c>
      <c r="H13" s="11" t="s">
        <v>73</v>
      </c>
      <c r="I13" s="11" t="s">
        <v>196</v>
      </c>
      <c r="J13" s="64" t="s">
        <v>259</v>
      </c>
      <c r="K13" s="57">
        <v>7.5399999999999995E-2</v>
      </c>
      <c r="L13" s="62">
        <v>45930</v>
      </c>
      <c r="M13" s="66">
        <v>50815</v>
      </c>
      <c r="N13" s="56" t="s">
        <v>58</v>
      </c>
      <c r="O13" s="75">
        <v>5.5027777777777782</v>
      </c>
      <c r="P13" s="77">
        <v>2.8355361603799624E-2</v>
      </c>
      <c r="Q13" s="69">
        <v>12877900.452061761</v>
      </c>
      <c r="AG13" t="s">
        <v>103</v>
      </c>
      <c r="AH13" s="63">
        <v>2.9984652304496779E-2</v>
      </c>
      <c r="AJ13" t="s">
        <v>95</v>
      </c>
      <c r="AK13" s="63">
        <v>3.9638464638263211E-2</v>
      </c>
    </row>
    <row r="14" spans="1:50">
      <c r="A14" s="56" t="s">
        <v>168</v>
      </c>
      <c r="B14" s="56">
        <v>9</v>
      </c>
      <c r="C14" s="54" t="s">
        <v>89</v>
      </c>
      <c r="D14" s="55" t="s">
        <v>90</v>
      </c>
      <c r="E14" s="56" t="s">
        <v>53</v>
      </c>
      <c r="F14" s="56" t="s">
        <v>91</v>
      </c>
      <c r="G14" s="55" t="s">
        <v>49</v>
      </c>
      <c r="H14" s="56" t="s">
        <v>55</v>
      </c>
      <c r="I14" s="56" t="s">
        <v>199</v>
      </c>
      <c r="J14" s="56" t="s">
        <v>260</v>
      </c>
      <c r="K14" s="57">
        <v>3.7569999999999999E-2</v>
      </c>
      <c r="L14" s="62">
        <v>45991</v>
      </c>
      <c r="M14" s="65">
        <v>47744</v>
      </c>
      <c r="N14" s="55" t="s">
        <v>58</v>
      </c>
      <c r="O14" s="75">
        <v>2.8888888888888888</v>
      </c>
      <c r="P14" s="76">
        <v>2.7322546704655268E-2</v>
      </c>
      <c r="Q14" s="69">
        <v>12408836.16565164</v>
      </c>
      <c r="AG14" t="s">
        <v>93</v>
      </c>
      <c r="AH14" s="63">
        <v>4.0492598865797903E-2</v>
      </c>
      <c r="AJ14" t="s">
        <v>138</v>
      </c>
      <c r="AK14" s="63">
        <v>7.8015586030935336E-3</v>
      </c>
    </row>
    <row r="15" spans="1:50">
      <c r="A15" s="56" t="s">
        <v>168</v>
      </c>
      <c r="B15" s="56">
        <v>10</v>
      </c>
      <c r="C15" s="54" t="s">
        <v>175</v>
      </c>
      <c r="D15" s="55" t="s">
        <v>176</v>
      </c>
      <c r="E15" s="56" t="s">
        <v>57</v>
      </c>
      <c r="F15" s="56" t="s">
        <v>177</v>
      </c>
      <c r="G15" s="55" t="s">
        <v>49</v>
      </c>
      <c r="H15" s="56" t="s">
        <v>64</v>
      </c>
      <c r="I15" s="56" t="s">
        <v>200</v>
      </c>
      <c r="J15" s="64" t="s">
        <v>259</v>
      </c>
      <c r="K15" s="57">
        <v>9.9810999999999997E-2</v>
      </c>
      <c r="L15" s="62">
        <v>45961</v>
      </c>
      <c r="M15" s="65">
        <v>49173</v>
      </c>
      <c r="N15" s="55" t="s">
        <v>50</v>
      </c>
      <c r="O15" s="75">
        <v>4.6904761904761907</v>
      </c>
      <c r="P15" s="76">
        <v>2.4819889022505644E-2</v>
      </c>
      <c r="Q15" s="69">
        <v>11272226.55556676</v>
      </c>
      <c r="AG15" t="s">
        <v>71</v>
      </c>
      <c r="AH15" s="63">
        <v>5.9228528865616276E-2</v>
      </c>
      <c r="AK15" s="63"/>
    </row>
    <row r="16" spans="1:50">
      <c r="A16" s="56" t="s">
        <v>168</v>
      </c>
      <c r="B16" s="56">
        <v>11</v>
      </c>
      <c r="C16" s="54" t="s">
        <v>74</v>
      </c>
      <c r="D16" s="55" t="s">
        <v>75</v>
      </c>
      <c r="E16" s="56" t="s">
        <v>48</v>
      </c>
      <c r="F16" s="56" t="s">
        <v>76</v>
      </c>
      <c r="G16" s="55" t="s">
        <v>49</v>
      </c>
      <c r="H16" s="56" t="s">
        <v>77</v>
      </c>
      <c r="I16" s="56" t="s">
        <v>197</v>
      </c>
      <c r="J16" s="64" t="s">
        <v>259</v>
      </c>
      <c r="K16" s="57">
        <v>0.1</v>
      </c>
      <c r="L16" s="62">
        <v>45930</v>
      </c>
      <c r="M16" s="65">
        <v>47511</v>
      </c>
      <c r="N16" s="55" t="s">
        <v>50</v>
      </c>
      <c r="O16" s="75">
        <v>2.7222222222222223</v>
      </c>
      <c r="P16" s="76">
        <v>2.454156293860903E-2</v>
      </c>
      <c r="Q16" s="69">
        <v>11145821.692468399</v>
      </c>
      <c r="AG16" t="s">
        <v>163</v>
      </c>
      <c r="AH16" s="63">
        <v>2.4166672275408762E-4</v>
      </c>
    </row>
    <row r="17" spans="1:34">
      <c r="A17" s="56" t="s">
        <v>168</v>
      </c>
      <c r="B17" s="56">
        <v>12</v>
      </c>
      <c r="C17" s="54" t="s">
        <v>65</v>
      </c>
      <c r="D17" s="55" t="s">
        <v>66</v>
      </c>
      <c r="E17" s="56" t="s">
        <v>53</v>
      </c>
      <c r="F17" s="11" t="s">
        <v>67</v>
      </c>
      <c r="G17" s="55" t="s">
        <v>49</v>
      </c>
      <c r="H17" s="11" t="s">
        <v>64</v>
      </c>
      <c r="I17" s="56" t="s">
        <v>195</v>
      </c>
      <c r="J17" s="64" t="s">
        <v>259</v>
      </c>
      <c r="K17" s="57">
        <v>7.3999999999999996E-2</v>
      </c>
      <c r="L17" s="62">
        <v>45961</v>
      </c>
      <c r="M17" s="66">
        <v>48757</v>
      </c>
      <c r="N17" s="56" t="s">
        <v>58</v>
      </c>
      <c r="O17" s="75">
        <v>3.3416666666666668</v>
      </c>
      <c r="P17" s="77">
        <v>2.193771307154227E-2</v>
      </c>
      <c r="Q17" s="69">
        <v>9963254.5346682798</v>
      </c>
      <c r="AG17" t="s">
        <v>52</v>
      </c>
      <c r="AH17" s="63">
        <v>5.0650727940636436E-2</v>
      </c>
    </row>
    <row r="18" spans="1:34">
      <c r="A18" s="56" t="s">
        <v>168</v>
      </c>
      <c r="B18" s="56">
        <v>13</v>
      </c>
      <c r="C18" s="54" t="s">
        <v>274</v>
      </c>
      <c r="D18" s="55" t="s">
        <v>66</v>
      </c>
      <c r="E18" s="56" t="s">
        <v>53</v>
      </c>
      <c r="F18" s="56" t="s">
        <v>277</v>
      </c>
      <c r="G18" s="55" t="s">
        <v>49</v>
      </c>
      <c r="H18" s="56" t="s">
        <v>73</v>
      </c>
      <c r="I18" s="56" t="s">
        <v>225</v>
      </c>
      <c r="J18" s="64" t="s">
        <v>259</v>
      </c>
      <c r="K18" s="57">
        <v>0.09</v>
      </c>
      <c r="L18" s="62">
        <v>45961</v>
      </c>
      <c r="M18" s="65">
        <v>51112</v>
      </c>
      <c r="N18" s="55" t="s">
        <v>58</v>
      </c>
      <c r="O18" s="75">
        <v>8.0952380952380949</v>
      </c>
      <c r="P18" s="76">
        <v>2.1705488655736682E-2</v>
      </c>
      <c r="Q18" s="69">
        <v>9857787.2529926393</v>
      </c>
      <c r="AG18" t="s">
        <v>176</v>
      </c>
      <c r="AH18" s="63">
        <v>2.6687266194011437E-2</v>
      </c>
    </row>
    <row r="19" spans="1:34">
      <c r="A19" s="56" t="s">
        <v>168</v>
      </c>
      <c r="B19" s="56">
        <v>14</v>
      </c>
      <c r="C19" s="54" t="s">
        <v>81</v>
      </c>
      <c r="D19" s="55" t="s">
        <v>56</v>
      </c>
      <c r="E19" s="56" t="s">
        <v>57</v>
      </c>
      <c r="F19" s="56" t="s">
        <v>82</v>
      </c>
      <c r="G19" s="55" t="s">
        <v>49</v>
      </c>
      <c r="H19" s="56" t="s">
        <v>83</v>
      </c>
      <c r="I19" s="56" t="s">
        <v>202</v>
      </c>
      <c r="J19" s="64" t="s">
        <v>259</v>
      </c>
      <c r="K19" s="57">
        <v>0.09</v>
      </c>
      <c r="L19" s="62">
        <v>45991</v>
      </c>
      <c r="M19" s="66">
        <v>50844</v>
      </c>
      <c r="N19" s="56" t="s">
        <v>50</v>
      </c>
      <c r="O19" s="75">
        <v>8.0674603174603181</v>
      </c>
      <c r="P19" s="77">
        <v>2.1418926267105776E-2</v>
      </c>
      <c r="Q19" s="69">
        <v>9727641.78118884</v>
      </c>
    </row>
    <row r="20" spans="1:34">
      <c r="A20" s="56" t="s">
        <v>168</v>
      </c>
      <c r="B20" s="56">
        <v>15</v>
      </c>
      <c r="C20" s="56" t="s">
        <v>84</v>
      </c>
      <c r="D20" s="55" t="s">
        <v>66</v>
      </c>
      <c r="E20" s="55" t="s">
        <v>53</v>
      </c>
      <c r="F20" s="56" t="s">
        <v>85</v>
      </c>
      <c r="G20" s="55" t="s">
        <v>49</v>
      </c>
      <c r="H20" s="56" t="s">
        <v>55</v>
      </c>
      <c r="I20" s="56" t="s">
        <v>203</v>
      </c>
      <c r="J20" s="64" t="s">
        <v>259</v>
      </c>
      <c r="K20" s="57">
        <v>7.4800000000000005E-2</v>
      </c>
      <c r="L20" s="62">
        <v>45961</v>
      </c>
      <c r="M20" s="65">
        <v>49045</v>
      </c>
      <c r="N20" s="55" t="s">
        <v>58</v>
      </c>
      <c r="O20" s="75">
        <v>3.7083333333333335</v>
      </c>
      <c r="P20" s="77">
        <v>2.0666220173948008E-2</v>
      </c>
      <c r="Q20" s="69">
        <v>9385792.0007914994</v>
      </c>
    </row>
    <row r="21" spans="1:34">
      <c r="A21" s="56" t="s">
        <v>168</v>
      </c>
      <c r="B21" s="56">
        <v>16</v>
      </c>
      <c r="C21" s="56" t="s">
        <v>87</v>
      </c>
      <c r="D21" s="56" t="s">
        <v>66</v>
      </c>
      <c r="E21" s="56" t="s">
        <v>53</v>
      </c>
      <c r="F21" s="60" t="s">
        <v>88</v>
      </c>
      <c r="G21" s="55" t="s">
        <v>49</v>
      </c>
      <c r="H21" s="11" t="s">
        <v>73</v>
      </c>
      <c r="I21" s="56" t="s">
        <v>207</v>
      </c>
      <c r="J21" s="64" t="s">
        <v>259</v>
      </c>
      <c r="K21" s="57">
        <v>7.4999999999999997E-2</v>
      </c>
      <c r="L21" s="62">
        <v>45961</v>
      </c>
      <c r="M21" s="66">
        <v>52376</v>
      </c>
      <c r="N21" s="56" t="s">
        <v>58</v>
      </c>
      <c r="O21" s="75">
        <v>6.6416666666666666</v>
      </c>
      <c r="P21" s="77">
        <v>2.0396101703148192E-2</v>
      </c>
      <c r="Q21" s="69">
        <v>9263114.7157747205</v>
      </c>
    </row>
    <row r="22" spans="1:34">
      <c r="A22" s="56" t="s">
        <v>168</v>
      </c>
      <c r="B22" s="56">
        <v>17</v>
      </c>
      <c r="C22" s="54" t="s">
        <v>78</v>
      </c>
      <c r="D22" s="55" t="s">
        <v>79</v>
      </c>
      <c r="E22" s="56" t="s">
        <v>48</v>
      </c>
      <c r="F22" s="56" t="s">
        <v>80</v>
      </c>
      <c r="G22" s="55" t="s">
        <v>49</v>
      </c>
      <c r="H22" s="56" t="s">
        <v>55</v>
      </c>
      <c r="I22" s="56" t="s">
        <v>201</v>
      </c>
      <c r="J22" s="56" t="s">
        <v>259</v>
      </c>
      <c r="K22" s="57">
        <v>0.105</v>
      </c>
      <c r="L22" s="62">
        <v>45961</v>
      </c>
      <c r="M22" s="65">
        <v>48565</v>
      </c>
      <c r="N22" s="55" t="s">
        <v>50</v>
      </c>
      <c r="O22" s="75">
        <v>4.4563492063492065</v>
      </c>
      <c r="P22" s="76">
        <v>2.037786064791464E-2</v>
      </c>
      <c r="Q22" s="69">
        <v>9254830.3391999993</v>
      </c>
    </row>
    <row r="23" spans="1:34">
      <c r="A23" s="56" t="s">
        <v>168</v>
      </c>
      <c r="B23" s="56">
        <v>18</v>
      </c>
      <c r="C23" s="11" t="s">
        <v>65</v>
      </c>
      <c r="D23" s="59" t="s">
        <v>66</v>
      </c>
      <c r="E23" s="11" t="s">
        <v>53</v>
      </c>
      <c r="F23" s="60" t="s">
        <v>86</v>
      </c>
      <c r="G23" s="55" t="s">
        <v>49</v>
      </c>
      <c r="H23" s="61" t="s">
        <v>64</v>
      </c>
      <c r="I23" s="56" t="s">
        <v>206</v>
      </c>
      <c r="J23" s="64" t="s">
        <v>259</v>
      </c>
      <c r="K23" s="57">
        <v>6.4000000000000001E-2</v>
      </c>
      <c r="L23" s="62">
        <v>45961</v>
      </c>
      <c r="M23" s="65">
        <v>48757</v>
      </c>
      <c r="N23" s="55" t="s">
        <v>58</v>
      </c>
      <c r="O23" s="75">
        <v>3.375</v>
      </c>
      <c r="P23" s="77">
        <v>1.9716535936966956E-2</v>
      </c>
      <c r="Q23" s="69">
        <v>8954482.4221791998</v>
      </c>
    </row>
    <row r="24" spans="1:34">
      <c r="A24" s="56" t="s">
        <v>168</v>
      </c>
      <c r="B24" s="56">
        <v>19</v>
      </c>
      <c r="C24" s="54" t="s">
        <v>189</v>
      </c>
      <c r="D24" s="55" t="s">
        <v>90</v>
      </c>
      <c r="E24" s="56" t="s">
        <v>57</v>
      </c>
      <c r="F24" s="56" t="s">
        <v>191</v>
      </c>
      <c r="G24" s="55" t="s">
        <v>61</v>
      </c>
      <c r="H24" s="56" t="s">
        <v>64</v>
      </c>
      <c r="I24" s="56" t="s">
        <v>204</v>
      </c>
      <c r="J24" s="64" t="s">
        <v>259</v>
      </c>
      <c r="K24" s="57">
        <v>0.1</v>
      </c>
      <c r="L24" s="62">
        <v>45961</v>
      </c>
      <c r="M24" s="65">
        <v>48507</v>
      </c>
      <c r="N24" s="55" t="s">
        <v>50</v>
      </c>
      <c r="O24" s="75">
        <v>4.0476190476190474</v>
      </c>
      <c r="P24" s="76">
        <v>1.9626058826068573E-2</v>
      </c>
      <c r="Q24" s="69">
        <v>8913391.2435999997</v>
      </c>
    </row>
    <row r="25" spans="1:34">
      <c r="A25" s="56" t="s">
        <v>168</v>
      </c>
      <c r="B25" s="56">
        <v>20</v>
      </c>
      <c r="C25" s="54" t="s">
        <v>98</v>
      </c>
      <c r="D25" s="55" t="s">
        <v>99</v>
      </c>
      <c r="E25" s="56" t="s">
        <v>57</v>
      </c>
      <c r="F25" s="56" t="s">
        <v>100</v>
      </c>
      <c r="G25" s="55" t="s">
        <v>101</v>
      </c>
      <c r="H25" s="56" t="s">
        <v>55</v>
      </c>
      <c r="I25" s="56" t="s">
        <v>208</v>
      </c>
      <c r="J25" s="64" t="s">
        <v>259</v>
      </c>
      <c r="K25" s="57">
        <v>8.8516999999999998E-2</v>
      </c>
      <c r="L25" s="62">
        <v>46022</v>
      </c>
      <c r="M25" s="65">
        <v>46587</v>
      </c>
      <c r="N25" s="55" t="s">
        <v>58</v>
      </c>
      <c r="O25" s="75">
        <v>2.0396825396825395</v>
      </c>
      <c r="P25" s="76">
        <v>1.9526285394591024E-2</v>
      </c>
      <c r="Q25" s="69">
        <v>8868078.0384192094</v>
      </c>
    </row>
    <row r="26" spans="1:34">
      <c r="A26" s="56" t="s">
        <v>168</v>
      </c>
      <c r="B26" s="56">
        <v>21</v>
      </c>
      <c r="C26" s="54" t="s">
        <v>181</v>
      </c>
      <c r="D26" s="55" t="s">
        <v>47</v>
      </c>
      <c r="E26" s="56" t="s">
        <v>48</v>
      </c>
      <c r="F26" s="56" t="s">
        <v>182</v>
      </c>
      <c r="G26" s="55" t="s">
        <v>49</v>
      </c>
      <c r="H26" s="56" t="s">
        <v>64</v>
      </c>
      <c r="I26" s="56" t="s">
        <v>237</v>
      </c>
      <c r="J26" s="64" t="s">
        <v>260</v>
      </c>
      <c r="K26" s="57">
        <v>1.9699999999999999E-2</v>
      </c>
      <c r="L26" s="62">
        <v>45991</v>
      </c>
      <c r="M26" s="65">
        <v>47164</v>
      </c>
      <c r="N26" s="55" t="s">
        <v>58</v>
      </c>
      <c r="O26" s="75">
        <v>1.9642857142857142</v>
      </c>
      <c r="P26" s="76">
        <v>1.9409050537823738E-2</v>
      </c>
      <c r="Q26" s="69">
        <v>8814834.53420805</v>
      </c>
    </row>
    <row r="27" spans="1:34">
      <c r="A27" s="56" t="s">
        <v>168</v>
      </c>
      <c r="B27" s="56">
        <v>22</v>
      </c>
      <c r="C27" s="11" t="s">
        <v>265</v>
      </c>
      <c r="D27" s="56" t="s">
        <v>47</v>
      </c>
      <c r="E27" s="56" t="s">
        <v>48</v>
      </c>
      <c r="F27" s="11" t="s">
        <v>269</v>
      </c>
      <c r="G27" s="55" t="s">
        <v>49</v>
      </c>
      <c r="H27" s="11" t="s">
        <v>83</v>
      </c>
      <c r="I27" s="56" t="s">
        <v>270</v>
      </c>
      <c r="J27" s="64" t="s">
        <v>260</v>
      </c>
      <c r="K27" s="57">
        <v>2.7E-2</v>
      </c>
      <c r="L27" s="62">
        <v>45991</v>
      </c>
      <c r="M27" s="65">
        <v>47086</v>
      </c>
      <c r="N27" s="55" t="s">
        <v>58</v>
      </c>
      <c r="O27" s="75">
        <v>1.8214285714285714</v>
      </c>
      <c r="P27" s="77">
        <v>1.8525042371948696E-2</v>
      </c>
      <c r="Q27" s="69">
        <v>8413352.4682053011</v>
      </c>
    </row>
    <row r="28" spans="1:34">
      <c r="A28" s="56" t="s">
        <v>168</v>
      </c>
      <c r="B28" s="56">
        <v>23</v>
      </c>
      <c r="C28" s="54" t="s">
        <v>96</v>
      </c>
      <c r="D28" s="55" t="s">
        <v>90</v>
      </c>
      <c r="E28" s="56" t="s">
        <v>53</v>
      </c>
      <c r="F28" s="56" t="s">
        <v>97</v>
      </c>
      <c r="G28" s="55" t="s">
        <v>49</v>
      </c>
      <c r="H28" s="56" t="s">
        <v>55</v>
      </c>
      <c r="I28" s="56" t="s">
        <v>209</v>
      </c>
      <c r="J28" s="64" t="s">
        <v>259</v>
      </c>
      <c r="K28" s="57">
        <v>7.4999999999999997E-2</v>
      </c>
      <c r="L28" s="62">
        <v>45961</v>
      </c>
      <c r="M28" s="65">
        <v>49731</v>
      </c>
      <c r="N28" s="55" t="s">
        <v>58</v>
      </c>
      <c r="O28" s="75">
        <v>3.5694444444444446</v>
      </c>
      <c r="P28" s="76">
        <v>1.812697550100642E-2</v>
      </c>
      <c r="Q28" s="69">
        <v>8232566.0049999999</v>
      </c>
    </row>
    <row r="29" spans="1:34">
      <c r="A29" s="56" t="s">
        <v>168</v>
      </c>
      <c r="B29" s="56">
        <v>24</v>
      </c>
      <c r="C29" s="54" t="s">
        <v>284</v>
      </c>
      <c r="D29" s="55" t="s">
        <v>79</v>
      </c>
      <c r="E29" s="55" t="s">
        <v>48</v>
      </c>
      <c r="F29" s="56" t="s">
        <v>285</v>
      </c>
      <c r="G29" s="55" t="s">
        <v>49</v>
      </c>
      <c r="H29" s="56" t="s">
        <v>55</v>
      </c>
      <c r="I29" s="56" t="s">
        <v>286</v>
      </c>
      <c r="J29" s="56" t="s">
        <v>259</v>
      </c>
      <c r="K29" s="57">
        <v>0.10417648591055576</v>
      </c>
      <c r="L29" s="74">
        <v>45961</v>
      </c>
      <c r="M29" s="67">
        <v>48899</v>
      </c>
      <c r="N29" s="56" t="s">
        <v>50</v>
      </c>
      <c r="O29" s="75">
        <v>4.4523809523809526</v>
      </c>
      <c r="P29" s="76">
        <v>1.6835751044178553E-2</v>
      </c>
      <c r="Q29" s="69">
        <v>7646142.1657050494</v>
      </c>
    </row>
    <row r="30" spans="1:34">
      <c r="A30" s="56" t="s">
        <v>168</v>
      </c>
      <c r="B30" s="56">
        <v>25</v>
      </c>
      <c r="C30" s="11" t="s">
        <v>107</v>
      </c>
      <c r="D30" s="56" t="s">
        <v>71</v>
      </c>
      <c r="E30" s="56" t="s">
        <v>53</v>
      </c>
      <c r="F30" s="11" t="s">
        <v>108</v>
      </c>
      <c r="G30" s="55" t="s">
        <v>49</v>
      </c>
      <c r="H30" s="11" t="s">
        <v>73</v>
      </c>
      <c r="I30" s="56" t="s">
        <v>213</v>
      </c>
      <c r="J30" s="64" t="s">
        <v>259</v>
      </c>
      <c r="K30" s="57">
        <v>7.4999999999999997E-2</v>
      </c>
      <c r="L30" s="62">
        <v>45930</v>
      </c>
      <c r="M30" s="65">
        <v>50815</v>
      </c>
      <c r="N30" s="55" t="s">
        <v>58</v>
      </c>
      <c r="O30" s="75">
        <v>5.6083333333333334</v>
      </c>
      <c r="P30" s="77">
        <v>1.6549439604192015E-2</v>
      </c>
      <c r="Q30" s="69">
        <v>7516110.6649980005</v>
      </c>
    </row>
    <row r="31" spans="1:34">
      <c r="A31" s="56" t="s">
        <v>168</v>
      </c>
      <c r="B31" s="56">
        <v>26</v>
      </c>
      <c r="C31" s="54" t="s">
        <v>119</v>
      </c>
      <c r="D31" s="55" t="s">
        <v>66</v>
      </c>
      <c r="E31" s="56" t="s">
        <v>53</v>
      </c>
      <c r="F31" s="56" t="s">
        <v>120</v>
      </c>
      <c r="G31" s="55" t="s">
        <v>49</v>
      </c>
      <c r="H31" s="56" t="s">
        <v>55</v>
      </c>
      <c r="I31" s="56" t="s">
        <v>221</v>
      </c>
      <c r="J31" s="56" t="s">
        <v>259</v>
      </c>
      <c r="K31" s="57">
        <v>8.5099999999999995E-2</v>
      </c>
      <c r="L31" s="62">
        <v>45930</v>
      </c>
      <c r="M31" s="65">
        <v>50997</v>
      </c>
      <c r="N31" s="55" t="s">
        <v>58</v>
      </c>
      <c r="O31" s="75">
        <v>8.162698412698413</v>
      </c>
      <c r="P31" s="76">
        <v>1.6115427123445138E-2</v>
      </c>
      <c r="Q31" s="69">
        <v>7318999.1063409001</v>
      </c>
    </row>
    <row r="32" spans="1:34">
      <c r="A32" s="56" t="s">
        <v>168</v>
      </c>
      <c r="B32" s="56">
        <v>27</v>
      </c>
      <c r="C32" s="54" t="s">
        <v>246</v>
      </c>
      <c r="D32" s="55" t="s">
        <v>47</v>
      </c>
      <c r="E32" s="56" t="s">
        <v>48</v>
      </c>
      <c r="F32" s="56" t="s">
        <v>247</v>
      </c>
      <c r="G32" s="55" t="s">
        <v>49</v>
      </c>
      <c r="H32" s="56" t="s">
        <v>55</v>
      </c>
      <c r="I32" s="56" t="s">
        <v>248</v>
      </c>
      <c r="J32" s="64" t="s">
        <v>249</v>
      </c>
      <c r="K32" s="57">
        <v>0.16636400000000001</v>
      </c>
      <c r="L32" s="62" t="s">
        <v>3</v>
      </c>
      <c r="M32" s="65">
        <v>47805</v>
      </c>
      <c r="N32" s="55" t="s">
        <v>50</v>
      </c>
      <c r="O32" s="75">
        <v>3.05</v>
      </c>
      <c r="P32" s="76">
        <v>1.5199792376371118E-2</v>
      </c>
      <c r="Q32" s="69">
        <v>6903153.4794000005</v>
      </c>
    </row>
    <row r="33" spans="1:17">
      <c r="A33" s="56" t="s">
        <v>168</v>
      </c>
      <c r="B33" s="56">
        <v>28</v>
      </c>
      <c r="C33" s="11" t="s">
        <v>102</v>
      </c>
      <c r="D33" s="56" t="s">
        <v>103</v>
      </c>
      <c r="E33" s="56" t="s">
        <v>57</v>
      </c>
      <c r="F33" s="11" t="s">
        <v>104</v>
      </c>
      <c r="G33" s="55" t="s">
        <v>49</v>
      </c>
      <c r="H33" s="11" t="s">
        <v>64</v>
      </c>
      <c r="I33" s="56" t="s">
        <v>211</v>
      </c>
      <c r="J33" s="64" t="s">
        <v>259</v>
      </c>
      <c r="K33" s="57">
        <v>7.1599999999999997E-2</v>
      </c>
      <c r="L33" s="62">
        <v>45961</v>
      </c>
      <c r="M33" s="65">
        <v>48015</v>
      </c>
      <c r="N33" s="55" t="s">
        <v>50</v>
      </c>
      <c r="O33" s="75">
        <v>3.623015873015873</v>
      </c>
      <c r="P33" s="77">
        <v>1.5048303285371352E-2</v>
      </c>
      <c r="Q33" s="69">
        <v>6834353.0366221201</v>
      </c>
    </row>
    <row r="34" spans="1:17">
      <c r="A34" s="56" t="s">
        <v>168</v>
      </c>
      <c r="B34" s="56">
        <v>29</v>
      </c>
      <c r="C34" s="54" t="s">
        <v>68</v>
      </c>
      <c r="D34" s="55" t="s">
        <v>47</v>
      </c>
      <c r="E34" s="56" t="s">
        <v>48</v>
      </c>
      <c r="F34" s="56" t="s">
        <v>69</v>
      </c>
      <c r="G34" s="55" t="s">
        <v>49</v>
      </c>
      <c r="H34" s="56" t="s">
        <v>55</v>
      </c>
      <c r="I34" s="56" t="s">
        <v>198</v>
      </c>
      <c r="J34" s="64" t="s">
        <v>259</v>
      </c>
      <c r="K34" s="57">
        <v>0.1</v>
      </c>
      <c r="L34" s="62">
        <v>45961</v>
      </c>
      <c r="M34" s="65">
        <v>46839</v>
      </c>
      <c r="N34" s="55" t="s">
        <v>50</v>
      </c>
      <c r="O34" s="75">
        <v>2.8611111111111112</v>
      </c>
      <c r="P34" s="76">
        <v>1.3536180931463134E-2</v>
      </c>
      <c r="Q34" s="69">
        <v>6147605.97915</v>
      </c>
    </row>
    <row r="35" spans="1:17">
      <c r="A35" s="56" t="s">
        <v>168</v>
      </c>
      <c r="B35" s="56">
        <v>30</v>
      </c>
      <c r="C35" s="54" t="s">
        <v>254</v>
      </c>
      <c r="D35" s="56" t="s">
        <v>66</v>
      </c>
      <c r="E35" s="56" t="s">
        <v>53</v>
      </c>
      <c r="F35" s="56" t="s">
        <v>257</v>
      </c>
      <c r="G35" s="55" t="s">
        <v>49</v>
      </c>
      <c r="H35" s="56" t="s">
        <v>55</v>
      </c>
      <c r="I35" s="56" t="s">
        <v>261</v>
      </c>
      <c r="J35" s="56" t="s">
        <v>260</v>
      </c>
      <c r="K35" s="57">
        <v>1.9400000000000001E-2</v>
      </c>
      <c r="L35" s="62">
        <v>45991</v>
      </c>
      <c r="M35" s="65">
        <v>49276</v>
      </c>
      <c r="N35" s="55" t="s">
        <v>58</v>
      </c>
      <c r="O35" s="75">
        <v>5.1031746031746028</v>
      </c>
      <c r="P35" s="76">
        <v>1.3397161037110052E-2</v>
      </c>
      <c r="Q35" s="69">
        <v>6084468.5596612198</v>
      </c>
    </row>
    <row r="36" spans="1:17">
      <c r="A36" s="56" t="s">
        <v>168</v>
      </c>
      <c r="B36" s="56">
        <v>31</v>
      </c>
      <c r="C36" s="11" t="s">
        <v>115</v>
      </c>
      <c r="D36" s="56" t="s">
        <v>99</v>
      </c>
      <c r="E36" s="56" t="s">
        <v>53</v>
      </c>
      <c r="F36" s="11" t="s">
        <v>116</v>
      </c>
      <c r="G36" s="55" t="s">
        <v>49</v>
      </c>
      <c r="H36" s="11" t="s">
        <v>64</v>
      </c>
      <c r="I36" s="11" t="s">
        <v>215</v>
      </c>
      <c r="J36" s="11" t="s">
        <v>259</v>
      </c>
      <c r="K36" s="57">
        <v>7.5899999999999995E-2</v>
      </c>
      <c r="L36" s="62">
        <v>45961</v>
      </c>
      <c r="M36" s="66">
        <v>48096</v>
      </c>
      <c r="N36" s="56" t="s">
        <v>58</v>
      </c>
      <c r="O36" s="75">
        <v>3.5079365079365079</v>
      </c>
      <c r="P36" s="77">
        <v>1.3181547921456096E-2</v>
      </c>
      <c r="Q36" s="69">
        <v>5986545.4833009997</v>
      </c>
    </row>
    <row r="37" spans="1:17">
      <c r="A37" s="56" t="s">
        <v>168</v>
      </c>
      <c r="B37" s="56">
        <v>32</v>
      </c>
      <c r="C37" s="54" t="s">
        <v>251</v>
      </c>
      <c r="D37" s="55" t="s">
        <v>103</v>
      </c>
      <c r="E37" s="56" t="s">
        <v>57</v>
      </c>
      <c r="F37" s="56" t="s">
        <v>252</v>
      </c>
      <c r="G37" s="55" t="s">
        <v>49</v>
      </c>
      <c r="H37" s="56" t="s">
        <v>155</v>
      </c>
      <c r="I37" s="56" t="s">
        <v>253</v>
      </c>
      <c r="J37" s="64" t="s">
        <v>259</v>
      </c>
      <c r="K37" s="57">
        <v>9.5100000000000004E-2</v>
      </c>
      <c r="L37" s="62">
        <v>45991</v>
      </c>
      <c r="M37" s="65">
        <v>47379</v>
      </c>
      <c r="N37" s="55" t="s">
        <v>58</v>
      </c>
      <c r="O37" s="75">
        <v>2.8571428571428572</v>
      </c>
      <c r="P37" s="76">
        <v>1.283824519680434E-2</v>
      </c>
      <c r="Q37" s="69">
        <v>5830630.7616070798</v>
      </c>
    </row>
    <row r="38" spans="1:17">
      <c r="A38" s="56" t="s">
        <v>168</v>
      </c>
      <c r="B38" s="56">
        <v>33</v>
      </c>
      <c r="C38" s="11" t="s">
        <v>113</v>
      </c>
      <c r="D38" s="56" t="s">
        <v>90</v>
      </c>
      <c r="E38" s="56" t="s">
        <v>53</v>
      </c>
      <c r="F38" s="56" t="s">
        <v>114</v>
      </c>
      <c r="G38" s="55" t="s">
        <v>49</v>
      </c>
      <c r="H38" s="11" t="s">
        <v>55</v>
      </c>
      <c r="I38" s="11" t="s">
        <v>216</v>
      </c>
      <c r="J38" s="64" t="s">
        <v>259</v>
      </c>
      <c r="K38" s="57">
        <v>7.9500000000000001E-2</v>
      </c>
      <c r="L38" s="62">
        <v>45961</v>
      </c>
      <c r="M38" s="65">
        <v>48463</v>
      </c>
      <c r="N38" s="56" t="s">
        <v>58</v>
      </c>
      <c r="O38" s="75">
        <v>2.9583333333333335</v>
      </c>
      <c r="P38" s="77">
        <v>1.1824804507623979E-2</v>
      </c>
      <c r="Q38" s="69">
        <v>5370365.4865000006</v>
      </c>
    </row>
    <row r="39" spans="1:17">
      <c r="A39" s="56" t="s">
        <v>168</v>
      </c>
      <c r="B39" s="56">
        <v>34</v>
      </c>
      <c r="C39" s="54" t="s">
        <v>92</v>
      </c>
      <c r="D39" s="55" t="s">
        <v>93</v>
      </c>
      <c r="E39" s="56" t="s">
        <v>48</v>
      </c>
      <c r="F39" s="56" t="s">
        <v>94</v>
      </c>
      <c r="G39" s="55" t="s">
        <v>61</v>
      </c>
      <c r="H39" s="56" t="s">
        <v>95</v>
      </c>
      <c r="I39" s="56" t="s">
        <v>212</v>
      </c>
      <c r="J39" s="56" t="s">
        <v>259</v>
      </c>
      <c r="K39" s="57">
        <v>9.5000000000000001E-2</v>
      </c>
      <c r="L39" s="62">
        <v>45991</v>
      </c>
      <c r="M39" s="65">
        <v>50642</v>
      </c>
      <c r="N39" s="55" t="s">
        <v>50</v>
      </c>
      <c r="O39" s="75">
        <v>3.623015873015873</v>
      </c>
      <c r="P39" s="76">
        <v>1.1554333379126553E-2</v>
      </c>
      <c r="Q39" s="69">
        <v>5247528.0380972996</v>
      </c>
    </row>
    <row r="40" spans="1:17">
      <c r="A40" s="56" t="s">
        <v>168</v>
      </c>
      <c r="B40" s="56">
        <v>35</v>
      </c>
      <c r="C40" s="54" t="s">
        <v>117</v>
      </c>
      <c r="D40" s="55" t="s">
        <v>56</v>
      </c>
      <c r="E40" s="56" t="s">
        <v>57</v>
      </c>
      <c r="F40" s="56" t="s">
        <v>118</v>
      </c>
      <c r="G40" s="55" t="s">
        <v>49</v>
      </c>
      <c r="H40" s="56" t="s">
        <v>55</v>
      </c>
      <c r="I40" s="56" t="s">
        <v>219</v>
      </c>
      <c r="J40" s="56" t="s">
        <v>260</v>
      </c>
      <c r="K40" s="57">
        <v>2.75E-2</v>
      </c>
      <c r="L40" s="62">
        <v>45991</v>
      </c>
      <c r="M40" s="65">
        <v>48565</v>
      </c>
      <c r="N40" s="55" t="s">
        <v>58</v>
      </c>
      <c r="O40" s="75">
        <v>3.6190476190476191</v>
      </c>
      <c r="P40" s="76">
        <v>1.0909863230122895E-2</v>
      </c>
      <c r="Q40" s="69">
        <v>4954834.8064200003</v>
      </c>
    </row>
    <row r="41" spans="1:17">
      <c r="A41" s="56" t="s">
        <v>168</v>
      </c>
      <c r="B41" s="56">
        <v>36</v>
      </c>
      <c r="C41" s="54" t="s">
        <v>179</v>
      </c>
      <c r="D41" s="55" t="s">
        <v>71</v>
      </c>
      <c r="E41" s="56" t="s">
        <v>53</v>
      </c>
      <c r="F41" s="11" t="s">
        <v>180</v>
      </c>
      <c r="G41" s="55" t="s">
        <v>49</v>
      </c>
      <c r="H41" s="56" t="s">
        <v>55</v>
      </c>
      <c r="I41" s="56" t="s">
        <v>210</v>
      </c>
      <c r="J41" s="64" t="s">
        <v>260</v>
      </c>
      <c r="K41" s="57">
        <v>2.9307043182159601E-2</v>
      </c>
      <c r="L41" s="62">
        <v>45991</v>
      </c>
      <c r="M41" s="67">
        <v>47415</v>
      </c>
      <c r="N41" s="55" t="s">
        <v>58</v>
      </c>
      <c r="O41" s="75">
        <v>2.2698412698412698</v>
      </c>
      <c r="P41" s="77">
        <v>1.0179354011352009E-2</v>
      </c>
      <c r="Q41" s="69">
        <v>4623065.9815292507</v>
      </c>
    </row>
    <row r="42" spans="1:17">
      <c r="A42" s="56" t="s">
        <v>168</v>
      </c>
      <c r="B42" s="56">
        <v>37</v>
      </c>
      <c r="C42" s="54" t="s">
        <v>125</v>
      </c>
      <c r="D42" s="56" t="s">
        <v>52</v>
      </c>
      <c r="E42" s="56" t="s">
        <v>53</v>
      </c>
      <c r="F42" s="11" t="s">
        <v>126</v>
      </c>
      <c r="G42" s="55" t="s">
        <v>49</v>
      </c>
      <c r="H42" s="11" t="s">
        <v>95</v>
      </c>
      <c r="I42" s="56" t="s">
        <v>223</v>
      </c>
      <c r="J42" s="64" t="s">
        <v>259</v>
      </c>
      <c r="K42" s="57">
        <v>0.112</v>
      </c>
      <c r="L42" s="62">
        <v>45961</v>
      </c>
      <c r="M42" s="67">
        <v>50199</v>
      </c>
      <c r="N42" s="55" t="s">
        <v>50</v>
      </c>
      <c r="O42" s="75">
        <v>5.583333333333333</v>
      </c>
      <c r="P42" s="77">
        <v>1.0030865757908342E-2</v>
      </c>
      <c r="Q42" s="69">
        <v>4555628.4022500003</v>
      </c>
    </row>
    <row r="43" spans="1:17">
      <c r="A43" s="56" t="s">
        <v>168</v>
      </c>
      <c r="B43" s="56">
        <v>38</v>
      </c>
      <c r="C43" s="54" t="s">
        <v>84</v>
      </c>
      <c r="D43" s="55" t="s">
        <v>66</v>
      </c>
      <c r="E43" s="56" t="s">
        <v>53</v>
      </c>
      <c r="F43" s="56" t="s">
        <v>124</v>
      </c>
      <c r="G43" s="55" t="s">
        <v>49</v>
      </c>
      <c r="H43" s="56" t="s">
        <v>55</v>
      </c>
      <c r="I43" s="56" t="s">
        <v>224</v>
      </c>
      <c r="J43" s="64" t="s">
        <v>259</v>
      </c>
      <c r="K43" s="57">
        <v>7.3999999999999996E-2</v>
      </c>
      <c r="L43" s="62">
        <v>45961</v>
      </c>
      <c r="M43" s="65">
        <v>49045</v>
      </c>
      <c r="N43" s="55" t="s">
        <v>58</v>
      </c>
      <c r="O43" s="75">
        <v>3.713888888888889</v>
      </c>
      <c r="P43" s="76">
        <v>9.7681736226583778E-3</v>
      </c>
      <c r="Q43" s="69">
        <v>4436323.8694933001</v>
      </c>
    </row>
    <row r="44" spans="1:17">
      <c r="A44" s="56" t="s">
        <v>168</v>
      </c>
      <c r="B44" s="56">
        <v>39</v>
      </c>
      <c r="C44" s="54" t="s">
        <v>127</v>
      </c>
      <c r="D44" s="55" t="s">
        <v>93</v>
      </c>
      <c r="E44" s="56" t="s">
        <v>48</v>
      </c>
      <c r="F44" s="56" t="s">
        <v>128</v>
      </c>
      <c r="G44" s="55" t="s">
        <v>61</v>
      </c>
      <c r="H44" s="56" t="s">
        <v>95</v>
      </c>
      <c r="I44" s="56" t="s">
        <v>225</v>
      </c>
      <c r="J44" s="64" t="s">
        <v>259</v>
      </c>
      <c r="K44" s="57">
        <v>8.2000000000000003E-2</v>
      </c>
      <c r="L44" s="62">
        <v>45991</v>
      </c>
      <c r="M44" s="65">
        <v>47863</v>
      </c>
      <c r="N44" s="55" t="s">
        <v>58</v>
      </c>
      <c r="O44" s="75">
        <v>3.2301587301587302</v>
      </c>
      <c r="P44" s="76">
        <v>8.4209144701339628E-3</v>
      </c>
      <c r="Q44" s="69">
        <v>3824451.2546502003</v>
      </c>
    </row>
    <row r="45" spans="1:17">
      <c r="A45" s="56" t="s">
        <v>168</v>
      </c>
      <c r="B45" s="56">
        <v>40</v>
      </c>
      <c r="C45" s="54" t="s">
        <v>143</v>
      </c>
      <c r="D45" s="55" t="s">
        <v>99</v>
      </c>
      <c r="E45" s="56" t="s">
        <v>57</v>
      </c>
      <c r="F45" s="56" t="s">
        <v>144</v>
      </c>
      <c r="G45" s="55" t="s">
        <v>49</v>
      </c>
      <c r="H45" s="56" t="s">
        <v>55</v>
      </c>
      <c r="I45" s="56" t="s">
        <v>230</v>
      </c>
      <c r="J45" s="56" t="s">
        <v>260</v>
      </c>
      <c r="K45" s="57">
        <v>2.3E-2</v>
      </c>
      <c r="L45" s="62">
        <v>45991</v>
      </c>
      <c r="M45" s="65">
        <v>49116</v>
      </c>
      <c r="N45" s="55" t="s">
        <v>58</v>
      </c>
      <c r="O45" s="75">
        <v>6.3055555555555554</v>
      </c>
      <c r="P45" s="76">
        <v>8.4125258442595708E-3</v>
      </c>
      <c r="Q45" s="69">
        <v>3820641.4676176999</v>
      </c>
    </row>
    <row r="46" spans="1:17">
      <c r="A46" s="56" t="s">
        <v>168</v>
      </c>
      <c r="B46" s="56">
        <v>41</v>
      </c>
      <c r="C46" s="54" t="s">
        <v>105</v>
      </c>
      <c r="D46" s="56" t="s">
        <v>79</v>
      </c>
      <c r="E46" s="56" t="s">
        <v>48</v>
      </c>
      <c r="F46" s="11" t="s">
        <v>106</v>
      </c>
      <c r="G46" s="55" t="s">
        <v>49</v>
      </c>
      <c r="H46" s="11" t="s">
        <v>55</v>
      </c>
      <c r="I46" s="56" t="s">
        <v>214</v>
      </c>
      <c r="J46" s="56" t="s">
        <v>259</v>
      </c>
      <c r="K46" s="57">
        <v>7.4999999999999997E-2</v>
      </c>
      <c r="L46" s="62">
        <v>45961</v>
      </c>
      <c r="M46" s="65">
        <v>46590</v>
      </c>
      <c r="N46" s="55" t="s">
        <v>58</v>
      </c>
      <c r="O46" s="75">
        <v>1.0873015873015872</v>
      </c>
      <c r="P46" s="77">
        <v>8.4076230099506665E-3</v>
      </c>
      <c r="Q46" s="69">
        <v>3818414.7912999997</v>
      </c>
    </row>
    <row r="47" spans="1:17">
      <c r="A47" s="56" t="s">
        <v>168</v>
      </c>
      <c r="B47" s="56">
        <v>42</v>
      </c>
      <c r="C47" s="54" t="s">
        <v>141</v>
      </c>
      <c r="D47" s="55" t="s">
        <v>66</v>
      </c>
      <c r="E47" s="56" t="s">
        <v>53</v>
      </c>
      <c r="F47" s="56" t="s">
        <v>142</v>
      </c>
      <c r="G47" s="55" t="s">
        <v>49</v>
      </c>
      <c r="H47" s="56" t="s">
        <v>55</v>
      </c>
      <c r="I47" s="56" t="s">
        <v>232</v>
      </c>
      <c r="J47" s="64" t="s">
        <v>259</v>
      </c>
      <c r="K47" s="57">
        <v>0.05</v>
      </c>
      <c r="L47" s="62">
        <v>45930</v>
      </c>
      <c r="M47" s="65">
        <v>49601</v>
      </c>
      <c r="N47" s="55" t="s">
        <v>58</v>
      </c>
      <c r="O47" s="75">
        <v>4.1805555555555554</v>
      </c>
      <c r="P47" s="76">
        <v>7.6551934730597227E-3</v>
      </c>
      <c r="Q47" s="69">
        <v>3476690.6119837998</v>
      </c>
    </row>
    <row r="48" spans="1:17">
      <c r="A48" s="56" t="s">
        <v>168</v>
      </c>
      <c r="B48" s="56">
        <v>43</v>
      </c>
      <c r="C48" s="54" t="s">
        <v>109</v>
      </c>
      <c r="D48" s="56" t="s">
        <v>47</v>
      </c>
      <c r="E48" s="56" t="s">
        <v>48</v>
      </c>
      <c r="F48" s="11" t="s">
        <v>110</v>
      </c>
      <c r="G48" s="55" t="s">
        <v>49</v>
      </c>
      <c r="H48" s="11" t="s">
        <v>64</v>
      </c>
      <c r="I48" s="56" t="s">
        <v>218</v>
      </c>
      <c r="J48" s="64" t="s">
        <v>259</v>
      </c>
      <c r="K48" s="57">
        <v>6.1800000000000001E-2</v>
      </c>
      <c r="L48" s="62">
        <v>45991</v>
      </c>
      <c r="M48" s="65">
        <v>48850</v>
      </c>
      <c r="N48" s="55" t="s">
        <v>58</v>
      </c>
      <c r="O48" s="75">
        <v>2.8293650793650795</v>
      </c>
      <c r="P48" s="77">
        <v>7.279906809851939E-3</v>
      </c>
      <c r="Q48" s="69">
        <v>3306250.0315635996</v>
      </c>
    </row>
    <row r="49" spans="1:17">
      <c r="A49" s="56" t="s">
        <v>168</v>
      </c>
      <c r="B49" s="56">
        <v>44</v>
      </c>
      <c r="C49" s="54" t="s">
        <v>136</v>
      </c>
      <c r="D49" s="56" t="s">
        <v>47</v>
      </c>
      <c r="E49" s="56" t="s">
        <v>48</v>
      </c>
      <c r="F49" s="56" t="s">
        <v>137</v>
      </c>
      <c r="G49" s="56" t="s">
        <v>49</v>
      </c>
      <c r="H49" s="56" t="s">
        <v>138</v>
      </c>
      <c r="I49" s="56" t="s">
        <v>227</v>
      </c>
      <c r="J49" s="56" t="s">
        <v>260</v>
      </c>
      <c r="K49" s="57">
        <v>4.2500000000000003E-2</v>
      </c>
      <c r="L49" s="62">
        <v>45991</v>
      </c>
      <c r="M49" s="65">
        <v>46895</v>
      </c>
      <c r="N49" s="56" t="s">
        <v>50</v>
      </c>
      <c r="O49" s="75">
        <v>1.6468253968253967</v>
      </c>
      <c r="P49" s="77">
        <v>7.2556633311060791E-3</v>
      </c>
      <c r="Q49" s="69">
        <v>3295239.5880974499</v>
      </c>
    </row>
    <row r="50" spans="1:17">
      <c r="A50" s="56" t="s">
        <v>168</v>
      </c>
      <c r="B50" s="56">
        <v>45</v>
      </c>
      <c r="C50" s="54" t="s">
        <v>129</v>
      </c>
      <c r="D50" s="55" t="s">
        <v>93</v>
      </c>
      <c r="E50" s="56" t="s">
        <v>48</v>
      </c>
      <c r="F50" s="56" t="s">
        <v>130</v>
      </c>
      <c r="G50" s="55" t="s">
        <v>61</v>
      </c>
      <c r="H50" s="56" t="s">
        <v>95</v>
      </c>
      <c r="I50" s="56" t="s">
        <v>229</v>
      </c>
      <c r="J50" s="64" t="s">
        <v>259</v>
      </c>
      <c r="K50" s="57">
        <v>0.09</v>
      </c>
      <c r="L50" s="62">
        <v>45991</v>
      </c>
      <c r="M50" s="65">
        <v>50734</v>
      </c>
      <c r="N50" s="55" t="s">
        <v>50</v>
      </c>
      <c r="O50" s="75">
        <v>4.5396825396825395</v>
      </c>
      <c r="P50" s="76">
        <v>6.8587449434223922E-3</v>
      </c>
      <c r="Q50" s="69">
        <v>3114974.7212407198</v>
      </c>
    </row>
    <row r="51" spans="1:17">
      <c r="A51" s="56" t="s">
        <v>168</v>
      </c>
      <c r="B51" s="56">
        <v>46</v>
      </c>
      <c r="C51" s="54" t="s">
        <v>121</v>
      </c>
      <c r="D51" s="55" t="s">
        <v>47</v>
      </c>
      <c r="E51" s="56" t="s">
        <v>48</v>
      </c>
      <c r="F51" s="56" t="s">
        <v>122</v>
      </c>
      <c r="G51" s="55" t="s">
        <v>49</v>
      </c>
      <c r="H51" s="56" t="s">
        <v>83</v>
      </c>
      <c r="I51" s="56" t="s">
        <v>220</v>
      </c>
      <c r="J51" s="64" t="s">
        <v>260</v>
      </c>
      <c r="K51" s="57">
        <v>0.04</v>
      </c>
      <c r="L51" s="62">
        <v>45991</v>
      </c>
      <c r="M51" s="65">
        <v>47284</v>
      </c>
      <c r="N51" s="55" t="s">
        <v>58</v>
      </c>
      <c r="O51" s="75">
        <v>1.4365079365079365</v>
      </c>
      <c r="P51" s="76">
        <v>6.0665800561706621E-3</v>
      </c>
      <c r="Q51" s="69">
        <v>2755204.2939688801</v>
      </c>
    </row>
    <row r="52" spans="1:17">
      <c r="A52" s="56" t="s">
        <v>168</v>
      </c>
      <c r="B52" s="56">
        <v>47</v>
      </c>
      <c r="C52" s="54" t="s">
        <v>139</v>
      </c>
      <c r="D52" s="55" t="s">
        <v>93</v>
      </c>
      <c r="E52" s="56" t="s">
        <v>48</v>
      </c>
      <c r="F52" s="11" t="s">
        <v>140</v>
      </c>
      <c r="G52" s="55" t="s">
        <v>135</v>
      </c>
      <c r="H52" s="11" t="s">
        <v>83</v>
      </c>
      <c r="I52" s="56" t="s">
        <v>203</v>
      </c>
      <c r="J52" s="64" t="s">
        <v>259</v>
      </c>
      <c r="K52" s="57">
        <v>7.8E-2</v>
      </c>
      <c r="L52" s="62">
        <v>45961</v>
      </c>
      <c r="M52" s="67">
        <v>47924</v>
      </c>
      <c r="N52" s="55" t="s">
        <v>58</v>
      </c>
      <c r="O52" s="75">
        <v>4.4484126984126986</v>
      </c>
      <c r="P52" s="77">
        <v>6.0466372886370636E-3</v>
      </c>
      <c r="Q52" s="69">
        <v>2746147.0659700003</v>
      </c>
    </row>
    <row r="53" spans="1:17">
      <c r="A53" s="56" t="s">
        <v>168</v>
      </c>
      <c r="B53" s="56">
        <v>48</v>
      </c>
      <c r="C53" s="54" t="s">
        <v>68</v>
      </c>
      <c r="D53" s="55" t="s">
        <v>47</v>
      </c>
      <c r="E53" s="56" t="s">
        <v>48</v>
      </c>
      <c r="F53" s="56" t="s">
        <v>178</v>
      </c>
      <c r="G53" s="55" t="s">
        <v>49</v>
      </c>
      <c r="H53" s="56" t="s">
        <v>55</v>
      </c>
      <c r="I53" s="56" t="s">
        <v>222</v>
      </c>
      <c r="J53" s="64" t="s">
        <v>259</v>
      </c>
      <c r="K53" s="57">
        <v>0.1</v>
      </c>
      <c r="L53" s="62">
        <v>45961</v>
      </c>
      <c r="M53" s="65">
        <v>46839</v>
      </c>
      <c r="N53" s="55" t="s">
        <v>50</v>
      </c>
      <c r="O53" s="75">
        <v>2.8650793650793651</v>
      </c>
      <c r="P53" s="76">
        <v>5.1655693935508422E-3</v>
      </c>
      <c r="Q53" s="69">
        <v>2346000.3563999999</v>
      </c>
    </row>
    <row r="54" spans="1:17">
      <c r="A54" s="56" t="s">
        <v>168</v>
      </c>
      <c r="B54" s="56">
        <v>49</v>
      </c>
      <c r="C54" s="54" t="s">
        <v>117</v>
      </c>
      <c r="D54" s="55" t="s">
        <v>56</v>
      </c>
      <c r="E54" s="56" t="s">
        <v>57</v>
      </c>
      <c r="F54" s="56" t="s">
        <v>278</v>
      </c>
      <c r="G54" s="55" t="s">
        <v>49</v>
      </c>
      <c r="H54" s="56" t="s">
        <v>55</v>
      </c>
      <c r="I54" s="56" t="s">
        <v>279</v>
      </c>
      <c r="J54" s="64" t="s">
        <v>259</v>
      </c>
      <c r="K54" s="57">
        <v>9.3511999999999998E-2</v>
      </c>
      <c r="L54" s="62">
        <v>45961</v>
      </c>
      <c r="M54" s="65">
        <v>48565</v>
      </c>
      <c r="N54" s="55" t="s">
        <v>58</v>
      </c>
      <c r="O54" s="75">
        <v>2.7888888888888888</v>
      </c>
      <c r="P54" s="76">
        <v>5.0276573485184784E-3</v>
      </c>
      <c r="Q54" s="69">
        <v>2283366.0789084001</v>
      </c>
    </row>
    <row r="55" spans="1:17">
      <c r="A55" s="56" t="s">
        <v>168</v>
      </c>
      <c r="B55" s="56">
        <v>50</v>
      </c>
      <c r="C55" s="54" t="s">
        <v>133</v>
      </c>
      <c r="D55" s="55" t="s">
        <v>47</v>
      </c>
      <c r="E55" s="56" t="s">
        <v>48</v>
      </c>
      <c r="F55" s="56" t="s">
        <v>134</v>
      </c>
      <c r="G55" s="55" t="s">
        <v>135</v>
      </c>
      <c r="H55" s="56" t="s">
        <v>55</v>
      </c>
      <c r="I55" s="56" t="s">
        <v>231</v>
      </c>
      <c r="J55" s="64" t="s">
        <v>259</v>
      </c>
      <c r="K55" s="57">
        <v>9.0200000000000002E-2</v>
      </c>
      <c r="L55" s="62">
        <v>45961</v>
      </c>
      <c r="M55" s="67">
        <v>49095</v>
      </c>
      <c r="N55" s="55" t="s">
        <v>50</v>
      </c>
      <c r="O55" s="75">
        <v>3.8531746031746033</v>
      </c>
      <c r="P55" s="77">
        <v>4.3746687010150897E-3</v>
      </c>
      <c r="Q55" s="69">
        <v>1986804.0771123001</v>
      </c>
    </row>
    <row r="56" spans="1:17">
      <c r="A56" s="56" t="s">
        <v>168</v>
      </c>
      <c r="B56" s="56">
        <v>51</v>
      </c>
      <c r="C56" s="54" t="s">
        <v>145</v>
      </c>
      <c r="D56" s="55" t="s">
        <v>47</v>
      </c>
      <c r="E56" s="56" t="s">
        <v>48</v>
      </c>
      <c r="F56" s="56" t="s">
        <v>146</v>
      </c>
      <c r="G56" s="55" t="s">
        <v>49</v>
      </c>
      <c r="H56" s="56" t="s">
        <v>83</v>
      </c>
      <c r="I56" s="56" t="s">
        <v>233</v>
      </c>
      <c r="J56" s="64" t="s">
        <v>260</v>
      </c>
      <c r="K56" s="57">
        <v>5.5E-2</v>
      </c>
      <c r="L56" s="62">
        <v>45991</v>
      </c>
      <c r="M56" s="67">
        <v>46920</v>
      </c>
      <c r="N56" s="56" t="s">
        <v>58</v>
      </c>
      <c r="O56" s="75">
        <v>1.6944444444444444</v>
      </c>
      <c r="P56" s="76">
        <v>3.9149021895770941E-3</v>
      </c>
      <c r="Q56" s="69">
        <v>1777996.0411499999</v>
      </c>
    </row>
    <row r="57" spans="1:17">
      <c r="A57" s="56" t="s">
        <v>168</v>
      </c>
      <c r="B57" s="56">
        <v>52</v>
      </c>
      <c r="C57" s="54" t="s">
        <v>147</v>
      </c>
      <c r="D57" s="55" t="s">
        <v>47</v>
      </c>
      <c r="E57" s="56" t="s">
        <v>48</v>
      </c>
      <c r="F57" s="56" t="s">
        <v>148</v>
      </c>
      <c r="G57" s="55" t="s">
        <v>49</v>
      </c>
      <c r="H57" s="56" t="s">
        <v>83</v>
      </c>
      <c r="I57" s="56" t="s">
        <v>234</v>
      </c>
      <c r="J57" s="56" t="s">
        <v>260</v>
      </c>
      <c r="K57" s="57">
        <v>6.8000000000000005E-2</v>
      </c>
      <c r="L57" s="62">
        <v>45991</v>
      </c>
      <c r="M57" s="65">
        <v>46225</v>
      </c>
      <c r="N57" s="55" t="s">
        <v>50</v>
      </c>
      <c r="O57" s="75">
        <v>0.70238095238095233</v>
      </c>
      <c r="P57" s="76">
        <v>3.8878310536191968E-3</v>
      </c>
      <c r="Q57" s="69">
        <v>1765701.38595</v>
      </c>
    </row>
    <row r="58" spans="1:17">
      <c r="A58" s="56" t="s">
        <v>168</v>
      </c>
      <c r="B58" s="56">
        <v>53</v>
      </c>
      <c r="C58" s="54" t="s">
        <v>156</v>
      </c>
      <c r="D58" s="55" t="s">
        <v>47</v>
      </c>
      <c r="E58" s="56" t="s">
        <v>48</v>
      </c>
      <c r="F58" s="56" t="s">
        <v>157</v>
      </c>
      <c r="G58" s="55" t="s">
        <v>49</v>
      </c>
      <c r="H58" s="56" t="s">
        <v>83</v>
      </c>
      <c r="I58" s="56" t="s">
        <v>240</v>
      </c>
      <c r="J58" s="64" t="s">
        <v>259</v>
      </c>
      <c r="K58" s="57">
        <v>9.8900000000000002E-2</v>
      </c>
      <c r="L58" s="62">
        <v>45961</v>
      </c>
      <c r="M58" s="65">
        <v>47011</v>
      </c>
      <c r="N58" s="55" t="s">
        <v>50</v>
      </c>
      <c r="O58" s="75">
        <v>1.7420634920634921</v>
      </c>
      <c r="P58" s="76">
        <v>3.8248495989549355E-3</v>
      </c>
      <c r="Q58" s="69">
        <v>1737097.6631400001</v>
      </c>
    </row>
    <row r="59" spans="1:17">
      <c r="A59" s="56" t="s">
        <v>168</v>
      </c>
      <c r="B59" s="56">
        <v>54</v>
      </c>
      <c r="C59" s="54" t="s">
        <v>141</v>
      </c>
      <c r="D59" s="55" t="s">
        <v>66</v>
      </c>
      <c r="E59" s="56" t="s">
        <v>53</v>
      </c>
      <c r="F59" s="56" t="s">
        <v>158</v>
      </c>
      <c r="G59" s="55" t="s">
        <v>49</v>
      </c>
      <c r="H59" s="56" t="s">
        <v>83</v>
      </c>
      <c r="I59" s="56" t="s">
        <v>239</v>
      </c>
      <c r="J59" s="56" t="s">
        <v>259</v>
      </c>
      <c r="K59" s="57">
        <v>8.5500000000000007E-2</v>
      </c>
      <c r="L59" s="62">
        <v>45930</v>
      </c>
      <c r="M59" s="65">
        <v>47478</v>
      </c>
      <c r="N59" s="55" t="s">
        <v>58</v>
      </c>
      <c r="O59" s="75">
        <v>1.8861111111111111</v>
      </c>
      <c r="P59" s="76">
        <v>3.417624876483661E-3</v>
      </c>
      <c r="Q59" s="69">
        <v>1552152.0605806299</v>
      </c>
    </row>
    <row r="60" spans="1:17">
      <c r="A60" s="56" t="s">
        <v>168</v>
      </c>
      <c r="B60" s="56">
        <v>55</v>
      </c>
      <c r="C60" s="54" t="s">
        <v>255</v>
      </c>
      <c r="D60" s="55" t="s">
        <v>79</v>
      </c>
      <c r="E60" s="56" t="s">
        <v>48</v>
      </c>
      <c r="F60" s="56" t="s">
        <v>152</v>
      </c>
      <c r="G60" s="55" t="s">
        <v>49</v>
      </c>
      <c r="H60" s="56" t="s">
        <v>55</v>
      </c>
      <c r="I60" s="56" t="s">
        <v>238</v>
      </c>
      <c r="J60" s="56" t="s">
        <v>259</v>
      </c>
      <c r="K60" s="57">
        <v>9.5000000000000001E-2</v>
      </c>
      <c r="L60" s="62">
        <v>45991</v>
      </c>
      <c r="M60" s="67">
        <v>48928</v>
      </c>
      <c r="N60" s="55" t="s">
        <v>50</v>
      </c>
      <c r="O60" s="75">
        <v>4.9523809523809526</v>
      </c>
      <c r="P60" s="77">
        <v>3.3646598915802136E-3</v>
      </c>
      <c r="Q60" s="69">
        <v>1528097.4280719</v>
      </c>
    </row>
    <row r="61" spans="1:17">
      <c r="A61" s="56" t="s">
        <v>168</v>
      </c>
      <c r="B61" s="56">
        <v>56</v>
      </c>
      <c r="C61" s="54" t="s">
        <v>147</v>
      </c>
      <c r="D61" s="55" t="s">
        <v>47</v>
      </c>
      <c r="E61" s="56" t="s">
        <v>48</v>
      </c>
      <c r="F61" s="56" t="s">
        <v>151</v>
      </c>
      <c r="G61" s="55" t="s">
        <v>49</v>
      </c>
      <c r="H61" s="56" t="s">
        <v>83</v>
      </c>
      <c r="I61" s="56" t="s">
        <v>236</v>
      </c>
      <c r="J61" s="56" t="s">
        <v>260</v>
      </c>
      <c r="K61" s="57">
        <v>6.8000000000000005E-2</v>
      </c>
      <c r="L61" s="62">
        <v>45991</v>
      </c>
      <c r="M61" s="65">
        <v>46225</v>
      </c>
      <c r="N61" s="55" t="s">
        <v>50</v>
      </c>
      <c r="O61" s="75">
        <v>0.70238095238095233</v>
      </c>
      <c r="P61" s="76">
        <v>3.1102648399008253E-3</v>
      </c>
      <c r="Q61" s="69">
        <v>1412561.1074000001</v>
      </c>
    </row>
    <row r="62" spans="1:17">
      <c r="A62" s="56" t="s">
        <v>168</v>
      </c>
      <c r="B62" s="56">
        <v>57</v>
      </c>
      <c r="C62" s="54" t="s">
        <v>111</v>
      </c>
      <c r="D62" s="55" t="s">
        <v>47</v>
      </c>
      <c r="E62" s="56" t="s">
        <v>48</v>
      </c>
      <c r="F62" s="56" t="s">
        <v>112</v>
      </c>
      <c r="G62" s="55" t="s">
        <v>49</v>
      </c>
      <c r="H62" s="56" t="s">
        <v>83</v>
      </c>
      <c r="I62" s="56" t="s">
        <v>217</v>
      </c>
      <c r="J62" s="64" t="s">
        <v>260</v>
      </c>
      <c r="K62" s="57">
        <v>5.5E-2</v>
      </c>
      <c r="L62" s="62">
        <v>45991</v>
      </c>
      <c r="M62" s="65">
        <v>46920</v>
      </c>
      <c r="N62" s="55" t="s">
        <v>58</v>
      </c>
      <c r="O62" s="75">
        <v>1.1944444444444444</v>
      </c>
      <c r="P62" s="76">
        <v>3.030777514484283E-3</v>
      </c>
      <c r="Q62" s="69">
        <v>1376461.0612000001</v>
      </c>
    </row>
    <row r="63" spans="1:17">
      <c r="A63" s="56" t="s">
        <v>168</v>
      </c>
      <c r="B63" s="56">
        <v>58</v>
      </c>
      <c r="C63" s="54" t="s">
        <v>153</v>
      </c>
      <c r="D63" s="55" t="s">
        <v>93</v>
      </c>
      <c r="E63" s="56" t="s">
        <v>48</v>
      </c>
      <c r="F63" s="56" t="s">
        <v>154</v>
      </c>
      <c r="G63" s="55" t="s">
        <v>61</v>
      </c>
      <c r="H63" s="56" t="s">
        <v>155</v>
      </c>
      <c r="I63" s="56" t="s">
        <v>213</v>
      </c>
      <c r="J63" s="64" t="s">
        <v>259</v>
      </c>
      <c r="K63" s="72">
        <v>6.4500000000000002E-2</v>
      </c>
      <c r="L63" s="62">
        <v>45930</v>
      </c>
      <c r="M63" s="65">
        <v>51424</v>
      </c>
      <c r="N63" s="55" t="s">
        <v>58</v>
      </c>
      <c r="O63" s="75">
        <v>7.3571428571428568</v>
      </c>
      <c r="P63" s="76">
        <v>2.7712440476766248E-3</v>
      </c>
      <c r="Q63" s="69">
        <v>1258591.0725809999</v>
      </c>
    </row>
    <row r="64" spans="1:17">
      <c r="A64" s="56" t="s">
        <v>168</v>
      </c>
      <c r="B64" s="56">
        <v>59</v>
      </c>
      <c r="C64" s="54" t="s">
        <v>109</v>
      </c>
      <c r="D64" s="56" t="s">
        <v>47</v>
      </c>
      <c r="E64" s="56" t="s">
        <v>48</v>
      </c>
      <c r="F64" s="56" t="s">
        <v>123</v>
      </c>
      <c r="G64" s="55" t="s">
        <v>49</v>
      </c>
      <c r="H64" s="11" t="s">
        <v>83</v>
      </c>
      <c r="I64" s="11" t="s">
        <v>228</v>
      </c>
      <c r="J64" s="56" t="s">
        <v>260</v>
      </c>
      <c r="K64" s="57">
        <v>3.5000000000000003E-2</v>
      </c>
      <c r="L64" s="62">
        <v>45991</v>
      </c>
      <c r="M64" s="65">
        <v>46939</v>
      </c>
      <c r="N64" s="56" t="s">
        <v>58</v>
      </c>
      <c r="O64" s="75">
        <v>0.81746031746031744</v>
      </c>
      <c r="P64" s="77">
        <v>2.4475077874259875E-3</v>
      </c>
      <c r="Q64" s="69">
        <v>1111562.6766647999</v>
      </c>
    </row>
    <row r="65" spans="1:17">
      <c r="A65" s="56" t="s">
        <v>168</v>
      </c>
      <c r="B65" s="56">
        <v>60</v>
      </c>
      <c r="C65" s="54" t="s">
        <v>149</v>
      </c>
      <c r="D65" s="55" t="s">
        <v>79</v>
      </c>
      <c r="E65" s="56" t="s">
        <v>48</v>
      </c>
      <c r="F65" s="11" t="s">
        <v>150</v>
      </c>
      <c r="G65" s="55" t="s">
        <v>49</v>
      </c>
      <c r="H65" s="11" t="s">
        <v>64</v>
      </c>
      <c r="I65" s="11" t="s">
        <v>235</v>
      </c>
      <c r="J65" s="56" t="s">
        <v>259</v>
      </c>
      <c r="K65" s="57">
        <v>0.09</v>
      </c>
      <c r="L65" s="62">
        <v>45930</v>
      </c>
      <c r="M65" s="66">
        <v>47931</v>
      </c>
      <c r="N65" s="55" t="s">
        <v>50</v>
      </c>
      <c r="O65" s="75">
        <v>1.7027777777777777</v>
      </c>
      <c r="P65" s="77">
        <v>2.4254413079616254E-3</v>
      </c>
      <c r="Q65" s="69">
        <v>1101540.94145154</v>
      </c>
    </row>
    <row r="66" spans="1:17">
      <c r="A66" s="56" t="s">
        <v>168</v>
      </c>
      <c r="B66" s="56">
        <v>61</v>
      </c>
      <c r="C66" s="54" t="s">
        <v>256</v>
      </c>
      <c r="D66" s="55" t="s">
        <v>47</v>
      </c>
      <c r="E66" s="56" t="s">
        <v>48</v>
      </c>
      <c r="F66" s="56" t="s">
        <v>271</v>
      </c>
      <c r="G66" s="55" t="s">
        <v>49</v>
      </c>
      <c r="H66" s="56" t="s">
        <v>83</v>
      </c>
      <c r="I66" s="56" t="s">
        <v>272</v>
      </c>
      <c r="J66" s="64" t="s">
        <v>260</v>
      </c>
      <c r="K66" s="57">
        <v>0.03</v>
      </c>
      <c r="L66" s="62">
        <v>45991</v>
      </c>
      <c r="M66" s="65">
        <v>46741</v>
      </c>
      <c r="N66" s="55" t="s">
        <v>58</v>
      </c>
      <c r="O66" s="75">
        <v>2.4007936507936507</v>
      </c>
      <c r="P66" s="76">
        <v>2.0201528778085475E-3</v>
      </c>
      <c r="Q66" s="69">
        <v>917474.72742081003</v>
      </c>
    </row>
    <row r="67" spans="1:17">
      <c r="A67" s="56" t="s">
        <v>168</v>
      </c>
      <c r="B67" s="56">
        <v>62</v>
      </c>
      <c r="C67" s="54" t="s">
        <v>281</v>
      </c>
      <c r="D67" s="55" t="s">
        <v>93</v>
      </c>
      <c r="E67" s="56" t="s">
        <v>48</v>
      </c>
      <c r="F67" s="56" t="s">
        <v>282</v>
      </c>
      <c r="G67" s="55" t="s">
        <v>49</v>
      </c>
      <c r="H67" s="56" t="s">
        <v>155</v>
      </c>
      <c r="I67" s="56" t="s">
        <v>283</v>
      </c>
      <c r="J67" s="64" t="s">
        <v>259</v>
      </c>
      <c r="K67" s="57">
        <v>0.1</v>
      </c>
      <c r="L67" s="62">
        <v>45930</v>
      </c>
      <c r="M67" s="65">
        <v>51302</v>
      </c>
      <c r="N67" s="55" t="s">
        <v>58</v>
      </c>
      <c r="O67" s="75">
        <v>3.6865079365079363</v>
      </c>
      <c r="P67" s="76">
        <v>2.0073526638723777E-3</v>
      </c>
      <c r="Q67" s="69">
        <v>911661.368976</v>
      </c>
    </row>
    <row r="68" spans="1:17">
      <c r="A68" s="56" t="s">
        <v>168</v>
      </c>
      <c r="B68" s="56">
        <v>63</v>
      </c>
      <c r="C68" s="54" t="s">
        <v>159</v>
      </c>
      <c r="D68" s="55" t="s">
        <v>47</v>
      </c>
      <c r="E68" s="56" t="s">
        <v>48</v>
      </c>
      <c r="F68" s="56" t="s">
        <v>160</v>
      </c>
      <c r="G68" s="55" t="s">
        <v>61</v>
      </c>
      <c r="H68" s="56" t="s">
        <v>64</v>
      </c>
      <c r="I68" s="56" t="s">
        <v>241</v>
      </c>
      <c r="J68" s="56" t="s">
        <v>260</v>
      </c>
      <c r="K68" s="57">
        <v>0.03</v>
      </c>
      <c r="L68" s="62">
        <v>45991</v>
      </c>
      <c r="M68" s="65">
        <v>47379</v>
      </c>
      <c r="N68" s="55" t="s">
        <v>58</v>
      </c>
      <c r="O68" s="75">
        <v>2.4007936507936507</v>
      </c>
      <c r="P68" s="76">
        <v>1.8033575134067967E-3</v>
      </c>
      <c r="Q68" s="69">
        <v>819014.71974240011</v>
      </c>
    </row>
    <row r="69" spans="1:17">
      <c r="A69" s="56" t="s">
        <v>168</v>
      </c>
      <c r="B69" s="56">
        <v>64</v>
      </c>
      <c r="C69" s="54" t="s">
        <v>256</v>
      </c>
      <c r="D69" s="55" t="s">
        <v>47</v>
      </c>
      <c r="E69" s="56" t="s">
        <v>48</v>
      </c>
      <c r="F69" s="56" t="s">
        <v>242</v>
      </c>
      <c r="G69" s="55" t="s">
        <v>49</v>
      </c>
      <c r="H69" s="56" t="s">
        <v>83</v>
      </c>
      <c r="I69" s="56" t="s">
        <v>243</v>
      </c>
      <c r="J69" s="56" t="s">
        <v>260</v>
      </c>
      <c r="K69" s="57">
        <v>0.03</v>
      </c>
      <c r="L69" s="62">
        <v>45991</v>
      </c>
      <c r="M69" s="66">
        <v>46741</v>
      </c>
      <c r="N69" s="56" t="s">
        <v>58</v>
      </c>
      <c r="O69" s="75">
        <v>2.4047619047619047</v>
      </c>
      <c r="P69" s="77">
        <v>1.3460606252600692E-3</v>
      </c>
      <c r="Q69" s="69">
        <v>611328.29045694007</v>
      </c>
    </row>
    <row r="70" spans="1:17">
      <c r="A70" s="56" t="s">
        <v>168</v>
      </c>
      <c r="B70" s="56">
        <v>65</v>
      </c>
      <c r="C70" s="54" t="s">
        <v>131</v>
      </c>
      <c r="D70" s="55" t="s">
        <v>90</v>
      </c>
      <c r="E70" s="56" t="s">
        <v>53</v>
      </c>
      <c r="F70" s="56" t="s">
        <v>132</v>
      </c>
      <c r="G70" s="55" t="s">
        <v>49</v>
      </c>
      <c r="H70" s="56" t="s">
        <v>64</v>
      </c>
      <c r="I70" s="56" t="s">
        <v>226</v>
      </c>
      <c r="J70" s="56" t="s">
        <v>259</v>
      </c>
      <c r="K70" s="57">
        <v>8.2600000000000007E-2</v>
      </c>
      <c r="L70" s="62">
        <v>45991</v>
      </c>
      <c r="M70" s="65">
        <v>50333</v>
      </c>
      <c r="N70" s="55" t="s">
        <v>58</v>
      </c>
      <c r="O70" s="75">
        <v>6.912698412698413</v>
      </c>
      <c r="P70" s="76">
        <v>1.0256028883204615E-3</v>
      </c>
      <c r="Q70" s="69">
        <v>465788.87208999996</v>
      </c>
    </row>
    <row r="71" spans="1:17">
      <c r="A71" s="56" t="s">
        <v>168</v>
      </c>
      <c r="B71" s="56">
        <v>66</v>
      </c>
      <c r="C71" s="54" t="s">
        <v>141</v>
      </c>
      <c r="D71" s="55" t="s">
        <v>66</v>
      </c>
      <c r="E71" s="56" t="s">
        <v>53</v>
      </c>
      <c r="F71" s="56" t="s">
        <v>161</v>
      </c>
      <c r="G71" s="55" t="s">
        <v>49</v>
      </c>
      <c r="H71" s="56" t="s">
        <v>83</v>
      </c>
      <c r="I71" s="56" t="s">
        <v>244</v>
      </c>
      <c r="J71" s="64" t="s">
        <v>259</v>
      </c>
      <c r="K71" s="57">
        <v>5.6000000000000001E-2</v>
      </c>
      <c r="L71" s="62">
        <v>45900</v>
      </c>
      <c r="M71" s="65">
        <v>49669</v>
      </c>
      <c r="N71" s="55" t="s">
        <v>58</v>
      </c>
      <c r="O71" s="75">
        <v>4.375</v>
      </c>
      <c r="P71" s="76">
        <v>6.0285257605311793E-4</v>
      </c>
      <c r="Q71" s="69">
        <v>273792.151557</v>
      </c>
    </row>
    <row r="72" spans="1:17">
      <c r="A72" s="56" t="s">
        <v>168</v>
      </c>
      <c r="B72" s="56">
        <v>67</v>
      </c>
      <c r="C72" s="54" t="s">
        <v>162</v>
      </c>
      <c r="D72" s="55" t="s">
        <v>163</v>
      </c>
      <c r="E72" s="56" t="s">
        <v>53</v>
      </c>
      <c r="F72" s="56" t="s">
        <v>164</v>
      </c>
      <c r="G72" s="55" t="s">
        <v>49</v>
      </c>
      <c r="H72" s="56" t="s">
        <v>83</v>
      </c>
      <c r="I72" s="56" t="s">
        <v>245</v>
      </c>
      <c r="J72" s="64" t="s">
        <v>259</v>
      </c>
      <c r="K72" s="57">
        <v>8.5300000000000001E-2</v>
      </c>
      <c r="L72" s="62">
        <v>45930</v>
      </c>
      <c r="M72" s="65">
        <v>48029</v>
      </c>
      <c r="N72" s="55" t="s">
        <v>58</v>
      </c>
      <c r="O72" s="75">
        <v>3.6693480158730161</v>
      </c>
      <c r="P72" s="77">
        <v>2.2475667592115764E-4</v>
      </c>
      <c r="Q72" s="69">
        <v>102075.72518000001</v>
      </c>
    </row>
    <row r="73" spans="1:17">
      <c r="A73" s="56" t="s">
        <v>168</v>
      </c>
      <c r="B73" s="56">
        <v>68</v>
      </c>
      <c r="C73" s="54" t="s">
        <v>147</v>
      </c>
      <c r="D73" s="55" t="s">
        <v>47</v>
      </c>
      <c r="E73" s="56" t="s">
        <v>48</v>
      </c>
      <c r="F73" s="56" t="s">
        <v>258</v>
      </c>
      <c r="G73" s="55" t="s">
        <v>49</v>
      </c>
      <c r="H73" s="56" t="s">
        <v>83</v>
      </c>
      <c r="I73" s="56" t="s">
        <v>262</v>
      </c>
      <c r="J73" s="64" t="s">
        <v>260</v>
      </c>
      <c r="K73" s="57">
        <v>6.8000000000000005E-2</v>
      </c>
      <c r="L73" s="62">
        <v>45991</v>
      </c>
      <c r="M73" s="65" t="s">
        <v>263</v>
      </c>
      <c r="N73" s="55" t="s">
        <v>50</v>
      </c>
      <c r="O73" s="75">
        <v>0.70238095238095233</v>
      </c>
      <c r="P73" s="77">
        <v>2.2082880383931711E-4</v>
      </c>
      <c r="Q73" s="69">
        <v>100291.83871912</v>
      </c>
    </row>
    <row r="74" spans="1:17">
      <c r="A74" s="11" t="s">
        <v>24</v>
      </c>
      <c r="B74" s="54"/>
      <c r="C74" s="54"/>
      <c r="D74" s="68">
        <v>0</v>
      </c>
      <c r="E74" s="68">
        <v>0</v>
      </c>
      <c r="F74" s="68">
        <v>0</v>
      </c>
      <c r="G74" s="68">
        <v>0</v>
      </c>
      <c r="H74" s="68">
        <v>0</v>
      </c>
      <c r="I74" s="68">
        <v>0</v>
      </c>
      <c r="J74" s="68"/>
      <c r="K74" s="68">
        <v>0</v>
      </c>
      <c r="L74" s="68"/>
      <c r="M74" s="68">
        <v>0</v>
      </c>
      <c r="N74" s="68">
        <v>0</v>
      </c>
      <c r="O74" s="70"/>
      <c r="P74" s="77">
        <v>6.9972591344887453E-2</v>
      </c>
      <c r="Q74" s="69">
        <v>31778824.699999999</v>
      </c>
    </row>
  </sheetData>
  <conditionalFormatting sqref="C49">
    <cfRule type="timePeriod" dxfId="3" priority="3" timePeriod="today">
      <formula>FLOOR(C49,1)=TODAY()</formula>
    </cfRule>
    <cfRule type="timePeriod" dxfId="2" priority="4" timePeriod="today">
      <formula>FLOOR(C49,1)=TODAY()</formula>
    </cfRule>
  </conditionalFormatting>
  <conditionalFormatting sqref="F49">
    <cfRule type="timePeriod" dxfId="1" priority="1" timePeriod="today">
      <formula>FLOOR(F49,1)=TODAY()</formula>
    </cfRule>
    <cfRule type="timePeriod" dxfId="0" priority="2" timePeriod="today">
      <formula>FLOOR(F49,1)=TODAY()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5FC8B-1438-4A64-8CB0-610C5920CBDE}">
  <dimension ref="A1:BG12"/>
  <sheetViews>
    <sheetView showGridLines="0" zoomScale="145" zoomScaleNormal="145" workbookViewId="0">
      <pane xSplit="2" ySplit="5" topLeftCell="AW6" activePane="bottomRight" state="frozen"/>
      <selection pane="topRight" activeCell="C1" sqref="C1"/>
      <selection pane="bottomLeft" activeCell="A6" sqref="A6"/>
      <selection pane="bottomRight" activeCell="AY4" sqref="AY4"/>
    </sheetView>
  </sheetViews>
  <sheetFormatPr baseColWidth="10" defaultColWidth="0" defaultRowHeight="15" zeroHeight="1"/>
  <cols>
    <col min="1" max="1" width="2.6640625" customWidth="1"/>
    <col min="2" max="2" width="36.5" customWidth="1"/>
    <col min="3" max="31" width="18.5" bestFit="1" customWidth="1"/>
    <col min="32" max="48" width="14.5" bestFit="1" customWidth="1"/>
    <col min="49" max="49" width="14.5" customWidth="1"/>
    <col min="50" max="57" width="14.5" bestFit="1" customWidth="1"/>
    <col min="58" max="58" width="14.5" customWidth="1"/>
    <col min="59" max="59" width="14.5" bestFit="1" customWidth="1"/>
    <col min="60" max="16384" width="9.1640625" hidden="1"/>
  </cols>
  <sheetData>
    <row r="1" spans="2:59"/>
    <row r="2" spans="2:59"/>
    <row r="3" spans="2:59"/>
    <row r="4" spans="2:59"/>
    <row r="5" spans="2:59">
      <c r="C5" s="87">
        <v>44287</v>
      </c>
      <c r="D5" s="87">
        <v>44317</v>
      </c>
      <c r="E5" s="87">
        <v>44348</v>
      </c>
      <c r="F5" s="87">
        <v>44378</v>
      </c>
      <c r="G5" s="87">
        <v>44409</v>
      </c>
      <c r="H5" s="87">
        <v>44440</v>
      </c>
      <c r="I5" s="87">
        <v>44470</v>
      </c>
      <c r="J5" s="87">
        <v>44501</v>
      </c>
      <c r="K5" s="87">
        <v>44531</v>
      </c>
      <c r="L5" s="87">
        <v>44562</v>
      </c>
      <c r="M5" s="87">
        <v>44593</v>
      </c>
      <c r="N5" s="87">
        <v>44621</v>
      </c>
      <c r="O5" s="87">
        <v>44652</v>
      </c>
      <c r="P5" s="87">
        <v>44682</v>
      </c>
      <c r="Q5" s="87">
        <v>44713</v>
      </c>
      <c r="R5" s="87">
        <v>44743</v>
      </c>
      <c r="S5" s="87">
        <v>44774</v>
      </c>
      <c r="T5" s="87">
        <v>44805</v>
      </c>
      <c r="U5" s="87">
        <v>44835</v>
      </c>
      <c r="V5" s="87">
        <v>44866</v>
      </c>
      <c r="W5" s="87">
        <v>44896</v>
      </c>
      <c r="X5" s="87">
        <v>44927</v>
      </c>
      <c r="Y5" s="87">
        <v>44958</v>
      </c>
      <c r="Z5" s="87">
        <v>44986</v>
      </c>
      <c r="AA5" s="87">
        <v>45017</v>
      </c>
      <c r="AB5" s="87">
        <v>45047</v>
      </c>
      <c r="AC5" s="87">
        <v>45078</v>
      </c>
      <c r="AD5" s="87">
        <v>45108</v>
      </c>
      <c r="AE5" s="87">
        <v>45139</v>
      </c>
      <c r="AF5" s="87">
        <v>45170</v>
      </c>
      <c r="AG5" s="87">
        <v>45200</v>
      </c>
      <c r="AH5" s="87">
        <v>45231</v>
      </c>
      <c r="AI5" s="87">
        <v>45261</v>
      </c>
      <c r="AJ5" s="87">
        <v>45292</v>
      </c>
      <c r="AK5" s="87">
        <v>45323</v>
      </c>
      <c r="AL5" s="87">
        <v>45352</v>
      </c>
      <c r="AM5" s="87">
        <v>45383</v>
      </c>
      <c r="AN5" s="87">
        <v>45413</v>
      </c>
      <c r="AO5" s="87">
        <v>45444</v>
      </c>
      <c r="AP5" s="87">
        <f t="shared" ref="AP5:AZ5" si="0">EDATE(AO5,1)</f>
        <v>45474</v>
      </c>
      <c r="AQ5" s="87">
        <f t="shared" si="0"/>
        <v>45505</v>
      </c>
      <c r="AR5" s="87">
        <f t="shared" si="0"/>
        <v>45536</v>
      </c>
      <c r="AS5" s="87">
        <f t="shared" si="0"/>
        <v>45566</v>
      </c>
      <c r="AT5" s="87">
        <f t="shared" si="0"/>
        <v>45597</v>
      </c>
      <c r="AU5" s="87">
        <f t="shared" si="0"/>
        <v>45627</v>
      </c>
      <c r="AV5" s="87">
        <f t="shared" si="0"/>
        <v>45658</v>
      </c>
      <c r="AW5" s="87">
        <f t="shared" si="0"/>
        <v>45689</v>
      </c>
      <c r="AX5" s="87">
        <f t="shared" si="0"/>
        <v>45717</v>
      </c>
      <c r="AY5" s="87">
        <f t="shared" si="0"/>
        <v>45748</v>
      </c>
      <c r="AZ5" s="87">
        <f t="shared" si="0"/>
        <v>45778</v>
      </c>
      <c r="BA5" s="87">
        <f t="shared" ref="BA5:BE5" si="1">EDATE(AZ5,1)</f>
        <v>45809</v>
      </c>
      <c r="BB5" s="87">
        <f t="shared" si="1"/>
        <v>45839</v>
      </c>
      <c r="BC5" s="87">
        <f t="shared" si="1"/>
        <v>45870</v>
      </c>
      <c r="BD5" s="87">
        <f t="shared" si="1"/>
        <v>45901</v>
      </c>
      <c r="BE5" s="87">
        <f t="shared" si="1"/>
        <v>45931</v>
      </c>
      <c r="BF5" s="87">
        <f>EDATE(BE5,1)</f>
        <v>45962</v>
      </c>
      <c r="BG5" s="87">
        <f>EDATE(BF5,1)</f>
        <v>45992</v>
      </c>
    </row>
    <row r="6" spans="2:59">
      <c r="B6" s="3" t="s">
        <v>1</v>
      </c>
      <c r="C6" s="38">
        <v>171402029.05000001</v>
      </c>
      <c r="D6" s="38">
        <v>172745111.59</v>
      </c>
      <c r="E6" s="38">
        <v>172958956.83000001</v>
      </c>
      <c r="F6" s="38">
        <v>173527715.15000001</v>
      </c>
      <c r="G6" s="38">
        <v>172876618.28</v>
      </c>
      <c r="H6" s="38">
        <v>174528044.00999999</v>
      </c>
      <c r="I6" s="38">
        <v>174736236.78999999</v>
      </c>
      <c r="J6" s="38">
        <v>176825735.80000001</v>
      </c>
      <c r="K6" s="38">
        <v>175960340.59999999</v>
      </c>
      <c r="L6" s="38">
        <v>173063751.55000001</v>
      </c>
      <c r="M6" s="38">
        <v>172462415.03</v>
      </c>
      <c r="N6" s="38">
        <v>173824946.40000001</v>
      </c>
      <c r="O6" s="38">
        <v>171912954.05000001</v>
      </c>
      <c r="P6" s="38">
        <v>225443640.46000001</v>
      </c>
      <c r="Q6" s="38">
        <v>224591611.18000001</v>
      </c>
      <c r="R6" s="38">
        <v>234715647.61000001</v>
      </c>
      <c r="S6" s="38">
        <v>287450160.20999998</v>
      </c>
      <c r="T6" s="38">
        <v>287688552.67000002</v>
      </c>
      <c r="U6" s="38">
        <v>289029478.44</v>
      </c>
      <c r="V6" s="38">
        <v>286309475.81999999</v>
      </c>
      <c r="W6" s="38">
        <v>286772454.43000001</v>
      </c>
      <c r="X6" s="38">
        <v>286551061.58999997</v>
      </c>
      <c r="Y6" s="38">
        <v>286054429.33999997</v>
      </c>
      <c r="Z6" s="38">
        <v>286647451.33999997</v>
      </c>
      <c r="AA6" s="38">
        <v>287147972.32999998</v>
      </c>
      <c r="AB6" s="38">
        <v>288774479.75</v>
      </c>
      <c r="AC6" s="38">
        <v>290388018.85000002</v>
      </c>
      <c r="AD6" s="38">
        <v>289711187.37</v>
      </c>
      <c r="AE6" s="38">
        <v>320377772.86000001</v>
      </c>
      <c r="AF6" s="39">
        <v>317865129.37</v>
      </c>
      <c r="AG6" s="39">
        <v>320750142.24000001</v>
      </c>
      <c r="AH6" s="39">
        <v>322360025.56</v>
      </c>
      <c r="AI6" s="39">
        <v>321041569.91000003</v>
      </c>
      <c r="AJ6" s="39">
        <v>352762912.29000002</v>
      </c>
      <c r="AK6" s="39">
        <v>386055547.13</v>
      </c>
      <c r="AL6" s="39">
        <v>385438732.93000001</v>
      </c>
      <c r="AM6" s="39">
        <v>382833867.38999999</v>
      </c>
      <c r="AN6" s="39">
        <v>383985644.69999999</v>
      </c>
      <c r="AO6" s="39">
        <v>430222362.04000002</v>
      </c>
      <c r="AP6" s="39">
        <v>438758075.77999997</v>
      </c>
      <c r="AQ6" s="39">
        <v>438272622.19</v>
      </c>
      <c r="AR6" s="39">
        <v>435416167.85000002</v>
      </c>
      <c r="AS6" s="39">
        <v>432224228.95999998</v>
      </c>
      <c r="AT6" s="39">
        <v>429720840.74000001</v>
      </c>
      <c r="AU6" s="39">
        <v>418708922.57999998</v>
      </c>
      <c r="AV6" s="39">
        <v>427249192.58999997</v>
      </c>
      <c r="AW6" s="39">
        <v>424611949.75</v>
      </c>
      <c r="AX6" s="39">
        <v>424592667.11000001</v>
      </c>
      <c r="AY6" s="39">
        <v>430040925.86000001</v>
      </c>
      <c r="AZ6" s="39">
        <v>431495256.55000001</v>
      </c>
      <c r="BA6" s="39">
        <v>431693502.56</v>
      </c>
      <c r="BB6" s="39">
        <v>427523494.63</v>
      </c>
      <c r="BC6" s="39">
        <v>428799120.18000001</v>
      </c>
      <c r="BD6" s="39">
        <v>428737034.49000001</v>
      </c>
      <c r="BE6" s="39">
        <v>429289139.75999999</v>
      </c>
      <c r="BF6" s="39">
        <v>430678521.38</v>
      </c>
      <c r="BG6" s="39">
        <v>452869788.70999998</v>
      </c>
    </row>
    <row r="7" spans="2:59">
      <c r="B7" s="1" t="s">
        <v>165</v>
      </c>
      <c r="C7" s="35" t="s">
        <v>3</v>
      </c>
      <c r="D7" s="28">
        <f>D6/C6-1</f>
        <v>7.8358613806619459E-3</v>
      </c>
      <c r="E7" s="28">
        <f t="shared" ref="E7:AQ7" si="2">E6/D6-1</f>
        <v>1.2379235396688948E-3</v>
      </c>
      <c r="F7" s="28">
        <f t="shared" si="2"/>
        <v>3.288400499310562E-3</v>
      </c>
      <c r="G7" s="28">
        <f t="shared" si="2"/>
        <v>-3.7521203424892846E-3</v>
      </c>
      <c r="H7" s="28">
        <f t="shared" si="2"/>
        <v>9.5526262974745535E-3</v>
      </c>
      <c r="I7" s="28">
        <f t="shared" si="2"/>
        <v>1.1928901236528677E-3</v>
      </c>
      <c r="J7" s="28">
        <f t="shared" si="2"/>
        <v>1.1958017686458433E-2</v>
      </c>
      <c r="K7" s="28">
        <f t="shared" si="2"/>
        <v>-4.8940568299336018E-3</v>
      </c>
      <c r="L7" s="28">
        <f t="shared" si="2"/>
        <v>-1.6461601745728749E-2</v>
      </c>
      <c r="M7" s="28">
        <f t="shared" si="2"/>
        <v>-3.4746532108214101E-3</v>
      </c>
      <c r="N7" s="28">
        <f t="shared" si="2"/>
        <v>7.9004539613050095E-3</v>
      </c>
      <c r="O7" s="28">
        <f t="shared" si="2"/>
        <v>-1.0999527913560736E-2</v>
      </c>
      <c r="P7" s="28">
        <f t="shared" si="2"/>
        <v>0.31138250579087168</v>
      </c>
      <c r="Q7" s="28">
        <f t="shared" si="2"/>
        <v>-3.779344931892914E-3</v>
      </c>
      <c r="R7" s="28">
        <f t="shared" si="2"/>
        <v>4.5077535963202298E-2</v>
      </c>
      <c r="S7" s="28">
        <f t="shared" si="2"/>
        <v>0.22467403914894857</v>
      </c>
      <c r="T7" s="28">
        <f t="shared" si="2"/>
        <v>8.2933493523151824E-4</v>
      </c>
      <c r="U7" s="28">
        <f t="shared" si="2"/>
        <v>4.6610327646166017E-3</v>
      </c>
      <c r="V7" s="28">
        <f t="shared" si="2"/>
        <v>-9.410813854285327E-3</v>
      </c>
      <c r="W7" s="28">
        <f t="shared" si="2"/>
        <v>1.6170565388171632E-3</v>
      </c>
      <c r="X7" s="28">
        <f t="shared" si="2"/>
        <v>-7.7201570994700486E-4</v>
      </c>
      <c r="Y7" s="28">
        <f t="shared" si="2"/>
        <v>-1.7331370096634879E-3</v>
      </c>
      <c r="Z7" s="28">
        <f t="shared" si="2"/>
        <v>2.0731089582086693E-3</v>
      </c>
      <c r="AA7" s="28">
        <f t="shared" si="2"/>
        <v>1.7461204963107324E-3</v>
      </c>
      <c r="AB7" s="28">
        <f t="shared" si="2"/>
        <v>5.6643527962327855E-3</v>
      </c>
      <c r="AC7" s="28">
        <f t="shared" si="2"/>
        <v>5.5875404966425624E-3</v>
      </c>
      <c r="AD7" s="28">
        <f t="shared" si="2"/>
        <v>-2.3307830766586823E-3</v>
      </c>
      <c r="AE7" s="28">
        <f t="shared" si="2"/>
        <v>0.10585226538329939</v>
      </c>
      <c r="AF7" s="28">
        <f t="shared" si="2"/>
        <v>-7.8427522220713142E-3</v>
      </c>
      <c r="AG7" s="28">
        <f t="shared" si="2"/>
        <v>9.0762169342639698E-3</v>
      </c>
      <c r="AH7" s="28">
        <f t="shared" si="2"/>
        <v>5.0191195824798029E-3</v>
      </c>
      <c r="AI7" s="28">
        <f t="shared" si="2"/>
        <v>-4.0900097575981009E-3</v>
      </c>
      <c r="AJ7" s="28">
        <f t="shared" si="2"/>
        <v>9.8807585537575848E-2</v>
      </c>
      <c r="AK7" s="28">
        <f t="shared" si="2"/>
        <v>9.4376800054963628E-2</v>
      </c>
      <c r="AL7" s="28">
        <f t="shared" si="2"/>
        <v>-1.5977343275740408E-3</v>
      </c>
      <c r="AM7" s="28">
        <f t="shared" si="2"/>
        <v>-6.7581831234202472E-3</v>
      </c>
      <c r="AN7" s="28">
        <f t="shared" si="2"/>
        <v>3.0085564734707582E-3</v>
      </c>
      <c r="AO7" s="28">
        <f t="shared" si="2"/>
        <v>0.12041261952936755</v>
      </c>
      <c r="AP7" s="28">
        <f t="shared" si="2"/>
        <v>1.9840237265970728E-2</v>
      </c>
      <c r="AQ7" s="28">
        <f t="shared" si="2"/>
        <v>-1.1064265635155612E-3</v>
      </c>
      <c r="AR7" s="28">
        <f t="shared" ref="AR7:AU7" si="3">AR6/AQ6-1</f>
        <v>-6.5175285778212855E-3</v>
      </c>
      <c r="AS7" s="28">
        <f t="shared" si="3"/>
        <v>-7.3307771407782329E-3</v>
      </c>
      <c r="AT7" s="28">
        <f t="shared" si="3"/>
        <v>-5.791873875334419E-3</v>
      </c>
      <c r="AU7" s="28">
        <f t="shared" si="3"/>
        <v>-2.5625748430159856E-2</v>
      </c>
      <c r="AV7" s="28">
        <f>AV6/AU6-1</f>
        <v>2.0396675469384729E-2</v>
      </c>
      <c r="AW7" s="28">
        <f t="shared" ref="AW7:BD7" si="4">AW6/AV6-1</f>
        <v>-6.1726104712168661E-3</v>
      </c>
      <c r="AX7" s="28">
        <f t="shared" si="4"/>
        <v>-4.5412381849629924E-5</v>
      </c>
      <c r="AY7" s="28">
        <f t="shared" si="4"/>
        <v>1.2831730672796748E-2</v>
      </c>
      <c r="AZ7" s="28">
        <f t="shared" si="4"/>
        <v>3.3818425236891159E-3</v>
      </c>
      <c r="BA7" s="28">
        <f t="shared" si="4"/>
        <v>4.5943960446992449E-4</v>
      </c>
      <c r="BB7" s="28">
        <f t="shared" si="4"/>
        <v>-9.6596495089023016E-3</v>
      </c>
      <c r="BC7" s="28">
        <f t="shared" si="4"/>
        <v>2.983755433380253E-3</v>
      </c>
      <c r="BD7" s="28">
        <f t="shared" si="4"/>
        <v>-1.4478968607478659E-4</v>
      </c>
      <c r="BE7" s="28">
        <f>BE6/BD6-1</f>
        <v>1.2877480263786545E-3</v>
      </c>
      <c r="BF7" s="28">
        <f>BF6/BE6-1</f>
        <v>3.236470460857177E-3</v>
      </c>
      <c r="BG7" s="28">
        <f>BG6/BF6-1</f>
        <v>5.1526292184002287E-2</v>
      </c>
    </row>
    <row r="8" spans="2:59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C8" s="25"/>
      <c r="BD8" s="25"/>
      <c r="BE8" s="25"/>
      <c r="BF8" s="25"/>
    </row>
    <row r="9" spans="2:59">
      <c r="B9" t="s">
        <v>0</v>
      </c>
      <c r="C9" s="38">
        <v>95.880074717327744</v>
      </c>
      <c r="D9" s="38">
        <v>96.631377691980234</v>
      </c>
      <c r="E9" s="38">
        <v>96.750999949095785</v>
      </c>
      <c r="F9" s="38">
        <v>97.069155985637181</v>
      </c>
      <c r="G9" s="38">
        <v>96.704940830835199</v>
      </c>
      <c r="H9" s="38">
        <v>97.628726991711559</v>
      </c>
      <c r="I9" s="38">
        <v>97.745187335924783</v>
      </c>
      <c r="J9" s="38">
        <v>98.914026014853974</v>
      </c>
      <c r="K9" s="38">
        <v>98.429935150259752</v>
      </c>
      <c r="L9" s="38">
        <v>96.809620757958271</v>
      </c>
      <c r="M9" s="38">
        <v>96.473240898353225</v>
      </c>
      <c r="N9" s="38">
        <v>97.235423296568555</v>
      </c>
      <c r="O9" s="38">
        <v>96.165879543831053</v>
      </c>
      <c r="P9" s="38">
        <v>96.415954076570415</v>
      </c>
      <c r="Q9" s="38">
        <v>96.051564929177502</v>
      </c>
      <c r="R9" s="38">
        <v>94.771959872181469</v>
      </c>
      <c r="S9" s="38">
        <v>95.199415327875599</v>
      </c>
      <c r="T9" s="38">
        <v>95.278367528820624</v>
      </c>
      <c r="U9" s="38">
        <v>95.722463121631634</v>
      </c>
      <c r="V9" s="38">
        <v>94.821636839520266</v>
      </c>
      <c r="W9" s="38">
        <v>94.974968787392953</v>
      </c>
      <c r="X9" s="38">
        <v>94.901646619437358</v>
      </c>
      <c r="Y9" s="38">
        <v>94.737169063403201</v>
      </c>
      <c r="Z9" s="38">
        <v>94.933569537263864</v>
      </c>
      <c r="AA9" s="38">
        <v>95.099334988820814</v>
      </c>
      <c r="AB9" s="38">
        <v>95.638011172884632</v>
      </c>
      <c r="AC9" s="38">
        <v>96.172392433331481</v>
      </c>
      <c r="AD9" s="38">
        <v>95.948235448606084</v>
      </c>
      <c r="AE9" s="38">
        <v>95.832685837524807</v>
      </c>
      <c r="AF9" s="38">
        <v>95.08109382772551</v>
      </c>
      <c r="AG9" s="38">
        <v>95.944070461653055</v>
      </c>
      <c r="AH9" s="38">
        <v>96.425625224529966</v>
      </c>
      <c r="AI9" s="38">
        <v>96.031243476479133</v>
      </c>
      <c r="AJ9" s="38">
        <v>96.75027310964704</v>
      </c>
      <c r="AK9" s="38">
        <v>96.587510612464357</v>
      </c>
      <c r="AL9" s="38">
        <v>96.433189431143887</v>
      </c>
      <c r="AM9" s="38">
        <v>95.781476277792748</v>
      </c>
      <c r="AN9" s="38">
        <v>96.069640258286881</v>
      </c>
      <c r="AO9" s="38">
        <v>94.4375118348066</v>
      </c>
      <c r="AP9" s="38">
        <v>96.311428000000006</v>
      </c>
      <c r="AQ9" s="38">
        <v>96.204866999999993</v>
      </c>
      <c r="AR9" s="38">
        <v>95.577849000000001</v>
      </c>
      <c r="AS9" s="38">
        <v>94.877189000000001</v>
      </c>
      <c r="AT9" s="38">
        <v>94.33</v>
      </c>
      <c r="AU9" s="38">
        <v>91.91</v>
      </c>
      <c r="AV9" s="38">
        <v>93.785122999999999</v>
      </c>
      <c r="AW9" s="38">
        <v>93.21</v>
      </c>
      <c r="AX9" s="38">
        <v>93.201991000000007</v>
      </c>
      <c r="AY9" s="38">
        <v>94.397933846680431</v>
      </c>
      <c r="AZ9" s="38">
        <v>94.717173000000003</v>
      </c>
      <c r="BA9" s="38">
        <v>94.760688999999999</v>
      </c>
      <c r="BB9" s="38">
        <v>93.845333999999994</v>
      </c>
      <c r="BC9" s="38">
        <v>94.125345999999993</v>
      </c>
      <c r="BD9" s="38">
        <v>94.111717999999996</v>
      </c>
      <c r="BE9" s="38">
        <v>94.232910000000004</v>
      </c>
      <c r="BF9" s="38">
        <v>94.537891999999999</v>
      </c>
      <c r="BG9" s="38">
        <v>94.559785000000005</v>
      </c>
    </row>
    <row r="10" spans="2:59">
      <c r="B10" t="s">
        <v>165</v>
      </c>
      <c r="C10" s="35" t="s">
        <v>3</v>
      </c>
      <c r="D10" s="28">
        <f>D9/C9-1</f>
        <v>7.8358613806619459E-3</v>
      </c>
      <c r="E10" s="28">
        <f t="shared" ref="E10" si="5">E9/D9-1</f>
        <v>1.2379235396691168E-3</v>
      </c>
      <c r="F10" s="28">
        <f t="shared" ref="F10" si="6">F9/E9-1</f>
        <v>3.288400499310562E-3</v>
      </c>
      <c r="G10" s="28">
        <f t="shared" ref="G10" si="7">G9/F9-1</f>
        <v>-3.7521203424893956E-3</v>
      </c>
      <c r="H10" s="28">
        <f t="shared" ref="H10" si="8">H9/G9-1</f>
        <v>9.5526262974745535E-3</v>
      </c>
      <c r="I10" s="28">
        <f t="shared" ref="I10" si="9">I9/H9-1</f>
        <v>1.1928901236528677E-3</v>
      </c>
      <c r="J10" s="28">
        <f t="shared" ref="J10" si="10">J9/I9-1</f>
        <v>1.1958017686458433E-2</v>
      </c>
      <c r="K10" s="28">
        <f t="shared" ref="K10" si="11">K9/J9-1</f>
        <v>-4.8940568299336018E-3</v>
      </c>
      <c r="L10" s="28">
        <f t="shared" ref="L10" si="12">L9/K9-1</f>
        <v>-1.6461601745728749E-2</v>
      </c>
      <c r="M10" s="28">
        <f t="shared" ref="M10" si="13">M9/L9-1</f>
        <v>-3.4746532108214101E-3</v>
      </c>
      <c r="N10" s="28">
        <f t="shared" ref="N10" si="14">N9/M9-1</f>
        <v>7.9004539613050095E-3</v>
      </c>
      <c r="O10" s="28">
        <f t="shared" ref="O10" si="15">O9/N9-1</f>
        <v>-1.0999527913560736E-2</v>
      </c>
      <c r="P10" s="28">
        <f t="shared" ref="P10" si="16">P9/O9-1</f>
        <v>2.6004497013452088E-3</v>
      </c>
      <c r="Q10" s="28">
        <f t="shared" ref="Q10" si="17">Q9/P9-1</f>
        <v>-3.779344931893025E-3</v>
      </c>
      <c r="R10" s="28">
        <f t="shared" ref="R10" si="18">R9/Q9-1</f>
        <v>-1.3322063601353462E-2</v>
      </c>
      <c r="S10" s="28">
        <f t="shared" ref="S10" si="19">S9/R9-1</f>
        <v>4.5103578766403363E-3</v>
      </c>
      <c r="T10" s="28">
        <f t="shared" ref="T10" si="20">T9/S9-1</f>
        <v>8.2933493523151824E-4</v>
      </c>
      <c r="U10" s="28">
        <f t="shared" ref="U10" si="21">U9/T9-1</f>
        <v>4.6610327646166017E-3</v>
      </c>
      <c r="V10" s="28">
        <f t="shared" ref="V10" si="22">V9/U9-1</f>
        <v>-9.410813854285327E-3</v>
      </c>
      <c r="W10" s="28">
        <f t="shared" ref="W10" si="23">W9/V9-1</f>
        <v>1.6170565388171632E-3</v>
      </c>
      <c r="X10" s="28">
        <f t="shared" ref="X10" si="24">X9/W9-1</f>
        <v>-7.7201570994700486E-4</v>
      </c>
      <c r="Y10" s="28">
        <f t="shared" ref="Y10" si="25">Y9/X9-1</f>
        <v>-1.7331370096634879E-3</v>
      </c>
      <c r="Z10" s="28">
        <f t="shared" ref="Z10" si="26">Z9/Y9-1</f>
        <v>2.0731089582086693E-3</v>
      </c>
      <c r="AA10" s="28">
        <f t="shared" ref="AA10" si="27">AA9/Z9-1</f>
        <v>1.7461204963107324E-3</v>
      </c>
      <c r="AB10" s="28">
        <f t="shared" ref="AB10" si="28">AB9/AA9-1</f>
        <v>5.6643527962330076E-3</v>
      </c>
      <c r="AC10" s="28">
        <f t="shared" ref="AC10" si="29">AC9/AB9-1</f>
        <v>5.5875404966425624E-3</v>
      </c>
      <c r="AD10" s="28">
        <f t="shared" ref="AD10" si="30">AD9/AC9-1</f>
        <v>-2.3307830766587934E-3</v>
      </c>
      <c r="AE10" s="28">
        <f t="shared" ref="AE10" si="31">AE9/AD9-1</f>
        <v>-1.2042911528390432E-3</v>
      </c>
      <c r="AF10" s="28">
        <f t="shared" ref="AF10" si="32">AF9/AE9-1</f>
        <v>-7.8427522220712031E-3</v>
      </c>
      <c r="AG10" s="28">
        <f t="shared" ref="AG10" si="33">AG9/AF9-1</f>
        <v>9.0762169342639698E-3</v>
      </c>
      <c r="AH10" s="28">
        <f t="shared" ref="AH10" si="34">AH9/AG9-1</f>
        <v>5.0191195824798029E-3</v>
      </c>
      <c r="AI10" s="28">
        <f t="shared" ref="AI10" si="35">AI9/AH9-1</f>
        <v>-4.0900097575982119E-3</v>
      </c>
      <c r="AJ10" s="28">
        <f t="shared" ref="AJ10" si="36">AJ9/AI9-1</f>
        <v>7.4874551983075133E-3</v>
      </c>
      <c r="AK10" s="28">
        <f t="shared" ref="AK10" si="37">AK9/AJ9-1</f>
        <v>-1.6822949636351447E-3</v>
      </c>
      <c r="AL10" s="28">
        <f t="shared" ref="AL10" si="38">AL9/AK9-1</f>
        <v>-1.5977343275741518E-3</v>
      </c>
      <c r="AM10" s="28">
        <f t="shared" ref="AM10" si="39">AM9/AL9-1</f>
        <v>-6.7581831234201362E-3</v>
      </c>
      <c r="AN10" s="28">
        <f t="shared" ref="AN10" si="40">AN9/AM9-1</f>
        <v>3.0085564734707582E-3</v>
      </c>
      <c r="AO10" s="28">
        <f t="shared" ref="AO10:AP10" si="41">AO9/AN9-1</f>
        <v>-1.6989013585272494E-2</v>
      </c>
      <c r="AP10" s="28">
        <f t="shared" si="41"/>
        <v>1.984292183037728E-2</v>
      </c>
      <c r="AQ10" s="28">
        <f t="shared" ref="AQ10" si="42">AQ9/AP9-1</f>
        <v>-1.1064211403865043E-3</v>
      </c>
      <c r="AR10" s="28">
        <f t="shared" ref="AR10" si="43">AR9/AQ9-1</f>
        <v>-6.5175288896766048E-3</v>
      </c>
      <c r="AS10" s="28">
        <f>AS9/AR9-1</f>
        <v>-7.3307780759953589E-3</v>
      </c>
      <c r="AT10" s="28">
        <f>AT9/AS9-1</f>
        <v>-5.7673399240358858E-3</v>
      </c>
      <c r="AU10" s="28">
        <f>AU9/AT9-1</f>
        <v>-2.5654616770910632E-2</v>
      </c>
      <c r="AV10" s="28">
        <f>AV9/AU9-1</f>
        <v>2.0401729953215098E-2</v>
      </c>
      <c r="AW10" s="28">
        <f t="shared" ref="AW10:BD10" si="44">AW9/AV9-1</f>
        <v>-6.132347877818578E-3</v>
      </c>
      <c r="AX10" s="28">
        <f t="shared" si="44"/>
        <v>-8.5924257053782149E-5</v>
      </c>
      <c r="AY10" s="28">
        <f t="shared" si="44"/>
        <v>1.2831730672796748E-2</v>
      </c>
      <c r="AZ10" s="28">
        <f t="shared" si="44"/>
        <v>3.3818447111149119E-3</v>
      </c>
      <c r="BA10" s="28">
        <f t="shared" si="44"/>
        <v>4.5943094184197619E-4</v>
      </c>
      <c r="BB10" s="28">
        <f t="shared" si="44"/>
        <v>-9.6596490555277414E-3</v>
      </c>
      <c r="BC10" s="28">
        <f t="shared" si="44"/>
        <v>2.9837604925568861E-3</v>
      </c>
      <c r="BD10" s="28">
        <f t="shared" si="44"/>
        <v>-1.4478565635234197E-4</v>
      </c>
      <c r="BE10" s="28">
        <f>BE9/BD9-1</f>
        <v>1.2877461231768361E-3</v>
      </c>
      <c r="BF10" s="28">
        <f>BF9/BE9-1</f>
        <v>3.2364701461515821E-3</v>
      </c>
      <c r="BG10" s="28">
        <f>BG9/BF9-1</f>
        <v>2.3157910057913789E-4</v>
      </c>
    </row>
    <row r="11" spans="2:59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2:59">
      <c r="B12" t="s">
        <v>2</v>
      </c>
      <c r="C12" s="52">
        <f t="shared" ref="C12:AO12" si="45">C6/C9</f>
        <v>1787671</v>
      </c>
      <c r="D12" s="52">
        <f t="shared" si="45"/>
        <v>1787671</v>
      </c>
      <c r="E12" s="52">
        <f t="shared" si="45"/>
        <v>1787671</v>
      </c>
      <c r="F12" s="52">
        <f t="shared" si="45"/>
        <v>1787671</v>
      </c>
      <c r="G12" s="52">
        <f t="shared" si="45"/>
        <v>1787671</v>
      </c>
      <c r="H12" s="52">
        <f t="shared" si="45"/>
        <v>1787671</v>
      </c>
      <c r="I12" s="52">
        <f t="shared" si="45"/>
        <v>1787671</v>
      </c>
      <c r="J12" s="52">
        <f t="shared" si="45"/>
        <v>1787671</v>
      </c>
      <c r="K12" s="52">
        <f t="shared" si="45"/>
        <v>1787671</v>
      </c>
      <c r="L12" s="52">
        <f t="shared" si="45"/>
        <v>1787671</v>
      </c>
      <c r="M12" s="52">
        <f t="shared" si="45"/>
        <v>1787671</v>
      </c>
      <c r="N12" s="52">
        <f t="shared" si="45"/>
        <v>1787671</v>
      </c>
      <c r="O12" s="52">
        <f t="shared" si="45"/>
        <v>1787671</v>
      </c>
      <c r="P12" s="52">
        <f t="shared" si="45"/>
        <v>2338240</v>
      </c>
      <c r="Q12" s="52">
        <f t="shared" si="45"/>
        <v>2338240</v>
      </c>
      <c r="R12" s="52">
        <f t="shared" si="45"/>
        <v>2476636</v>
      </c>
      <c r="S12" s="52">
        <f t="shared" si="45"/>
        <v>3019453</v>
      </c>
      <c r="T12" s="52">
        <f t="shared" si="45"/>
        <v>3019453</v>
      </c>
      <c r="U12" s="52">
        <f t="shared" si="45"/>
        <v>3019453</v>
      </c>
      <c r="V12" s="52">
        <f t="shared" si="45"/>
        <v>3019453</v>
      </c>
      <c r="W12" s="52">
        <f t="shared" si="45"/>
        <v>3019453</v>
      </c>
      <c r="X12" s="52">
        <f t="shared" si="45"/>
        <v>3019453</v>
      </c>
      <c r="Y12" s="52">
        <f t="shared" si="45"/>
        <v>3019453</v>
      </c>
      <c r="Z12" s="52">
        <f t="shared" si="45"/>
        <v>3019453</v>
      </c>
      <c r="AA12" s="52">
        <f t="shared" si="45"/>
        <v>3019453</v>
      </c>
      <c r="AB12" s="52">
        <f t="shared" si="45"/>
        <v>3019453</v>
      </c>
      <c r="AC12" s="52">
        <f t="shared" si="45"/>
        <v>3019453</v>
      </c>
      <c r="AD12" s="52">
        <f t="shared" si="45"/>
        <v>3019453</v>
      </c>
      <c r="AE12" s="52">
        <f t="shared" si="45"/>
        <v>3343095</v>
      </c>
      <c r="AF12" s="52">
        <f t="shared" si="45"/>
        <v>3343095</v>
      </c>
      <c r="AG12" s="52">
        <f t="shared" si="45"/>
        <v>3343095</v>
      </c>
      <c r="AH12" s="52">
        <f t="shared" si="45"/>
        <v>3343095</v>
      </c>
      <c r="AI12" s="52">
        <f t="shared" si="45"/>
        <v>3343095</v>
      </c>
      <c r="AJ12" s="52">
        <f t="shared" si="45"/>
        <v>3646117.9999999995</v>
      </c>
      <c r="AK12" s="52">
        <f t="shared" si="45"/>
        <v>3996950.9999999995</v>
      </c>
      <c r="AL12" s="52">
        <f t="shared" si="45"/>
        <v>3996951</v>
      </c>
      <c r="AM12" s="52">
        <f t="shared" si="45"/>
        <v>3996951</v>
      </c>
      <c r="AN12" s="52">
        <f t="shared" si="45"/>
        <v>3996951</v>
      </c>
      <c r="AO12" s="52">
        <f t="shared" si="45"/>
        <v>4555630</v>
      </c>
      <c r="AP12" s="52">
        <v>4555618</v>
      </c>
      <c r="AQ12" s="52">
        <v>4555618</v>
      </c>
      <c r="AR12" s="52">
        <v>4555618</v>
      </c>
      <c r="AS12" s="52">
        <v>4555618</v>
      </c>
      <c r="AT12" s="52">
        <v>4555618</v>
      </c>
      <c r="AU12" s="52">
        <v>4555618</v>
      </c>
      <c r="AV12" s="52">
        <v>4555618</v>
      </c>
      <c r="AW12" s="52">
        <v>4555618</v>
      </c>
      <c r="AX12" s="52">
        <v>4555618</v>
      </c>
      <c r="AY12" s="52">
        <v>4555618</v>
      </c>
      <c r="AZ12" s="52">
        <v>4555618</v>
      </c>
      <c r="BA12" s="52">
        <v>4555618</v>
      </c>
      <c r="BB12" s="52">
        <v>4555618</v>
      </c>
      <c r="BC12" s="52">
        <v>4555618</v>
      </c>
      <c r="BD12" s="52">
        <v>4555618</v>
      </c>
      <c r="BE12" s="52">
        <v>4555618</v>
      </c>
      <c r="BF12" s="52">
        <v>4555618</v>
      </c>
      <c r="BG12" s="52">
        <v>4555618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7A57-7858-4894-B8C3-435AD310C1C0}">
  <dimension ref="A1:BG7"/>
  <sheetViews>
    <sheetView showGridLines="0" tabSelected="1" zoomScale="115" zoomScaleNormal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ColWidth="0" defaultRowHeight="15" zeroHeight="1"/>
  <cols>
    <col min="1" max="1" width="2.6640625" customWidth="1"/>
    <col min="2" max="2" width="36.5" customWidth="1"/>
    <col min="3" max="47" width="8.6640625" customWidth="1"/>
    <col min="48" max="48" width="8.5" bestFit="1" customWidth="1"/>
    <col min="49" max="49" width="8.5" customWidth="1"/>
    <col min="50" max="52" width="8.5" bestFit="1" customWidth="1"/>
    <col min="53" max="53" width="8.6640625" customWidth="1"/>
    <col min="54" max="54" width="8.5" bestFit="1" customWidth="1"/>
    <col min="55" max="59" width="8.6640625" customWidth="1"/>
    <col min="60" max="16384" width="8.6640625" hidden="1"/>
  </cols>
  <sheetData>
    <row r="1" spans="2:59">
      <c r="AQ1" t="s">
        <v>187</v>
      </c>
    </row>
    <row r="2" spans="2:59"/>
    <row r="3" spans="2:59"/>
    <row r="4" spans="2:59">
      <c r="AI4" s="58"/>
      <c r="AR4" s="58"/>
    </row>
    <row r="5" spans="2:59">
      <c r="C5" s="87">
        <v>44287</v>
      </c>
      <c r="D5" s="87">
        <v>44317</v>
      </c>
      <c r="E5" s="87">
        <v>44348</v>
      </c>
      <c r="F5" s="87">
        <v>44378</v>
      </c>
      <c r="G5" s="87">
        <v>44409</v>
      </c>
      <c r="H5" s="87">
        <v>44440</v>
      </c>
      <c r="I5" s="87">
        <v>44470</v>
      </c>
      <c r="J5" s="87">
        <v>44501</v>
      </c>
      <c r="K5" s="87">
        <v>44531</v>
      </c>
      <c r="L5" s="87">
        <v>44562</v>
      </c>
      <c r="M5" s="87">
        <v>44593</v>
      </c>
      <c r="N5" s="87">
        <v>44621</v>
      </c>
      <c r="O5" s="87">
        <v>44652</v>
      </c>
      <c r="P5" s="87">
        <v>44682</v>
      </c>
      <c r="Q5" s="87">
        <v>44713</v>
      </c>
      <c r="R5" s="87">
        <v>44743</v>
      </c>
      <c r="S5" s="87">
        <v>44774</v>
      </c>
      <c r="T5" s="87">
        <v>44805</v>
      </c>
      <c r="U5" s="87">
        <v>44835</v>
      </c>
      <c r="V5" s="87">
        <v>44866</v>
      </c>
      <c r="W5" s="87">
        <v>44896</v>
      </c>
      <c r="X5" s="87">
        <v>44927</v>
      </c>
      <c r="Y5" s="87">
        <v>44958</v>
      </c>
      <c r="Z5" s="87">
        <v>44986</v>
      </c>
      <c r="AA5" s="87">
        <v>45017</v>
      </c>
      <c r="AB5" s="87">
        <v>45047</v>
      </c>
      <c r="AC5" s="87">
        <v>45078</v>
      </c>
      <c r="AD5" s="87">
        <v>45108</v>
      </c>
      <c r="AE5" s="87">
        <v>45139</v>
      </c>
      <c r="AF5" s="87">
        <v>45170</v>
      </c>
      <c r="AG5" s="87">
        <v>45200</v>
      </c>
      <c r="AH5" s="87">
        <v>45231</v>
      </c>
      <c r="AI5" s="87">
        <v>45261</v>
      </c>
      <c r="AJ5" s="87">
        <v>45292</v>
      </c>
      <c r="AK5" s="87">
        <v>45323</v>
      </c>
      <c r="AL5" s="87">
        <v>45352</v>
      </c>
      <c r="AM5" s="87">
        <v>45383</v>
      </c>
      <c r="AN5" s="87">
        <v>45413</v>
      </c>
      <c r="AO5" s="87">
        <v>45444</v>
      </c>
      <c r="AP5" s="87">
        <f>EDATE(AO5,1)</f>
        <v>45474</v>
      </c>
      <c r="AQ5" s="87">
        <f t="shared" ref="AQ5:AU5" si="0">EDATE(AP5,1)</f>
        <v>45505</v>
      </c>
      <c r="AR5" s="87">
        <f t="shared" si="0"/>
        <v>45536</v>
      </c>
      <c r="AS5" s="87">
        <f t="shared" si="0"/>
        <v>45566</v>
      </c>
      <c r="AT5" s="87">
        <f t="shared" si="0"/>
        <v>45597</v>
      </c>
      <c r="AU5" s="87">
        <f t="shared" si="0"/>
        <v>45627</v>
      </c>
      <c r="AV5" s="87">
        <f>EDATE(AU5,1)</f>
        <v>45658</v>
      </c>
      <c r="AW5" s="87">
        <f>EDATE(AV5,1)</f>
        <v>45689</v>
      </c>
      <c r="AX5" s="87">
        <f t="shared" ref="AX5:BD5" si="1">EDATE(AW5,1)</f>
        <v>45717</v>
      </c>
      <c r="AY5" s="87">
        <f t="shared" si="1"/>
        <v>45748</v>
      </c>
      <c r="AZ5" s="87">
        <f t="shared" si="1"/>
        <v>45778</v>
      </c>
      <c r="BA5" s="87">
        <f t="shared" si="1"/>
        <v>45809</v>
      </c>
      <c r="BB5" s="87">
        <f t="shared" si="1"/>
        <v>45839</v>
      </c>
      <c r="BC5" s="87">
        <f t="shared" si="1"/>
        <v>45870</v>
      </c>
      <c r="BD5" s="87">
        <f t="shared" si="1"/>
        <v>45901</v>
      </c>
      <c r="BE5" s="87">
        <f>EDATE(BD5,1)</f>
        <v>45931</v>
      </c>
      <c r="BF5" s="87">
        <f>EDATE(BE5,1)</f>
        <v>45962</v>
      </c>
      <c r="BG5" s="87">
        <f>EDATE(BF5,1)</f>
        <v>45992</v>
      </c>
    </row>
    <row r="6" spans="2:59">
      <c r="B6" s="3" t="s">
        <v>4</v>
      </c>
      <c r="C6" s="37">
        <v>3242</v>
      </c>
      <c r="D6" s="37">
        <v>3311</v>
      </c>
      <c r="E6" s="37">
        <v>3644</v>
      </c>
      <c r="F6" s="37">
        <v>3806</v>
      </c>
      <c r="G6" s="37">
        <v>3871</v>
      </c>
      <c r="H6" s="37">
        <v>4363</v>
      </c>
      <c r="I6" s="37">
        <v>4769</v>
      </c>
      <c r="J6" s="37">
        <v>5607</v>
      </c>
      <c r="K6" s="37">
        <v>6176</v>
      </c>
      <c r="L6" s="37">
        <v>7036</v>
      </c>
      <c r="M6" s="37">
        <v>7700</v>
      </c>
      <c r="N6" s="37">
        <v>8468</v>
      </c>
      <c r="O6" s="37">
        <v>10096</v>
      </c>
      <c r="P6" s="37">
        <v>10812</v>
      </c>
      <c r="Q6" s="37">
        <v>11438</v>
      </c>
      <c r="R6" s="37">
        <v>12551</v>
      </c>
      <c r="S6" s="37">
        <v>13980</v>
      </c>
      <c r="T6" s="37">
        <v>14760</v>
      </c>
      <c r="U6" s="37">
        <v>15199</v>
      </c>
      <c r="V6" s="37">
        <v>17935</v>
      </c>
      <c r="W6" s="37">
        <v>18301</v>
      </c>
      <c r="X6" s="37">
        <v>18753</v>
      </c>
      <c r="Y6" s="37">
        <v>19131</v>
      </c>
      <c r="Z6" s="37">
        <v>19089</v>
      </c>
      <c r="AA6" s="37">
        <v>19219</v>
      </c>
      <c r="AB6" s="37">
        <v>20206</v>
      </c>
      <c r="AC6" s="37">
        <v>21027</v>
      </c>
      <c r="AD6" s="37">
        <v>22313</v>
      </c>
      <c r="AE6" s="37">
        <v>23891</v>
      </c>
      <c r="AF6" s="37">
        <v>25035</v>
      </c>
      <c r="AG6" s="37">
        <v>25850</v>
      </c>
      <c r="AH6" s="37">
        <v>26665</v>
      </c>
      <c r="AI6" s="37">
        <v>27831</v>
      </c>
      <c r="AJ6" s="37">
        <v>29705</v>
      </c>
      <c r="AK6" s="37">
        <v>31221</v>
      </c>
      <c r="AL6" s="37">
        <v>32625</v>
      </c>
      <c r="AM6" s="37">
        <v>34676</v>
      </c>
      <c r="AN6" s="37">
        <v>38421</v>
      </c>
      <c r="AO6" s="37">
        <v>39652</v>
      </c>
      <c r="AP6" s="37">
        <v>40791</v>
      </c>
      <c r="AQ6" s="37">
        <v>41366</v>
      </c>
      <c r="AR6" s="37">
        <v>42404</v>
      </c>
      <c r="AS6" s="37">
        <v>42539</v>
      </c>
      <c r="AT6" s="37">
        <v>43168</v>
      </c>
      <c r="AU6" s="37">
        <v>42779</v>
      </c>
      <c r="AV6" s="37">
        <v>42767</v>
      </c>
      <c r="AW6" s="37">
        <v>42586</v>
      </c>
      <c r="AX6" s="37">
        <v>42402</v>
      </c>
      <c r="AY6" s="37">
        <v>40748</v>
      </c>
      <c r="AZ6" s="37">
        <v>40755</v>
      </c>
      <c r="BA6" s="37">
        <v>39578</v>
      </c>
      <c r="BB6" s="37">
        <v>38876</v>
      </c>
      <c r="BC6" s="37">
        <v>38309</v>
      </c>
      <c r="BD6" s="37">
        <v>37813</v>
      </c>
      <c r="BE6" s="37">
        <v>37582</v>
      </c>
      <c r="BF6" s="37">
        <v>37566</v>
      </c>
      <c r="BG6" s="37">
        <v>37615</v>
      </c>
    </row>
    <row r="7" spans="2:59">
      <c r="B7" s="1" t="s">
        <v>165</v>
      </c>
      <c r="C7" s="27" t="s">
        <v>3</v>
      </c>
      <c r="D7" s="28">
        <f>D6/C6-1</f>
        <v>2.1283158544108671E-2</v>
      </c>
      <c r="E7" s="28">
        <f t="shared" ref="E7:AO7" si="2">E6/D6-1</f>
        <v>0.10057384475989117</v>
      </c>
      <c r="F7" s="28">
        <f t="shared" si="2"/>
        <v>4.4456641053786994E-2</v>
      </c>
      <c r="G7" s="28">
        <f t="shared" si="2"/>
        <v>1.7078297425118238E-2</v>
      </c>
      <c r="H7" s="28">
        <f t="shared" si="2"/>
        <v>0.12709894084215967</v>
      </c>
      <c r="I7" s="28">
        <f t="shared" si="2"/>
        <v>9.3055237222094966E-2</v>
      </c>
      <c r="J7" s="28">
        <f t="shared" si="2"/>
        <v>0.17571817991193117</v>
      </c>
      <c r="K7" s="28">
        <f t="shared" si="2"/>
        <v>0.10148029249152835</v>
      </c>
      <c r="L7" s="28">
        <f t="shared" si="2"/>
        <v>0.13924870466321249</v>
      </c>
      <c r="M7" s="28">
        <f t="shared" si="2"/>
        <v>9.4371802160318374E-2</v>
      </c>
      <c r="N7" s="28">
        <f t="shared" si="2"/>
        <v>9.9740259740259685E-2</v>
      </c>
      <c r="O7" s="28">
        <f t="shared" si="2"/>
        <v>0.19225318847425599</v>
      </c>
      <c r="P7" s="28">
        <f t="shared" si="2"/>
        <v>7.0919175911251964E-2</v>
      </c>
      <c r="Q7" s="28">
        <f t="shared" si="2"/>
        <v>5.7898631150573365E-2</v>
      </c>
      <c r="R7" s="28">
        <f t="shared" si="2"/>
        <v>9.7307221542227706E-2</v>
      </c>
      <c r="S7" s="28">
        <f t="shared" si="2"/>
        <v>0.11385546968369065</v>
      </c>
      <c r="T7" s="28">
        <f t="shared" si="2"/>
        <v>5.579399141630903E-2</v>
      </c>
      <c r="U7" s="28">
        <f t="shared" si="2"/>
        <v>2.9742547425474219E-2</v>
      </c>
      <c r="V7" s="28">
        <f t="shared" si="2"/>
        <v>0.1800118428844002</v>
      </c>
      <c r="W7" s="28">
        <f t="shared" si="2"/>
        <v>2.0407025369389542E-2</v>
      </c>
      <c r="X7" s="28">
        <f t="shared" si="2"/>
        <v>2.4698103928747051E-2</v>
      </c>
      <c r="Y7" s="28">
        <f t="shared" si="2"/>
        <v>2.015677491601342E-2</v>
      </c>
      <c r="Z7" s="28">
        <f t="shared" si="2"/>
        <v>-2.195389681668547E-3</v>
      </c>
      <c r="AA7" s="28">
        <f t="shared" si="2"/>
        <v>6.8102048300067164E-3</v>
      </c>
      <c r="AB7" s="28">
        <f t="shared" si="2"/>
        <v>5.1355429522867979E-2</v>
      </c>
      <c r="AC7" s="28">
        <f t="shared" si="2"/>
        <v>4.0631495595367717E-2</v>
      </c>
      <c r="AD7" s="28">
        <f t="shared" si="2"/>
        <v>6.1159461644552326E-2</v>
      </c>
      <c r="AE7" s="28">
        <f t="shared" si="2"/>
        <v>7.0721104288979486E-2</v>
      </c>
      <c r="AF7" s="28">
        <f t="shared" si="2"/>
        <v>4.788414047130729E-2</v>
      </c>
      <c r="AG7" s="28">
        <f t="shared" si="2"/>
        <v>3.2554423806670618E-2</v>
      </c>
      <c r="AH7" s="28">
        <f t="shared" si="2"/>
        <v>3.1528046421663403E-2</v>
      </c>
      <c r="AI7" s="28">
        <f t="shared" si="2"/>
        <v>4.3727732983311451E-2</v>
      </c>
      <c r="AJ7" s="28">
        <f t="shared" si="2"/>
        <v>6.7334986166504907E-2</v>
      </c>
      <c r="AK7" s="28">
        <f t="shared" si="2"/>
        <v>5.1035179262750363E-2</v>
      </c>
      <c r="AL7" s="28">
        <f t="shared" si="2"/>
        <v>4.4969731911213673E-2</v>
      </c>
      <c r="AM7" s="28">
        <f t="shared" si="2"/>
        <v>6.2865900383141771E-2</v>
      </c>
      <c r="AN7" s="28">
        <f t="shared" si="2"/>
        <v>0.10799976929288269</v>
      </c>
      <c r="AO7" s="28">
        <f t="shared" si="2"/>
        <v>3.2039769917493022E-2</v>
      </c>
      <c r="AP7" s="28">
        <f t="shared" ref="AP7" si="3">AP6/AO6-1</f>
        <v>2.8724906688187168E-2</v>
      </c>
      <c r="AQ7" s="28">
        <f t="shared" ref="AQ7:BG7" si="4">AQ6/AP6-1</f>
        <v>1.4096246721090333E-2</v>
      </c>
      <c r="AR7" s="28">
        <f t="shared" si="4"/>
        <v>2.5093071604699535E-2</v>
      </c>
      <c r="AS7" s="28">
        <f t="shared" si="4"/>
        <v>3.1836619186869086E-3</v>
      </c>
      <c r="AT7" s="28">
        <f t="shared" si="4"/>
        <v>1.4786431274830258E-2</v>
      </c>
      <c r="AU7" s="28">
        <f t="shared" si="4"/>
        <v>-9.011304670126008E-3</v>
      </c>
      <c r="AV7" s="28">
        <f t="shared" si="4"/>
        <v>-2.805114659061303E-4</v>
      </c>
      <c r="AW7" s="28">
        <f t="shared" si="4"/>
        <v>-4.2322351345663867E-3</v>
      </c>
      <c r="AX7" s="28">
        <f t="shared" si="4"/>
        <v>-4.3206687643826402E-3</v>
      </c>
      <c r="AY7" s="28">
        <f t="shared" si="4"/>
        <v>-3.9007593981415956E-2</v>
      </c>
      <c r="AZ7" s="28">
        <f t="shared" si="4"/>
        <v>1.7178757239610931E-4</v>
      </c>
      <c r="BA7" s="28">
        <f t="shared" si="4"/>
        <v>-2.8879892037786736E-2</v>
      </c>
      <c r="BB7" s="28">
        <f t="shared" si="4"/>
        <v>-1.7737126686543037E-2</v>
      </c>
      <c r="BC7" s="28">
        <f t="shared" si="4"/>
        <v>-1.458483383064102E-2</v>
      </c>
      <c r="BD7" s="28">
        <f t="shared" si="4"/>
        <v>-1.2947349186875123E-2</v>
      </c>
      <c r="BE7" s="28">
        <f t="shared" si="4"/>
        <v>-6.1090101287917253E-3</v>
      </c>
      <c r="BF7" s="28">
        <f t="shared" si="4"/>
        <v>-4.2573572454895903E-4</v>
      </c>
      <c r="BG7" s="28">
        <f t="shared" si="4"/>
        <v>1.3043709737527998E-3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Resumo</vt:lpstr>
      <vt:lpstr>DRE Gerencial</vt:lpstr>
      <vt:lpstr>Resumo da Carteira</vt:lpstr>
      <vt:lpstr>Valor Patrimonial</vt:lpstr>
      <vt:lpstr>Cotistas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Henrique Ferreira Brandão</dc:creator>
  <cp:lastModifiedBy>Cesar Vergara</cp:lastModifiedBy>
  <dcterms:created xsi:type="dcterms:W3CDTF">2024-08-07T19:51:58Z</dcterms:created>
  <dcterms:modified xsi:type="dcterms:W3CDTF">2026-01-28T19:43:43Z</dcterms:modified>
</cp:coreProperties>
</file>