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richData/richValueRel.xml" ContentType="application/vnd.ms-excel.richvaluerel+xml"/>
  <Override PartName="/xl/richData/rdrichvalue.xml" ContentType="application/vnd.ms-excel.rdrichvalue+xml"/>
  <Override PartName="/xl/richData/rdrichvaluestructure.xml" ContentType="application/vnd.ms-excel.rdrichvaluestructure+xml"/>
  <Override PartName="/xl/richData/rdRichValueTypes.xml" ContentType="application/vnd.ms-excel.rdrichvaluetype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 defaultThemeVersion="166925"/>
  <mc:AlternateContent xmlns:mc="http://schemas.openxmlformats.org/markup-compatibility/2006">
    <mc:Choice Requires="x15">
      <x15ac:absPath xmlns:x15ac="http://schemas.microsoft.com/office/spreadsheetml/2010/11/ac" url="E:\private stuff\EducationFiles\"/>
    </mc:Choice>
  </mc:AlternateContent>
  <xr:revisionPtr revIDLastSave="0" documentId="13_ncr:1_{12AB495A-0534-47FC-8DD1-919D7B5540AA}" xr6:coauthVersionLast="47" xr6:coauthVersionMax="47" xr10:uidLastSave="{00000000-0000-0000-0000-000000000000}"/>
  <bookViews>
    <workbookView xWindow="-120" yWindow="-120" windowWidth="38640" windowHeight="21120" xr2:uid="{FBA050FE-8AD6-485A-AFAF-B12BB5BD94E9}"/>
  </bookViews>
  <sheets>
    <sheet name="MBA Calculator" sheetId="1" r:id="rId1"/>
  </sheets>
  <calcPr calcId="191029" iterate="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Q14" i="1" l="1"/>
  <c r="AF23" i="1" l="1"/>
  <c r="G50" i="1" l="1"/>
  <c r="G47" i="1"/>
  <c r="G41" i="1"/>
  <c r="G33" i="1"/>
  <c r="G25" i="1"/>
  <c r="G17" i="1"/>
  <c r="Q42" i="1"/>
  <c r="Q41" i="1"/>
  <c r="Q40" i="1"/>
  <c r="Q39" i="1"/>
  <c r="R38" i="1"/>
  <c r="S38" i="1" s="1"/>
  <c r="T38" i="1" s="1"/>
  <c r="U38" i="1" s="1"/>
  <c r="V38" i="1" s="1"/>
  <c r="R37" i="1"/>
  <c r="S37" i="1" s="1"/>
  <c r="T37" i="1" s="1"/>
  <c r="U37" i="1" s="1"/>
  <c r="V37" i="1" s="1"/>
  <c r="Q34" i="1"/>
  <c r="Q33" i="1"/>
  <c r="Q32" i="1"/>
  <c r="Q31" i="1"/>
  <c r="R30" i="1"/>
  <c r="H30" i="1" s="1"/>
  <c r="R29" i="1"/>
  <c r="H29" i="1" s="1"/>
  <c r="H40" i="1"/>
  <c r="I40" i="1" s="1"/>
  <c r="J40" i="1" s="1"/>
  <c r="K40" i="1" s="1"/>
  <c r="L40" i="1" s="1"/>
  <c r="H39" i="1"/>
  <c r="I39" i="1" s="1"/>
  <c r="J39" i="1" s="1"/>
  <c r="K39" i="1" s="1"/>
  <c r="L39" i="1" s="1"/>
  <c r="H32" i="1"/>
  <c r="H31" i="1"/>
  <c r="I31" i="1" s="1"/>
  <c r="J31" i="1" s="1"/>
  <c r="K31" i="1" s="1"/>
  <c r="L31" i="1" s="1"/>
  <c r="G46" i="1" l="1"/>
  <c r="G42" i="1" s="1"/>
  <c r="H38" i="1"/>
  <c r="H37" i="1"/>
  <c r="I37" i="1" s="1"/>
  <c r="G18" i="1"/>
  <c r="G26" i="1"/>
  <c r="G34" i="1"/>
  <c r="H33" i="1"/>
  <c r="R31" i="1"/>
  <c r="R34" i="1"/>
  <c r="R32" i="1"/>
  <c r="R33" i="1"/>
  <c r="S30" i="1"/>
  <c r="T30" i="1" s="1"/>
  <c r="U30" i="1" s="1"/>
  <c r="V30" i="1" s="1"/>
  <c r="S29" i="1"/>
  <c r="T29" i="1" s="1"/>
  <c r="U29" i="1" s="1"/>
  <c r="V29" i="1" s="1"/>
  <c r="I30" i="1"/>
  <c r="I32" i="1"/>
  <c r="J32" i="1" s="1"/>
  <c r="K32" i="1" s="1"/>
  <c r="L32" i="1" s="1"/>
  <c r="AE24" i="1"/>
  <c r="AF24" i="1"/>
  <c r="AE25" i="1"/>
  <c r="AF25" i="1"/>
  <c r="AE26" i="1"/>
  <c r="AF26" i="1"/>
  <c r="AF27" i="1"/>
  <c r="AE23" i="1"/>
  <c r="R41" i="1" l="1"/>
  <c r="R40" i="1"/>
  <c r="R42" i="1"/>
  <c r="I38" i="1"/>
  <c r="R39" i="1"/>
  <c r="H41" i="1"/>
  <c r="J37" i="1"/>
  <c r="I41" i="1"/>
  <c r="J38" i="1"/>
  <c r="S39" i="1"/>
  <c r="S42" i="1"/>
  <c r="S41" i="1"/>
  <c r="S40" i="1"/>
  <c r="S31" i="1"/>
  <c r="S34" i="1"/>
  <c r="S32" i="1"/>
  <c r="S33" i="1"/>
  <c r="I29" i="1"/>
  <c r="J30" i="1"/>
  <c r="AF29" i="1"/>
  <c r="K37" i="1" l="1"/>
  <c r="J41" i="1"/>
  <c r="J29" i="1"/>
  <c r="I33" i="1"/>
  <c r="K38" i="1"/>
  <c r="T39" i="1"/>
  <c r="T42" i="1"/>
  <c r="T41" i="1"/>
  <c r="T40" i="1"/>
  <c r="T31" i="1"/>
  <c r="T34" i="1"/>
  <c r="T33" i="1"/>
  <c r="T32" i="1"/>
  <c r="K30" i="1"/>
  <c r="AK19" i="1"/>
  <c r="AO19" i="1"/>
  <c r="AK20" i="1"/>
  <c r="AM20" i="1"/>
  <c r="AO20" i="1" s="1"/>
  <c r="AK21" i="1"/>
  <c r="AK22" i="1"/>
  <c r="AK23" i="1"/>
  <c r="AK24" i="1"/>
  <c r="AK25" i="1"/>
  <c r="L37" i="1" l="1"/>
  <c r="K41" i="1"/>
  <c r="K29" i="1"/>
  <c r="J33" i="1"/>
  <c r="L38" i="1"/>
  <c r="U42" i="1"/>
  <c r="U41" i="1"/>
  <c r="U40" i="1"/>
  <c r="U39" i="1"/>
  <c r="U34" i="1"/>
  <c r="U32" i="1"/>
  <c r="U31" i="1"/>
  <c r="U33" i="1"/>
  <c r="L30" i="1"/>
  <c r="AM21" i="1"/>
  <c r="AK26" i="1"/>
  <c r="L41" i="1" l="1"/>
  <c r="L29" i="1"/>
  <c r="L33" i="1" s="1"/>
  <c r="K33" i="1"/>
  <c r="V42" i="1"/>
  <c r="V41" i="1"/>
  <c r="V40" i="1"/>
  <c r="V39" i="1"/>
  <c r="V34" i="1"/>
  <c r="V32" i="1"/>
  <c r="V31" i="1"/>
  <c r="V33" i="1"/>
  <c r="AO21" i="1"/>
  <c r="AM22" i="1"/>
  <c r="AU20" i="1"/>
  <c r="AU21" i="1" s="1"/>
  <c r="AW21" i="1" s="1"/>
  <c r="AW19" i="1"/>
  <c r="AQ20" i="1"/>
  <c r="AQ21" i="1" s="1"/>
  <c r="AC1" i="1"/>
  <c r="AD1" i="1" s="1"/>
  <c r="AE1" i="1" s="1"/>
  <c r="AF1" i="1" s="1"/>
  <c r="Q26" i="1"/>
  <c r="Q18" i="1"/>
  <c r="Q59" i="1"/>
  <c r="Q63" i="1"/>
  <c r="Q62" i="1"/>
  <c r="G53" i="1"/>
  <c r="I72" i="1"/>
  <c r="J72" i="1" s="1"/>
  <c r="K72" i="1" s="1"/>
  <c r="L72" i="1" s="1"/>
  <c r="I69" i="1"/>
  <c r="J69" i="1" s="1"/>
  <c r="K69" i="1" s="1"/>
  <c r="L69" i="1" s="1"/>
  <c r="I73" i="1"/>
  <c r="J73" i="1" s="1"/>
  <c r="K73" i="1" s="1"/>
  <c r="L73" i="1" s="1"/>
  <c r="I66" i="1"/>
  <c r="J66" i="1" s="1"/>
  <c r="K66" i="1" s="1"/>
  <c r="L66" i="1" s="1"/>
  <c r="H59" i="1"/>
  <c r="R59" i="1" s="1"/>
  <c r="AA13" i="1"/>
  <c r="G55" i="1" s="1"/>
  <c r="Q24" i="1"/>
  <c r="Q16" i="1"/>
  <c r="Q25" i="1"/>
  <c r="Q23" i="1"/>
  <c r="Q17" i="1"/>
  <c r="Q15" i="1"/>
  <c r="R22" i="1"/>
  <c r="S22" i="1" s="1"/>
  <c r="T22" i="1" s="1"/>
  <c r="U22" i="1" s="1"/>
  <c r="V22" i="1" s="1"/>
  <c r="R21" i="1"/>
  <c r="S21" i="1" s="1"/>
  <c r="T21" i="1" s="1"/>
  <c r="U21" i="1" s="1"/>
  <c r="V21" i="1" s="1"/>
  <c r="R44" i="1"/>
  <c r="R13" i="1"/>
  <c r="H81" i="1" s="1"/>
  <c r="AO22" i="1" l="1"/>
  <c r="AM23" i="1"/>
  <c r="AM24" i="1" s="1"/>
  <c r="AW20" i="1"/>
  <c r="AS20" i="1"/>
  <c r="AS21" i="1"/>
  <c r="R14" i="1"/>
  <c r="S14" i="1" s="1"/>
  <c r="T14" i="1" s="1"/>
  <c r="U14" i="1" s="1"/>
  <c r="V14" i="1" s="1"/>
  <c r="AU22" i="1"/>
  <c r="AU23" i="1" s="1"/>
  <c r="AQ22" i="1"/>
  <c r="AS22" i="1" s="1"/>
  <c r="AB58" i="1"/>
  <c r="Q64" i="1"/>
  <c r="H55" i="1"/>
  <c r="H71" i="1"/>
  <c r="H74" i="1" s="1"/>
  <c r="AA19" i="1"/>
  <c r="R62" i="1"/>
  <c r="I59" i="1"/>
  <c r="S59" i="1" s="1"/>
  <c r="H48" i="1"/>
  <c r="G49" i="1"/>
  <c r="Q53" i="1" s="1"/>
  <c r="H22" i="1"/>
  <c r="H15" i="1"/>
  <c r="H24" i="1"/>
  <c r="H16" i="1"/>
  <c r="H23" i="1"/>
  <c r="H21" i="1"/>
  <c r="H13" i="1"/>
  <c r="H51" i="1"/>
  <c r="S44" i="1"/>
  <c r="T44" i="1" s="1"/>
  <c r="U44" i="1" s="1"/>
  <c r="V44" i="1" s="1"/>
  <c r="S13" i="1"/>
  <c r="T13" i="1" s="1"/>
  <c r="U13" i="1" s="1"/>
  <c r="V13" i="1" s="1"/>
  <c r="H50" i="1" l="1"/>
  <c r="H25" i="1"/>
  <c r="H47" i="1"/>
  <c r="AM25" i="1"/>
  <c r="AO25" i="1" s="1"/>
  <c r="AO24" i="1"/>
  <c r="R23" i="1"/>
  <c r="H14" i="1"/>
  <c r="AU24" i="1"/>
  <c r="AW23" i="1"/>
  <c r="AQ23" i="1"/>
  <c r="AS23" i="1" s="1"/>
  <c r="R26" i="1"/>
  <c r="J59" i="1"/>
  <c r="T59" i="1" s="1"/>
  <c r="I48" i="1"/>
  <c r="J48" i="1" s="1"/>
  <c r="K48" i="1" s="1"/>
  <c r="L48" i="1" s="1"/>
  <c r="I22" i="1"/>
  <c r="R24" i="1"/>
  <c r="R25" i="1"/>
  <c r="I21" i="1"/>
  <c r="G52" i="1"/>
  <c r="Q51" i="1" s="1"/>
  <c r="I23" i="1"/>
  <c r="I16" i="1"/>
  <c r="J16" i="1" s="1"/>
  <c r="K16" i="1" s="1"/>
  <c r="L16" i="1" s="1"/>
  <c r="I24" i="1"/>
  <c r="J24" i="1" s="1"/>
  <c r="K24" i="1" s="1"/>
  <c r="L24" i="1" s="1"/>
  <c r="I15" i="1"/>
  <c r="J15" i="1" s="1"/>
  <c r="K15" i="1" s="1"/>
  <c r="L15" i="1" s="1"/>
  <c r="I13" i="1"/>
  <c r="I51" i="1"/>
  <c r="J51" i="1" s="1"/>
  <c r="K51" i="1" s="1"/>
  <c r="L51" i="1" s="1"/>
  <c r="I81" i="1"/>
  <c r="I55" i="1" s="1"/>
  <c r="I47" i="1" l="1"/>
  <c r="I50" i="1"/>
  <c r="I25" i="1"/>
  <c r="R15" i="1"/>
  <c r="H17" i="1"/>
  <c r="AO26" i="1"/>
  <c r="R18" i="1"/>
  <c r="R16" i="1"/>
  <c r="R17" i="1"/>
  <c r="I14" i="1"/>
  <c r="AW24" i="1"/>
  <c r="AU25" i="1"/>
  <c r="AW25" i="1" s="1"/>
  <c r="AQ24" i="1"/>
  <c r="AS24" i="1" s="1"/>
  <c r="S26" i="1"/>
  <c r="G54" i="1"/>
  <c r="G56" i="1" s="1"/>
  <c r="G57" i="1" s="1"/>
  <c r="Q68" i="1"/>
  <c r="Q69" i="1"/>
  <c r="S62" i="1"/>
  <c r="I71" i="1"/>
  <c r="I74" i="1" s="1"/>
  <c r="J81" i="1"/>
  <c r="J55" i="1" s="1"/>
  <c r="K59" i="1"/>
  <c r="U59" i="1" s="1"/>
  <c r="J22" i="1"/>
  <c r="S24" i="1"/>
  <c r="S23" i="1"/>
  <c r="S25" i="1"/>
  <c r="J21" i="1"/>
  <c r="J23" i="1"/>
  <c r="J13" i="1"/>
  <c r="J50" i="1" l="1"/>
  <c r="H46" i="1"/>
  <c r="H18" i="1" s="1"/>
  <c r="J47" i="1"/>
  <c r="J25" i="1"/>
  <c r="S17" i="1"/>
  <c r="I17" i="1"/>
  <c r="S18" i="1"/>
  <c r="J14" i="1"/>
  <c r="S15" i="1"/>
  <c r="S16" i="1"/>
  <c r="AW26" i="1"/>
  <c r="AQ25" i="1"/>
  <c r="G58" i="1"/>
  <c r="Q54" i="1" s="1"/>
  <c r="T26" i="1"/>
  <c r="J71" i="1"/>
  <c r="J74" i="1" s="1"/>
  <c r="T62" i="1"/>
  <c r="K81" i="1"/>
  <c r="K55" i="1" s="1"/>
  <c r="L59" i="1"/>
  <c r="V59" i="1" s="1"/>
  <c r="K22" i="1"/>
  <c r="T24" i="1"/>
  <c r="T23" i="1"/>
  <c r="T25" i="1"/>
  <c r="K21" i="1"/>
  <c r="K23" i="1"/>
  <c r="K13" i="1"/>
  <c r="K50" i="1" l="1"/>
  <c r="H26" i="1"/>
  <c r="H49" i="1"/>
  <c r="R53" i="1" s="1"/>
  <c r="R48" i="1"/>
  <c r="H34" i="1"/>
  <c r="H42" i="1"/>
  <c r="K25" i="1"/>
  <c r="I46" i="1"/>
  <c r="K47" i="1"/>
  <c r="T18" i="1"/>
  <c r="J17" i="1"/>
  <c r="T17" i="1"/>
  <c r="K14" i="1"/>
  <c r="T16" i="1"/>
  <c r="T15" i="1"/>
  <c r="AS25" i="1"/>
  <c r="AS26" i="1" s="1"/>
  <c r="AB60" i="1" s="1"/>
  <c r="G60" i="1"/>
  <c r="U26" i="1"/>
  <c r="U62" i="1"/>
  <c r="K71" i="1"/>
  <c r="K74" i="1" s="1"/>
  <c r="L81" i="1"/>
  <c r="L55" i="1" s="1"/>
  <c r="L22" i="1"/>
  <c r="U24" i="1"/>
  <c r="U23" i="1"/>
  <c r="U25" i="1"/>
  <c r="L21" i="1"/>
  <c r="L23" i="1"/>
  <c r="L13" i="1"/>
  <c r="H52" i="1" l="1"/>
  <c r="R49" i="1" s="1"/>
  <c r="I34" i="1"/>
  <c r="I42" i="1"/>
  <c r="J46" i="1"/>
  <c r="J42" i="1" s="1"/>
  <c r="I18" i="1"/>
  <c r="S48" i="1"/>
  <c r="I26" i="1"/>
  <c r="L50" i="1"/>
  <c r="I49" i="1"/>
  <c r="S53" i="1" s="1"/>
  <c r="L47" i="1"/>
  <c r="L25" i="1"/>
  <c r="U18" i="1"/>
  <c r="K17" i="1"/>
  <c r="V26" i="1"/>
  <c r="U15" i="1"/>
  <c r="U16" i="1"/>
  <c r="U17" i="1"/>
  <c r="L14" i="1"/>
  <c r="V62" i="1"/>
  <c r="L71" i="1"/>
  <c r="L74" i="1" s="1"/>
  <c r="V24" i="1"/>
  <c r="V23" i="1"/>
  <c r="V25" i="1"/>
  <c r="R51" i="1" l="1"/>
  <c r="R52" i="1"/>
  <c r="R68" i="1"/>
  <c r="T48" i="1"/>
  <c r="J34" i="1"/>
  <c r="J18" i="1"/>
  <c r="J26" i="1"/>
  <c r="J49" i="1"/>
  <c r="T53" i="1" s="1"/>
  <c r="I52" i="1"/>
  <c r="S51" i="1" s="1"/>
  <c r="K46" i="1"/>
  <c r="V18" i="1"/>
  <c r="L17" i="1"/>
  <c r="V17" i="1"/>
  <c r="V16" i="1"/>
  <c r="V15" i="1"/>
  <c r="J52" i="1" l="1"/>
  <c r="T51" i="1" s="1"/>
  <c r="K34" i="1"/>
  <c r="K42" i="1"/>
  <c r="K18" i="1"/>
  <c r="K49" i="1"/>
  <c r="U53" i="1" s="1"/>
  <c r="K26" i="1"/>
  <c r="S68" i="1"/>
  <c r="S49" i="1"/>
  <c r="S52" i="1"/>
  <c r="U48" i="1"/>
  <c r="L46" i="1"/>
  <c r="V48" i="1" s="1"/>
  <c r="T49" i="1" l="1"/>
  <c r="T68" i="1"/>
  <c r="T52" i="1"/>
  <c r="K52" i="1"/>
  <c r="U52" i="1" s="1"/>
  <c r="L34" i="1"/>
  <c r="L42" i="1"/>
  <c r="L18" i="1"/>
  <c r="AA34" i="1"/>
  <c r="L26" i="1"/>
  <c r="L49" i="1"/>
  <c r="L52" i="1" s="1"/>
  <c r="U51" i="1" l="1"/>
  <c r="U68" i="1"/>
  <c r="U49" i="1"/>
  <c r="V49" i="1"/>
  <c r="V68" i="1"/>
  <c r="V53" i="1"/>
  <c r="V51" i="1"/>
  <c r="V52" i="1"/>
  <c r="AA26" i="1" l="1"/>
  <c r="AE27" i="1" l="1"/>
  <c r="AF30" i="1"/>
  <c r="AF31" i="1" s="1"/>
  <c r="AJ13" i="1"/>
  <c r="AJ15" i="1"/>
  <c r="AJ18" i="1"/>
  <c r="AN18" i="1"/>
  <c r="AR18" i="1"/>
  <c r="AV18" i="1"/>
  <c r="AA20" i="1"/>
  <c r="AA27" i="1"/>
  <c r="AA30" i="1"/>
  <c r="AA35" i="1"/>
  <c r="AA36" i="1"/>
  <c r="AA37" i="1"/>
  <c r="AA38" i="1"/>
  <c r="AH38" i="1"/>
  <c r="AB42" i="1"/>
  <c r="AC42" i="1"/>
  <c r="AD42" i="1"/>
  <c r="AE42" i="1"/>
  <c r="AF42" i="1"/>
  <c r="AF43" i="1"/>
  <c r="AB44" i="1"/>
  <c r="AC44" i="1"/>
  <c r="AD44" i="1"/>
  <c r="AE44" i="1"/>
  <c r="AF44" i="1"/>
  <c r="AB45" i="1"/>
  <c r="AC45" i="1"/>
  <c r="AD45" i="1"/>
  <c r="AE45" i="1"/>
  <c r="AF45" i="1"/>
  <c r="AA47" i="1"/>
  <c r="AF47" i="1"/>
  <c r="AA48" i="1"/>
  <c r="H53" i="1"/>
  <c r="I53" i="1"/>
  <c r="J53" i="1"/>
  <c r="K53" i="1"/>
  <c r="L53" i="1"/>
  <c r="H54" i="1"/>
  <c r="I54" i="1"/>
  <c r="J54" i="1"/>
  <c r="K54" i="1"/>
  <c r="L54" i="1"/>
  <c r="R54" i="1"/>
  <c r="S54" i="1"/>
  <c r="T54" i="1"/>
  <c r="U54" i="1"/>
  <c r="V54" i="1"/>
  <c r="H56" i="1"/>
  <c r="I56" i="1"/>
  <c r="J56" i="1"/>
  <c r="K56" i="1"/>
  <c r="L56" i="1"/>
  <c r="H57" i="1"/>
  <c r="I57" i="1"/>
  <c r="J57" i="1"/>
  <c r="K57" i="1"/>
  <c r="L57" i="1"/>
  <c r="H58" i="1"/>
  <c r="I58" i="1"/>
  <c r="J58" i="1"/>
  <c r="K58" i="1"/>
  <c r="L58" i="1"/>
  <c r="Q58" i="1"/>
  <c r="R58" i="1"/>
  <c r="S58" i="1"/>
  <c r="T58" i="1"/>
  <c r="U58" i="1"/>
  <c r="V58" i="1"/>
  <c r="AC58" i="1"/>
  <c r="AD58" i="1"/>
  <c r="H60" i="1"/>
  <c r="I60" i="1"/>
  <c r="J60" i="1"/>
  <c r="K60" i="1"/>
  <c r="L60" i="1"/>
  <c r="Q60" i="1"/>
  <c r="R60" i="1"/>
  <c r="S60" i="1"/>
  <c r="T60" i="1"/>
  <c r="U60" i="1"/>
  <c r="V60" i="1"/>
  <c r="AC60" i="1"/>
  <c r="AD60" i="1"/>
  <c r="R63" i="1"/>
  <c r="S63" i="1"/>
  <c r="T63" i="1"/>
  <c r="U63" i="1"/>
  <c r="V63" i="1"/>
  <c r="H64" i="1"/>
  <c r="I64" i="1"/>
  <c r="J64" i="1"/>
  <c r="K64" i="1"/>
  <c r="L64" i="1"/>
  <c r="R64" i="1"/>
  <c r="S64" i="1"/>
  <c r="T64" i="1"/>
  <c r="U64" i="1"/>
  <c r="V64" i="1"/>
  <c r="H65" i="1"/>
  <c r="I65" i="1"/>
  <c r="J65" i="1"/>
  <c r="K65" i="1"/>
  <c r="L65" i="1"/>
  <c r="Q65" i="1"/>
  <c r="R65" i="1"/>
  <c r="S65" i="1"/>
  <c r="T65" i="1"/>
  <c r="U65" i="1"/>
  <c r="V65" i="1"/>
  <c r="H67" i="1"/>
  <c r="I67" i="1"/>
  <c r="J67" i="1"/>
  <c r="K67" i="1"/>
  <c r="L67" i="1"/>
  <c r="H68" i="1"/>
  <c r="I68" i="1"/>
  <c r="J68" i="1"/>
  <c r="K68" i="1"/>
  <c r="L68" i="1"/>
  <c r="R69" i="1"/>
  <c r="S69" i="1"/>
  <c r="T69" i="1"/>
  <c r="U69" i="1"/>
  <c r="V69" i="1"/>
  <c r="H70" i="1"/>
  <c r="I70" i="1"/>
  <c r="J70" i="1"/>
  <c r="K70" i="1"/>
  <c r="L70" i="1"/>
  <c r="Q71" i="1"/>
  <c r="R71" i="1"/>
  <c r="S71" i="1"/>
  <c r="T71" i="1"/>
  <c r="U71" i="1"/>
  <c r="V71" i="1"/>
  <c r="Q72" i="1"/>
  <c r="R72" i="1"/>
  <c r="S72" i="1"/>
  <c r="T72" i="1"/>
  <c r="U72" i="1"/>
  <c r="V72" i="1"/>
  <c r="H75" i="1"/>
  <c r="I75" i="1"/>
  <c r="J75" i="1"/>
  <c r="K75" i="1"/>
  <c r="L75" i="1"/>
  <c r="Q75" i="1"/>
  <c r="R75" i="1"/>
  <c r="S75" i="1"/>
  <c r="T75" i="1"/>
  <c r="U75" i="1"/>
  <c r="V75" i="1"/>
  <c r="Q76" i="1"/>
  <c r="R76" i="1"/>
  <c r="S76" i="1"/>
  <c r="T76" i="1"/>
  <c r="U76" i="1"/>
  <c r="V76" i="1"/>
  <c r="H77" i="1"/>
  <c r="I77" i="1"/>
  <c r="J77" i="1"/>
  <c r="K77" i="1"/>
  <c r="L77" i="1"/>
  <c r="H80" i="1"/>
  <c r="I80" i="1"/>
  <c r="J80" i="1"/>
  <c r="K80" i="1"/>
  <c r="L80" i="1"/>
  <c r="H82" i="1"/>
  <c r="I82" i="1"/>
  <c r="J82" i="1"/>
  <c r="K82" i="1"/>
  <c r="L82" i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Rich FW</author>
  </authors>
  <commentList>
    <comment ref="Q14" authorId="0" shapeId="0" xr:uid="{72C74940-3BAC-41D1-9391-00BBA16476CA}">
      <text>
        <r>
          <rPr>
            <b/>
            <sz val="9"/>
            <color indexed="81"/>
            <rFont val="Tahoma"/>
            <family val="2"/>
          </rPr>
          <t>Rich FW:</t>
        </r>
        <r>
          <rPr>
            <sz val="9"/>
            <color indexed="81"/>
            <rFont val="Tahoma"/>
            <family val="2"/>
          </rPr>
          <t xml:space="preserve">
set equal to inflation</t>
        </r>
      </text>
    </comment>
    <comment ref="H15" authorId="0" shapeId="0" xr:uid="{3E0C08E0-D3F5-42BB-8A94-63894951929D}">
      <text>
        <r>
          <rPr>
            <b/>
            <sz val="9"/>
            <color indexed="81"/>
            <rFont val="Tahoma"/>
            <family val="2"/>
          </rPr>
          <t>Rich FW:</t>
        </r>
        <r>
          <rPr>
            <sz val="9"/>
            <color indexed="81"/>
            <rFont val="Tahoma"/>
            <family val="2"/>
          </rPr>
          <t xml:space="preserve">
assume grows at inflation</t>
        </r>
      </text>
    </comment>
    <comment ref="H16" authorId="0" shapeId="0" xr:uid="{8AB28194-11F4-4C10-80F8-C9D4EC6E7784}">
      <text>
        <r>
          <rPr>
            <b/>
            <sz val="9"/>
            <color indexed="81"/>
            <rFont val="Tahoma"/>
            <family val="2"/>
          </rPr>
          <t>Rich FW:</t>
        </r>
        <r>
          <rPr>
            <sz val="9"/>
            <color indexed="81"/>
            <rFont val="Tahoma"/>
            <family val="2"/>
          </rPr>
          <t xml:space="preserve">
assume grows at inflation</t>
        </r>
      </text>
    </comment>
    <comment ref="H23" authorId="0" shapeId="0" xr:uid="{57CDB965-F7D8-4A80-B796-AEB819E8763D}">
      <text>
        <r>
          <rPr>
            <b/>
            <sz val="9"/>
            <color indexed="81"/>
            <rFont val="Tahoma"/>
            <family val="2"/>
          </rPr>
          <t>Rich FW:</t>
        </r>
        <r>
          <rPr>
            <sz val="9"/>
            <color indexed="81"/>
            <rFont val="Tahoma"/>
            <family val="2"/>
          </rPr>
          <t xml:space="preserve">
assume grows at inflation</t>
        </r>
      </text>
    </comment>
    <comment ref="H24" authorId="0" shapeId="0" xr:uid="{0DCC5815-47C8-41FA-AE91-1C7F72D39482}">
      <text>
        <r>
          <rPr>
            <b/>
            <sz val="9"/>
            <color indexed="81"/>
            <rFont val="Tahoma"/>
            <family val="2"/>
          </rPr>
          <t>Rich FW:</t>
        </r>
        <r>
          <rPr>
            <sz val="9"/>
            <color indexed="81"/>
            <rFont val="Tahoma"/>
            <family val="2"/>
          </rPr>
          <t xml:space="preserve">
assume grows at inflation</t>
        </r>
      </text>
    </comment>
    <comment ref="H31" authorId="0" shapeId="0" xr:uid="{55708044-AC6A-4A23-97F7-25879DDDBC90}">
      <text>
        <r>
          <rPr>
            <b/>
            <sz val="9"/>
            <color indexed="81"/>
            <rFont val="Tahoma"/>
            <family val="2"/>
          </rPr>
          <t>Rich FW:</t>
        </r>
        <r>
          <rPr>
            <sz val="9"/>
            <color indexed="81"/>
            <rFont val="Tahoma"/>
            <family val="2"/>
          </rPr>
          <t xml:space="preserve">
assume grows at inflation</t>
        </r>
      </text>
    </comment>
    <comment ref="H32" authorId="0" shapeId="0" xr:uid="{C4A6C93E-B5D0-4887-9D08-055EDEF6EB9C}">
      <text>
        <r>
          <rPr>
            <b/>
            <sz val="9"/>
            <color indexed="81"/>
            <rFont val="Tahoma"/>
            <family val="2"/>
          </rPr>
          <t>Rich FW:</t>
        </r>
        <r>
          <rPr>
            <sz val="9"/>
            <color indexed="81"/>
            <rFont val="Tahoma"/>
            <family val="2"/>
          </rPr>
          <t xml:space="preserve">
assume grows at inflation</t>
        </r>
      </text>
    </comment>
    <comment ref="AH38" authorId="0" shapeId="0" xr:uid="{350AF2F8-F3A6-4931-9F0D-00731065B30F}">
      <text>
        <r>
          <rPr>
            <b/>
            <sz val="9"/>
            <color indexed="81"/>
            <rFont val="Tahoma"/>
            <family val="2"/>
          </rPr>
          <t>Rich FW:</t>
        </r>
        <r>
          <rPr>
            <sz val="9"/>
            <color indexed="81"/>
            <rFont val="Tahoma"/>
            <family val="2"/>
          </rPr>
          <t xml:space="preserve">
delta using 1yr fwd vs. last
</t>
        </r>
      </text>
    </comment>
    <comment ref="H39" authorId="0" shapeId="0" xr:uid="{5250D04E-01D2-40A7-9973-1C3643D6173B}">
      <text>
        <r>
          <rPr>
            <b/>
            <sz val="9"/>
            <color indexed="81"/>
            <rFont val="Tahoma"/>
            <family val="2"/>
          </rPr>
          <t>Rich FW:</t>
        </r>
        <r>
          <rPr>
            <sz val="9"/>
            <color indexed="81"/>
            <rFont val="Tahoma"/>
            <family val="2"/>
          </rPr>
          <t xml:space="preserve">
assume grows at inflation</t>
        </r>
      </text>
    </comment>
    <comment ref="H40" authorId="0" shapeId="0" xr:uid="{B9DB5880-B7EF-49F0-8CC0-2CBD2E3FEB16}">
      <text>
        <r>
          <rPr>
            <b/>
            <sz val="9"/>
            <color indexed="81"/>
            <rFont val="Tahoma"/>
            <family val="2"/>
          </rPr>
          <t>Rich FW:</t>
        </r>
        <r>
          <rPr>
            <sz val="9"/>
            <color indexed="81"/>
            <rFont val="Tahoma"/>
            <family val="2"/>
          </rPr>
          <t xml:space="preserve">
assume grows at inflation</t>
        </r>
      </text>
    </comment>
    <comment ref="G53" authorId="0" shapeId="0" xr:uid="{6C6DEBB0-C7BC-429E-BE4F-FF4CAA026609}">
      <text>
        <r>
          <rPr>
            <b/>
            <sz val="9"/>
            <color indexed="81"/>
            <rFont val="Tahoma"/>
            <family val="2"/>
          </rPr>
          <t>Rich FW:</t>
        </r>
        <r>
          <rPr>
            <sz val="9"/>
            <color indexed="81"/>
            <rFont val="Tahoma"/>
            <family val="2"/>
          </rPr>
          <t xml:space="preserve">
10yr average depreciation</t>
        </r>
      </text>
    </comment>
    <comment ref="H68" authorId="0" shapeId="0" xr:uid="{4F354929-72C2-44E8-B025-774036805CC6}">
      <text>
        <r>
          <rPr>
            <b/>
            <sz val="9"/>
            <color indexed="81"/>
            <rFont val="Tahoma"/>
            <family val="2"/>
          </rPr>
          <t>Rich FW:</t>
        </r>
        <r>
          <rPr>
            <sz val="9"/>
            <color indexed="81"/>
            <rFont val="Tahoma"/>
            <family val="2"/>
          </rPr>
          <t xml:space="preserve">
includes inflation to grow PP&amp;E by inflation</t>
        </r>
      </text>
    </comment>
  </commentList>
</comments>
</file>

<file path=xl/metadata.xml><?xml version="1.0" encoding="utf-8"?>
<metadata xmlns="http://schemas.openxmlformats.org/spreadsheetml/2006/main" xmlns:xlrd="http://schemas.microsoft.com/office/spreadsheetml/2017/richdata">
  <metadataTypes count="1">
    <metadataType name="XLRICHVALUE" minSupportedVersion="120000" copy="1" pasteAll="1" pasteValues="1" merge="1" splitFirst="1" rowColShift="1" clearFormats="1" clearComments="1" assign="1" coerce="1"/>
  </metadataTypes>
  <futureMetadata name="XLRICHVALUE" count="1">
    <bk>
      <extLst>
        <ext uri="{3e2802c4-a4d2-4d8b-9148-e3be6c30e623}">
          <xlrd:rvb i="0"/>
        </ext>
      </extLst>
    </bk>
  </futureMetadata>
  <valueMetadata count="1">
    <bk>
      <rc t="1" v="0"/>
    </bk>
  </valueMetadata>
</metadata>
</file>

<file path=xl/sharedStrings.xml><?xml version="1.0" encoding="utf-8"?>
<sst xmlns="http://schemas.openxmlformats.org/spreadsheetml/2006/main" count="214" uniqueCount="153">
  <si>
    <t>Revenue</t>
  </si>
  <si>
    <t>EBITDA</t>
  </si>
  <si>
    <t>D&amp;A</t>
  </si>
  <si>
    <t>EBIT</t>
  </si>
  <si>
    <t>Tax rate</t>
  </si>
  <si>
    <t>Interest</t>
  </si>
  <si>
    <t>EBT</t>
  </si>
  <si>
    <t>Taxes</t>
  </si>
  <si>
    <t>Net income</t>
  </si>
  <si>
    <t>Shares</t>
  </si>
  <si>
    <t>EPS</t>
  </si>
  <si>
    <t>Time 0</t>
  </si>
  <si>
    <t>Time 1</t>
  </si>
  <si>
    <t>Time 2</t>
  </si>
  <si>
    <t>Time 3</t>
  </si>
  <si>
    <t>Time 4</t>
  </si>
  <si>
    <t>Time 5</t>
  </si>
  <si>
    <t>Gross margin</t>
  </si>
  <si>
    <t>Gross profit</t>
  </si>
  <si>
    <t>CapEx (= D&amp;A)</t>
  </si>
  <si>
    <t>Debt</t>
  </si>
  <si>
    <t>Cash on hand</t>
  </si>
  <si>
    <t>Income Statement</t>
  </si>
  <si>
    <t>Revenue Build / Unit Economics</t>
  </si>
  <si>
    <t>Quantity sold</t>
  </si>
  <si>
    <t>Price per unit</t>
  </si>
  <si>
    <t xml:space="preserve">Product #1 </t>
  </si>
  <si>
    <t>Cost per unit</t>
  </si>
  <si>
    <t>Product #2</t>
  </si>
  <si>
    <t>Financial Model</t>
  </si>
  <si>
    <t>Variable SG&amp;A</t>
  </si>
  <si>
    <t>Variable COGS</t>
  </si>
  <si>
    <t>Fixed COGS</t>
  </si>
  <si>
    <t>Fixed SG&amp;A</t>
  </si>
  <si>
    <t>Unit marketing cost (CAC)</t>
  </si>
  <si>
    <t>Pricing growth</t>
  </si>
  <si>
    <t>ROAS</t>
  </si>
  <si>
    <t>LTV/CAC (no recurring here)</t>
  </si>
  <si>
    <r>
      <t>Memo</t>
    </r>
    <r>
      <rPr>
        <sz val="11"/>
        <color theme="1"/>
        <rFont val="Arial"/>
        <family val="2"/>
      </rPr>
      <t>: Inflation</t>
    </r>
  </si>
  <si>
    <t>Key Ratios</t>
  </si>
  <si>
    <t>Mini Cash Flow Statement</t>
  </si>
  <si>
    <t>Mini Balance Sheet</t>
  </si>
  <si>
    <t>Risk free rate</t>
  </si>
  <si>
    <t>Debt interest rate</t>
  </si>
  <si>
    <t>high growth &amp; pricing power, low quantity, low marketing spend</t>
  </si>
  <si>
    <t>Other</t>
  </si>
  <si>
    <t>Investing cash flow</t>
  </si>
  <si>
    <t>Debt raised</t>
  </si>
  <si>
    <t>Equity raised</t>
  </si>
  <si>
    <t>Financing cash flow</t>
  </si>
  <si>
    <t>Operating cash flow</t>
  </si>
  <si>
    <t>Change in cash</t>
  </si>
  <si>
    <t>PP&amp;E</t>
  </si>
  <si>
    <t>Market cap</t>
  </si>
  <si>
    <t>Gross debt</t>
  </si>
  <si>
    <t>Net debt</t>
  </si>
  <si>
    <t>Debt / EBITDA</t>
  </si>
  <si>
    <t>Net debt / EBITDA</t>
  </si>
  <si>
    <t>Price per share</t>
  </si>
  <si>
    <t>Debt % EV</t>
  </si>
  <si>
    <t>Net debt % EV</t>
  </si>
  <si>
    <t>Leverage:</t>
  </si>
  <si>
    <t>Valuation:</t>
  </si>
  <si>
    <t>EV / EBITDA</t>
  </si>
  <si>
    <t>Enterprise value (EV)</t>
  </si>
  <si>
    <t>P/E</t>
  </si>
  <si>
    <t>Unit contribution margin</t>
  </si>
  <si>
    <t>Business Operating Ratios</t>
  </si>
  <si>
    <t>Contribution margin</t>
  </si>
  <si>
    <t>EBITDA margin</t>
  </si>
  <si>
    <t>Net income margin</t>
  </si>
  <si>
    <t>Valuation Ratios</t>
  </si>
  <si>
    <t>Cost of debt</t>
  </si>
  <si>
    <t>Cost of equity</t>
  </si>
  <si>
    <t>% EV debt</t>
  </si>
  <si>
    <t>Key Assumptions</t>
  </si>
  <si>
    <t>Calculating a WACC</t>
  </si>
  <si>
    <t>Stock's beta</t>
  </si>
  <si>
    <t>Market rate of return</t>
  </si>
  <si>
    <t>Capital Asset Pricing Model (CAPM) formula</t>
  </si>
  <si>
    <t>% EV equity</t>
  </si>
  <si>
    <t>Weighted average cost of capital (WACC)</t>
  </si>
  <si>
    <t xml:space="preserve">WACC = </t>
  </si>
  <si>
    <t>Revenue growth</t>
  </si>
  <si>
    <t>EBITDA growth</t>
  </si>
  <si>
    <t>Units growth</t>
  </si>
  <si>
    <t>Discount rate = WACC</t>
  </si>
  <si>
    <t>Long term growth rate ("g")</t>
  </si>
  <si>
    <t>Free cash flow * (1+g)</t>
  </si>
  <si>
    <t>Terminal value</t>
  </si>
  <si>
    <t>= FCF * (1+g) / (Discount rate - g)</t>
  </si>
  <si>
    <t>Terminal multiple</t>
  </si>
  <si>
    <t>= 1 / (Discount rate - g)</t>
  </si>
  <si>
    <t>Calculating a Terminal Value / Multiple</t>
  </si>
  <si>
    <t>Discounted value</t>
  </si>
  <si>
    <t>Value received</t>
  </si>
  <si>
    <t>Unlevered free cash flow</t>
  </si>
  <si>
    <t>Unlevered FCF</t>
  </si>
  <si>
    <t>Discounted Cash Flow</t>
  </si>
  <si>
    <t>DCF Value</t>
  </si>
  <si>
    <t>DCF Valuation</t>
  </si>
  <si>
    <t>Sensitivities</t>
  </si>
  <si>
    <t>Impact on:</t>
  </si>
  <si>
    <t>in %</t>
  </si>
  <si>
    <t>Equity</t>
  </si>
  <si>
    <t>Value</t>
  </si>
  <si>
    <t>EV-to-</t>
  </si>
  <si>
    <t>Multiple</t>
  </si>
  <si>
    <t>Price-to-</t>
  </si>
  <si>
    <t>Earnings</t>
  </si>
  <si>
    <t>Product 1 unit growth</t>
  </si>
  <si>
    <t>Product 2 unit growth</t>
  </si>
  <si>
    <t>hardcode</t>
  </si>
  <si>
    <t>linked:</t>
  </si>
  <si>
    <t>Delta?</t>
  </si>
  <si>
    <t>Product 1 price growth</t>
  </si>
  <si>
    <t>Product 2 price growth</t>
  </si>
  <si>
    <t>Product Operating Ratios</t>
  </si>
  <si>
    <t>Sensitivities Builder</t>
  </si>
  <si>
    <t>Stock Beta Calculator</t>
  </si>
  <si>
    <t>Day 0</t>
  </si>
  <si>
    <t>Market</t>
  </si>
  <si>
    <t>Period -5</t>
  </si>
  <si>
    <t>Period -4</t>
  </si>
  <si>
    <t>Period -3</t>
  </si>
  <si>
    <t>Period -2</t>
  </si>
  <si>
    <t>Period -1</t>
  </si>
  <si>
    <t>Prices</t>
  </si>
  <si>
    <t>Covariance</t>
  </si>
  <si>
    <t>Var</t>
  </si>
  <si>
    <t>Beta of this stock</t>
  </si>
  <si>
    <t>Company</t>
  </si>
  <si>
    <r>
      <t xml:space="preserve">Cost of Equity = risk free rate </t>
    </r>
    <r>
      <rPr>
        <i/>
        <u/>
        <sz val="11"/>
        <color theme="5" tint="-0.249977111117893"/>
        <rFont val="Arial"/>
        <family val="2"/>
      </rPr>
      <t>plus</t>
    </r>
    <r>
      <rPr>
        <i/>
        <sz val="11"/>
        <color theme="5" tint="-0.249977111117893"/>
        <rFont val="Arial"/>
        <family val="2"/>
      </rPr>
      <t xml:space="preserve"> beta * </t>
    </r>
  </si>
  <si>
    <t>(market return minus risk free rate)</t>
  </si>
  <si>
    <t>CAPM =&gt; Beta Calculator</t>
  </si>
  <si>
    <t>high marketing cost, flat margins, low growth</t>
  </si>
  <si>
    <t>Product #3</t>
  </si>
  <si>
    <t>Product #4</t>
  </si>
  <si>
    <t>Product #1 Revenue</t>
  </si>
  <si>
    <t>Product #2 Revenue</t>
  </si>
  <si>
    <t>Product #3 Revenue</t>
  </si>
  <si>
    <t>Product #4 Revenue</t>
  </si>
  <si>
    <t>% total revenue</t>
  </si>
  <si>
    <t>Average of exit revenue growth rate &amp; 5%</t>
  </si>
  <si>
    <t>low margin, declining product</t>
  </si>
  <si>
    <t>high margin, "viral" growth product</t>
  </si>
  <si>
    <r>
      <t xml:space="preserve">1% higher </t>
    </r>
    <r>
      <rPr>
        <b/>
        <u/>
        <sz val="11"/>
        <color theme="1"/>
        <rFont val="Arial"/>
        <family val="2"/>
      </rPr>
      <t>unit</t>
    </r>
    <r>
      <rPr>
        <b/>
        <sz val="11"/>
        <color theme="1"/>
        <rFont val="Arial"/>
        <family val="2"/>
      </rPr>
      <t xml:space="preserve"> growth</t>
    </r>
  </si>
  <si>
    <r>
      <t xml:space="preserve">1% higher </t>
    </r>
    <r>
      <rPr>
        <b/>
        <u/>
        <sz val="11"/>
        <color theme="1"/>
        <rFont val="Arial"/>
        <family val="2"/>
      </rPr>
      <t>price</t>
    </r>
    <r>
      <rPr>
        <b/>
        <sz val="11"/>
        <color theme="1"/>
        <rFont val="Arial"/>
        <family val="2"/>
      </rPr>
      <t xml:space="preserve"> growth</t>
    </r>
  </si>
  <si>
    <t>Higher than previous %</t>
  </si>
  <si>
    <t>Value per share</t>
  </si>
  <si>
    <t>Roman Aebi</t>
  </si>
  <si>
    <t>www.platypus-ideas.com</t>
  </si>
  <si>
    <t>Business Model Validation Tool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</si>
</sst>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64" formatCode="#,##0.0_);\(#,##0.0\)"/>
    <numFmt numFmtId="165" formatCode="#,##0\x_);\(#,##0\)"/>
    <numFmt numFmtId="166" formatCode="#,##0.0\x_);\(#,##0.0\)"/>
    <numFmt numFmtId="167" formatCode="#,##0\x_);&quot;na&quot;"/>
    <numFmt numFmtId="168" formatCode="0.0%"/>
  </numFmts>
  <fonts count="2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Arial"/>
      <family val="2"/>
    </font>
    <font>
      <b/>
      <sz val="11"/>
      <color theme="1"/>
      <name val="Arial"/>
      <family val="2"/>
    </font>
    <font>
      <b/>
      <u/>
      <sz val="11"/>
      <color theme="1"/>
      <name val="Arial"/>
      <family val="2"/>
    </font>
    <font>
      <u/>
      <sz val="11"/>
      <color theme="1"/>
      <name val="Arial"/>
      <family val="2"/>
    </font>
    <font>
      <sz val="11"/>
      <color rgb="FF0000FF"/>
      <name val="Arial"/>
      <family val="2"/>
    </font>
    <font>
      <u/>
      <sz val="11"/>
      <color rgb="FF0000FF"/>
      <name val="Arial"/>
      <family val="2"/>
    </font>
    <font>
      <b/>
      <sz val="11"/>
      <color theme="0"/>
      <name val="Arial"/>
      <family val="2"/>
    </font>
    <font>
      <sz val="10"/>
      <color theme="1"/>
      <name val="Arial"/>
      <family val="2"/>
    </font>
    <font>
      <sz val="11"/>
      <name val="Arial"/>
      <family val="2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u/>
      <sz val="11"/>
      <name val="Arial"/>
      <family val="2"/>
    </font>
    <font>
      <sz val="11"/>
      <color rgb="FFFF0000"/>
      <name val="Arial"/>
      <family val="2"/>
    </font>
    <font>
      <i/>
      <sz val="11"/>
      <color theme="5" tint="-0.249977111117893"/>
      <name val="Arial"/>
      <family val="2"/>
    </font>
    <font>
      <i/>
      <u/>
      <sz val="11"/>
      <color theme="5" tint="-0.249977111117893"/>
      <name val="Arial"/>
      <family val="2"/>
    </font>
    <font>
      <b/>
      <sz val="20"/>
      <color theme="0"/>
      <name val="Arial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"/>
      <family val="2"/>
    </font>
    <font>
      <u/>
      <sz val="10"/>
      <color theme="1"/>
      <name val="Arial"/>
      <family val="2"/>
    </font>
    <font>
      <b/>
      <sz val="10"/>
      <color theme="0"/>
      <name val="Arial"/>
      <family val="2"/>
    </font>
    <font>
      <b/>
      <u/>
      <sz val="11"/>
      <color theme="0"/>
      <name val="Arial"/>
      <family val="2"/>
    </font>
    <font>
      <b/>
      <u/>
      <sz val="11"/>
      <name val="Arial"/>
      <family val="2"/>
    </font>
    <font>
      <b/>
      <sz val="11"/>
      <name val="Arial"/>
      <family val="2"/>
    </font>
    <font>
      <u/>
      <sz val="11"/>
      <color rgb="FFFF0000"/>
      <name val="Arial"/>
      <family val="2"/>
    </font>
    <font>
      <b/>
      <i/>
      <sz val="11"/>
      <color theme="1"/>
      <name val="Abadi ExtraLight"/>
      <family val="2"/>
    </font>
    <font>
      <b/>
      <i/>
      <sz val="11"/>
      <color theme="1"/>
      <name val="Arial"/>
      <family val="2"/>
    </font>
  </fonts>
  <fills count="13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3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0"/>
        <bgColor indexed="64"/>
      </patternFill>
    </fill>
  </fills>
  <borders count="1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3">
    <xf numFmtId="0" fontId="0" fillId="0" borderId="0"/>
    <xf numFmtId="9" fontId="1" fillId="0" borderId="0" applyFont="0" applyFill="0" applyBorder="0" applyAlignment="0" applyProtection="0"/>
    <xf numFmtId="0" fontId="18" fillId="0" borderId="0" applyNumberFormat="0" applyFill="0" applyBorder="0" applyAlignment="0" applyProtection="0"/>
  </cellStyleXfs>
  <cellXfs count="148">
    <xf numFmtId="0" fontId="0" fillId="0" borderId="0" xfId="0"/>
    <xf numFmtId="37" fontId="2" fillId="0" borderId="0" xfId="0" applyNumberFormat="1" applyFont="1"/>
    <xf numFmtId="37" fontId="5" fillId="0" borderId="0" xfId="0" applyNumberFormat="1" applyFont="1"/>
    <xf numFmtId="37" fontId="2" fillId="0" borderId="0" xfId="0" applyNumberFormat="1" applyFont="1" applyAlignment="1">
      <alignment horizontal="left" indent="2"/>
    </xf>
    <xf numFmtId="37" fontId="6" fillId="0" borderId="0" xfId="0" applyNumberFormat="1" applyFont="1"/>
    <xf numFmtId="9" fontId="2" fillId="0" borderId="0" xfId="1" applyFont="1"/>
    <xf numFmtId="9" fontId="6" fillId="0" borderId="0" xfId="1" applyFont="1"/>
    <xf numFmtId="37" fontId="4" fillId="0" borderId="0" xfId="0" applyNumberFormat="1" applyFont="1"/>
    <xf numFmtId="37" fontId="2" fillId="2" borderId="0" xfId="0" applyNumberFormat="1" applyFont="1" applyFill="1"/>
    <xf numFmtId="37" fontId="3" fillId="2" borderId="0" xfId="0" applyNumberFormat="1" applyFont="1" applyFill="1"/>
    <xf numFmtId="37" fontId="3" fillId="0" borderId="0" xfId="0" applyNumberFormat="1" applyFont="1"/>
    <xf numFmtId="37" fontId="7" fillId="0" borderId="0" xfId="0" applyNumberFormat="1" applyFont="1"/>
    <xf numFmtId="37" fontId="2" fillId="4" borderId="0" xfId="0" applyNumberFormat="1" applyFont="1" applyFill="1"/>
    <xf numFmtId="37" fontId="8" fillId="4" borderId="0" xfId="0" applyNumberFormat="1" applyFont="1" applyFill="1"/>
    <xf numFmtId="37" fontId="10" fillId="0" borderId="0" xfId="0" applyNumberFormat="1" applyFont="1"/>
    <xf numFmtId="37" fontId="4" fillId="0" borderId="0" xfId="0" applyNumberFormat="1" applyFont="1" applyAlignment="1">
      <alignment horizontal="center"/>
    </xf>
    <xf numFmtId="37" fontId="13" fillId="0" borderId="0" xfId="0" applyNumberFormat="1" applyFont="1"/>
    <xf numFmtId="37" fontId="2" fillId="2" borderId="0" xfId="0" applyNumberFormat="1" applyFont="1" applyFill="1" applyAlignment="1">
      <alignment horizontal="left" indent="2"/>
    </xf>
    <xf numFmtId="37" fontId="4" fillId="5" borderId="0" xfId="0" applyNumberFormat="1" applyFont="1" applyFill="1"/>
    <xf numFmtId="37" fontId="2" fillId="5" borderId="0" xfId="0" applyNumberFormat="1" applyFont="1" applyFill="1"/>
    <xf numFmtId="37" fontId="10" fillId="2" borderId="0" xfId="0" applyNumberFormat="1" applyFont="1" applyFill="1"/>
    <xf numFmtId="37" fontId="8" fillId="0" borderId="0" xfId="0" applyNumberFormat="1" applyFont="1"/>
    <xf numFmtId="37" fontId="3" fillId="2" borderId="0" xfId="0" applyNumberFormat="1" applyFont="1" applyFill="1" applyAlignment="1">
      <alignment horizontal="left" indent="2"/>
    </xf>
    <xf numFmtId="164" fontId="3" fillId="2" borderId="0" xfId="0" applyNumberFormat="1" applyFont="1" applyFill="1"/>
    <xf numFmtId="166" fontId="2" fillId="0" borderId="0" xfId="0" applyNumberFormat="1" applyFont="1"/>
    <xf numFmtId="9" fontId="2" fillId="0" borderId="0" xfId="1" applyFont="1" applyFill="1"/>
    <xf numFmtId="9" fontId="2" fillId="2" borderId="0" xfId="1" applyFont="1" applyFill="1"/>
    <xf numFmtId="9" fontId="3" fillId="2" borderId="0" xfId="1" applyFont="1" applyFill="1"/>
    <xf numFmtId="166" fontId="3" fillId="2" borderId="0" xfId="0" applyNumberFormat="1" applyFont="1" applyFill="1"/>
    <xf numFmtId="167" fontId="3" fillId="2" borderId="0" xfId="0" applyNumberFormat="1" applyFont="1" applyFill="1"/>
    <xf numFmtId="37" fontId="15" fillId="0" borderId="0" xfId="0" applyNumberFormat="1" applyFont="1"/>
    <xf numFmtId="168" fontId="2" fillId="0" borderId="0" xfId="1" applyNumberFormat="1" applyFont="1" applyFill="1"/>
    <xf numFmtId="168" fontId="3" fillId="2" borderId="0" xfId="1" applyNumberFormat="1" applyFont="1" applyFill="1"/>
    <xf numFmtId="37" fontId="15" fillId="0" borderId="0" xfId="0" quotePrefix="1" applyNumberFormat="1" applyFont="1"/>
    <xf numFmtId="165" fontId="3" fillId="2" borderId="0" xfId="0" applyNumberFormat="1" applyFont="1" applyFill="1"/>
    <xf numFmtId="165" fontId="15" fillId="0" borderId="0" xfId="0" quotePrefix="1" applyNumberFormat="1" applyFont="1"/>
    <xf numFmtId="9" fontId="2" fillId="0" borderId="1" xfId="1" applyFont="1" applyBorder="1"/>
    <xf numFmtId="9" fontId="2" fillId="0" borderId="2" xfId="1" applyFont="1" applyBorder="1"/>
    <xf numFmtId="9" fontId="2" fillId="0" borderId="2" xfId="1" applyFont="1" applyFill="1" applyBorder="1"/>
    <xf numFmtId="9" fontId="2" fillId="0" borderId="3" xfId="1" applyFont="1" applyFill="1" applyBorder="1"/>
    <xf numFmtId="9" fontId="14" fillId="0" borderId="0" xfId="1" applyFont="1"/>
    <xf numFmtId="168" fontId="3" fillId="6" borderId="0" xfId="1" applyNumberFormat="1" applyFont="1" applyFill="1"/>
    <xf numFmtId="168" fontId="2" fillId="5" borderId="0" xfId="1" applyNumberFormat="1" applyFont="1" applyFill="1"/>
    <xf numFmtId="0" fontId="10" fillId="0" borderId="0" xfId="0" applyFont="1"/>
    <xf numFmtId="0" fontId="19" fillId="0" borderId="0" xfId="2" applyFont="1"/>
    <xf numFmtId="37" fontId="5" fillId="0" borderId="0" xfId="0" applyNumberFormat="1" applyFont="1" applyAlignment="1">
      <alignment horizontal="center"/>
    </xf>
    <xf numFmtId="9" fontId="2" fillId="0" borderId="0" xfId="1" applyFont="1" applyFill="1" applyBorder="1"/>
    <xf numFmtId="37" fontId="20" fillId="0" borderId="0" xfId="0" applyNumberFormat="1" applyFont="1" applyAlignment="1">
      <alignment horizontal="center"/>
    </xf>
    <xf numFmtId="37" fontId="8" fillId="4" borderId="9" xfId="0" applyNumberFormat="1" applyFont="1" applyFill="1" applyBorder="1"/>
    <xf numFmtId="37" fontId="8" fillId="4" borderId="10" xfId="0" applyNumberFormat="1" applyFont="1" applyFill="1" applyBorder="1"/>
    <xf numFmtId="37" fontId="2" fillId="0" borderId="11" xfId="0" applyNumberFormat="1" applyFont="1" applyBorder="1"/>
    <xf numFmtId="37" fontId="5" fillId="0" borderId="12" xfId="0" applyNumberFormat="1" applyFont="1" applyBorder="1" applyAlignment="1">
      <alignment horizontal="center"/>
    </xf>
    <xf numFmtId="37" fontId="2" fillId="0" borderId="12" xfId="0" applyNumberFormat="1" applyFont="1" applyBorder="1"/>
    <xf numFmtId="9" fontId="2" fillId="0" borderId="12" xfId="1" applyFont="1" applyFill="1" applyBorder="1"/>
    <xf numFmtId="37" fontId="2" fillId="0" borderId="11" xfId="0" applyNumberFormat="1" applyFont="1" applyBorder="1" applyAlignment="1">
      <alignment horizontal="left"/>
    </xf>
    <xf numFmtId="168" fontId="2" fillId="0" borderId="12" xfId="1" applyNumberFormat="1" applyFont="1" applyBorder="1"/>
    <xf numFmtId="37" fontId="21" fillId="4" borderId="9" xfId="0" applyNumberFormat="1" applyFont="1" applyFill="1" applyBorder="1"/>
    <xf numFmtId="37" fontId="15" fillId="0" borderId="0" xfId="0" applyNumberFormat="1" applyFont="1" applyAlignment="1">
      <alignment horizontal="left" indent="2"/>
    </xf>
    <xf numFmtId="37" fontId="2" fillId="0" borderId="8" xfId="0" applyNumberFormat="1" applyFont="1" applyBorder="1"/>
    <xf numFmtId="37" fontId="2" fillId="0" borderId="9" xfId="0" applyNumberFormat="1" applyFont="1" applyBorder="1"/>
    <xf numFmtId="37" fontId="3" fillId="4" borderId="9" xfId="0" applyNumberFormat="1" applyFont="1" applyFill="1" applyBorder="1"/>
    <xf numFmtId="37" fontId="3" fillId="4" borderId="10" xfId="0" applyNumberFormat="1" applyFont="1" applyFill="1" applyBorder="1"/>
    <xf numFmtId="37" fontId="2" fillId="3" borderId="12" xfId="0" applyNumberFormat="1" applyFont="1" applyFill="1" applyBorder="1" applyAlignment="1">
      <alignment horizontal="center"/>
    </xf>
    <xf numFmtId="37" fontId="5" fillId="3" borderId="12" xfId="0" applyNumberFormat="1" applyFont="1" applyFill="1" applyBorder="1" applyAlignment="1">
      <alignment horizontal="center"/>
    </xf>
    <xf numFmtId="166" fontId="2" fillId="2" borderId="12" xfId="0" applyNumberFormat="1" applyFont="1" applyFill="1" applyBorder="1"/>
    <xf numFmtId="166" fontId="2" fillId="0" borderId="12" xfId="0" applyNumberFormat="1" applyFont="1" applyBorder="1"/>
    <xf numFmtId="37" fontId="2" fillId="0" borderId="4" xfId="0" applyNumberFormat="1" applyFont="1" applyBorder="1"/>
    <xf numFmtId="37" fontId="3" fillId="2" borderId="11" xfId="0" applyNumberFormat="1" applyFont="1" applyFill="1" applyBorder="1"/>
    <xf numFmtId="37" fontId="21" fillId="4" borderId="8" xfId="0" applyNumberFormat="1" applyFont="1" applyFill="1" applyBorder="1"/>
    <xf numFmtId="37" fontId="5" fillId="0" borderId="11" xfId="0" applyNumberFormat="1" applyFont="1" applyBorder="1" applyAlignment="1">
      <alignment horizontal="left"/>
    </xf>
    <xf numFmtId="168" fontId="5" fillId="0" borderId="12" xfId="1" applyNumberFormat="1" applyFont="1" applyBorder="1"/>
    <xf numFmtId="37" fontId="20" fillId="0" borderId="0" xfId="0" applyNumberFormat="1" applyFont="1" applyAlignment="1">
      <alignment horizontal="right"/>
    </xf>
    <xf numFmtId="37" fontId="22" fillId="7" borderId="0" xfId="0" applyNumberFormat="1" applyFont="1" applyFill="1"/>
    <xf numFmtId="37" fontId="8" fillId="7" borderId="0" xfId="0" applyNumberFormat="1" applyFont="1" applyFill="1"/>
    <xf numFmtId="37" fontId="3" fillId="7" borderId="0" xfId="0" applyNumberFormat="1" applyFont="1" applyFill="1"/>
    <xf numFmtId="37" fontId="23" fillId="8" borderId="0" xfId="0" applyNumberFormat="1" applyFont="1" applyFill="1"/>
    <xf numFmtId="37" fontId="24" fillId="8" borderId="0" xfId="0" applyNumberFormat="1" applyFont="1" applyFill="1"/>
    <xf numFmtId="37" fontId="4" fillId="0" borderId="8" xfId="0" applyNumberFormat="1" applyFont="1" applyBorder="1"/>
    <xf numFmtId="37" fontId="4" fillId="0" borderId="9" xfId="0" applyNumberFormat="1" applyFont="1" applyBorder="1"/>
    <xf numFmtId="37" fontId="2" fillId="0" borderId="10" xfId="0" applyNumberFormat="1" applyFont="1" applyBorder="1"/>
    <xf numFmtId="9" fontId="6" fillId="0" borderId="0" xfId="1" applyFont="1" applyBorder="1"/>
    <xf numFmtId="9" fontId="2" fillId="0" borderId="0" xfId="1" applyFont="1" applyBorder="1"/>
    <xf numFmtId="9" fontId="2" fillId="0" borderId="12" xfId="1" applyFont="1" applyBorder="1"/>
    <xf numFmtId="9" fontId="10" fillId="0" borderId="0" xfId="1" applyFont="1" applyBorder="1"/>
    <xf numFmtId="166" fontId="3" fillId="2" borderId="12" xfId="0" applyNumberFormat="1" applyFont="1" applyFill="1" applyBorder="1"/>
    <xf numFmtId="166" fontId="2" fillId="2" borderId="0" xfId="0" applyNumberFormat="1" applyFont="1" applyFill="1"/>
    <xf numFmtId="9" fontId="2" fillId="0" borderId="4" xfId="1" applyFont="1" applyBorder="1"/>
    <xf numFmtId="9" fontId="2" fillId="0" borderId="14" xfId="1" applyFont="1" applyBorder="1"/>
    <xf numFmtId="37" fontId="4" fillId="9" borderId="0" xfId="0" applyNumberFormat="1" applyFont="1" applyFill="1"/>
    <xf numFmtId="37" fontId="2" fillId="9" borderId="0" xfId="0" applyNumberFormat="1" applyFont="1" applyFill="1"/>
    <xf numFmtId="166" fontId="2" fillId="5" borderId="0" xfId="0" applyNumberFormat="1" applyFont="1" applyFill="1"/>
    <xf numFmtId="166" fontId="2" fillId="5" borderId="12" xfId="0" applyNumberFormat="1" applyFont="1" applyFill="1" applyBorder="1"/>
    <xf numFmtId="37" fontId="3" fillId="5" borderId="0" xfId="0" applyNumberFormat="1" applyFont="1" applyFill="1"/>
    <xf numFmtId="9" fontId="3" fillId="5" borderId="0" xfId="1" applyFont="1" applyFill="1"/>
    <xf numFmtId="37" fontId="3" fillId="5" borderId="5" xfId="0" applyNumberFormat="1" applyFont="1" applyFill="1" applyBorder="1"/>
    <xf numFmtId="37" fontId="3" fillId="5" borderId="6" xfId="0" applyNumberFormat="1" applyFont="1" applyFill="1" applyBorder="1"/>
    <xf numFmtId="9" fontId="3" fillId="5" borderId="7" xfId="1" applyFont="1" applyFill="1" applyBorder="1"/>
    <xf numFmtId="37" fontId="25" fillId="0" borderId="0" xfId="0" applyNumberFormat="1" applyFont="1"/>
    <xf numFmtId="37" fontId="2" fillId="0" borderId="13" xfId="0" applyNumberFormat="1" applyFont="1" applyBorder="1" applyAlignment="1">
      <alignment horizontal="left" indent="2"/>
    </xf>
    <xf numFmtId="164" fontId="6" fillId="0" borderId="0" xfId="0" applyNumberFormat="1" applyFont="1"/>
    <xf numFmtId="164" fontId="2" fillId="0" borderId="0" xfId="0" applyNumberFormat="1" applyFont="1"/>
    <xf numFmtId="37" fontId="6" fillId="5" borderId="0" xfId="0" applyNumberFormat="1" applyFont="1" applyFill="1"/>
    <xf numFmtId="37" fontId="2" fillId="5" borderId="5" xfId="0" applyNumberFormat="1" applyFont="1" applyFill="1" applyBorder="1"/>
    <xf numFmtId="37" fontId="2" fillId="5" borderId="6" xfId="0" applyNumberFormat="1" applyFont="1" applyFill="1" applyBorder="1"/>
    <xf numFmtId="9" fontId="14" fillId="5" borderId="6" xfId="1" applyFont="1" applyFill="1" applyBorder="1"/>
    <xf numFmtId="37" fontId="2" fillId="5" borderId="7" xfId="0" applyNumberFormat="1" applyFont="1" applyFill="1" applyBorder="1"/>
    <xf numFmtId="37" fontId="2" fillId="5" borderId="9" xfId="0" applyNumberFormat="1" applyFont="1" applyFill="1" applyBorder="1"/>
    <xf numFmtId="166" fontId="3" fillId="0" borderId="0" xfId="0" applyNumberFormat="1" applyFont="1"/>
    <xf numFmtId="166" fontId="3" fillId="0" borderId="12" xfId="0" applyNumberFormat="1" applyFont="1" applyBorder="1"/>
    <xf numFmtId="9" fontId="6" fillId="5" borderId="0" xfId="1" applyFont="1" applyFill="1" applyBorder="1"/>
    <xf numFmtId="37" fontId="22" fillId="10" borderId="0" xfId="0" applyNumberFormat="1" applyFont="1" applyFill="1"/>
    <xf numFmtId="37" fontId="2" fillId="10" borderId="0" xfId="0" applyNumberFormat="1" applyFont="1" applyFill="1"/>
    <xf numFmtId="9" fontId="2" fillId="5" borderId="5" xfId="1" applyFont="1" applyFill="1" applyBorder="1"/>
    <xf numFmtId="9" fontId="2" fillId="5" borderId="6" xfId="1" applyFont="1" applyFill="1" applyBorder="1"/>
    <xf numFmtId="9" fontId="2" fillId="5" borderId="7" xfId="1" applyFont="1" applyFill="1" applyBorder="1"/>
    <xf numFmtId="37" fontId="3" fillId="5" borderId="11" xfId="0" applyNumberFormat="1" applyFont="1" applyFill="1" applyBorder="1"/>
    <xf numFmtId="9" fontId="3" fillId="5" borderId="0" xfId="1" applyFont="1" applyFill="1" applyBorder="1"/>
    <xf numFmtId="37" fontId="9" fillId="3" borderId="0" xfId="0" applyNumberFormat="1" applyFont="1" applyFill="1" applyAlignment="1">
      <alignment horizontal="center"/>
    </xf>
    <xf numFmtId="37" fontId="2" fillId="3" borderId="0" xfId="0" applyNumberFormat="1" applyFont="1" applyFill="1" applyAlignment="1">
      <alignment horizontal="center"/>
    </xf>
    <xf numFmtId="37" fontId="2" fillId="3" borderId="0" xfId="0" applyNumberFormat="1" applyFont="1" applyFill="1"/>
    <xf numFmtId="37" fontId="5" fillId="3" borderId="0" xfId="0" applyNumberFormat="1" applyFont="1" applyFill="1" applyAlignment="1">
      <alignment horizontal="center"/>
    </xf>
    <xf numFmtId="37" fontId="3" fillId="5" borderId="13" xfId="0" applyNumberFormat="1" applyFont="1" applyFill="1" applyBorder="1"/>
    <xf numFmtId="37" fontId="2" fillId="5" borderId="4" xfId="0" applyNumberFormat="1" applyFont="1" applyFill="1" applyBorder="1"/>
    <xf numFmtId="9" fontId="3" fillId="5" borderId="4" xfId="1" applyFont="1" applyFill="1" applyBorder="1"/>
    <xf numFmtId="166" fontId="2" fillId="5" borderId="4" xfId="0" applyNumberFormat="1" applyFont="1" applyFill="1" applyBorder="1"/>
    <xf numFmtId="166" fontId="2" fillId="5" borderId="14" xfId="0" applyNumberFormat="1" applyFont="1" applyFill="1" applyBorder="1"/>
    <xf numFmtId="9" fontId="6" fillId="2" borderId="1" xfId="1" applyFont="1" applyFill="1" applyBorder="1"/>
    <xf numFmtId="9" fontId="14" fillId="2" borderId="2" xfId="1" applyFont="1" applyFill="1" applyBorder="1"/>
    <xf numFmtId="9" fontId="6" fillId="2" borderId="2" xfId="1" applyFont="1" applyFill="1" applyBorder="1"/>
    <xf numFmtId="164" fontId="6" fillId="2" borderId="2" xfId="0" applyNumberFormat="1" applyFont="1" applyFill="1" applyBorder="1"/>
    <xf numFmtId="9" fontId="6" fillId="2" borderId="3" xfId="1" applyFont="1" applyFill="1" applyBorder="1"/>
    <xf numFmtId="37" fontId="3" fillId="5" borderId="13" xfId="0" applyNumberFormat="1" applyFont="1" applyFill="1" applyBorder="1" applyAlignment="1">
      <alignment horizontal="left"/>
    </xf>
    <xf numFmtId="37" fontId="3" fillId="5" borderId="4" xfId="0" applyNumberFormat="1" applyFont="1" applyFill="1" applyBorder="1"/>
    <xf numFmtId="166" fontId="3" fillId="5" borderId="14" xfId="0" applyNumberFormat="1" applyFont="1" applyFill="1" applyBorder="1"/>
    <xf numFmtId="37" fontId="3" fillId="5" borderId="8" xfId="0" applyNumberFormat="1" applyFont="1" applyFill="1" applyBorder="1"/>
    <xf numFmtId="37" fontId="3" fillId="5" borderId="9" xfId="0" applyNumberFormat="1" applyFont="1" applyFill="1" applyBorder="1"/>
    <xf numFmtId="37" fontId="3" fillId="5" borderId="10" xfId="0" applyNumberFormat="1" applyFont="1" applyFill="1" applyBorder="1"/>
    <xf numFmtId="37" fontId="3" fillId="0" borderId="13" xfId="0" applyNumberFormat="1" applyFont="1" applyBorder="1"/>
    <xf numFmtId="37" fontId="3" fillId="0" borderId="4" xfId="0" applyNumberFormat="1" applyFont="1" applyBorder="1"/>
    <xf numFmtId="37" fontId="3" fillId="0" borderId="14" xfId="0" applyNumberFormat="1" applyFont="1" applyBorder="1"/>
    <xf numFmtId="0" fontId="17" fillId="11" borderId="0" xfId="0" applyFont="1" applyFill="1" applyAlignment="1">
      <alignment vertical="center"/>
    </xf>
    <xf numFmtId="0" fontId="10" fillId="11" borderId="0" xfId="0" applyFont="1" applyFill="1"/>
    <xf numFmtId="37" fontId="2" fillId="12" borderId="0" xfId="0" applyNumberFormat="1" applyFont="1" applyFill="1"/>
    <xf numFmtId="37" fontId="26" fillId="5" borderId="6" xfId="0" applyNumberFormat="1" applyFont="1" applyFill="1" applyBorder="1"/>
    <xf numFmtId="37" fontId="27" fillId="5" borderId="9" xfId="0" applyNumberFormat="1" applyFont="1" applyFill="1" applyBorder="1"/>
    <xf numFmtId="37" fontId="27" fillId="0" borderId="9" xfId="0" applyNumberFormat="1" applyFont="1" applyBorder="1"/>
    <xf numFmtId="37" fontId="2" fillId="0" borderId="0" xfId="0" applyNumberFormat="1" applyFont="1" applyAlignment="1">
      <alignment horizontal="center"/>
    </xf>
    <xf numFmtId="37" fontId="18" fillId="0" borderId="0" xfId="2" applyNumberFormat="1" applyAlignment="1">
      <alignment horizontal="center"/>
    </xf>
  </cellXfs>
  <cellStyles count="3">
    <cellStyle name="Link" xfId="2" builtinId="8"/>
    <cellStyle name="Prozent" xfId="1" builtinId="5"/>
    <cellStyle name="Standard" xfId="0" builtinId="0"/>
  </cellStyles>
  <dxfs count="0"/>
  <tableStyles count="0" defaultTableStyle="TableStyleMedium2" defaultPivotStyle="PivotStyleLight16"/>
  <colors>
    <mruColors>
      <color rgb="FF0000FF"/>
      <color rgb="FFFFFF66"/>
      <color rgb="FFCCCC00"/>
      <color rgb="FF0BCF68"/>
      <color rgb="FF08924A"/>
      <color rgb="FFFFFF99"/>
      <color rgb="FF00CC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microsoft.com/office/2017/06/relationships/rdRichValueStructure" Target="richData/rdrichvaluestructure.xml"/><Relationship Id="rId3" Type="http://schemas.openxmlformats.org/officeDocument/2006/relationships/styles" Target="styles.xml"/><Relationship Id="rId7" Type="http://schemas.microsoft.com/office/2017/06/relationships/rdRichValue" Target="richData/rdrichvalue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microsoft.com/office/2022/10/relationships/richValueRel" Target="richData/richValueRel.xml"/><Relationship Id="rId5" Type="http://schemas.openxmlformats.org/officeDocument/2006/relationships/sheetMetadata" Target="metadata.xml"/><Relationship Id="rId10" Type="http://schemas.openxmlformats.org/officeDocument/2006/relationships/calcChain" Target="calcChain.xml"/><Relationship Id="rId4" Type="http://schemas.openxmlformats.org/officeDocument/2006/relationships/sharedStrings" Target="sharedStrings.xml"/><Relationship Id="rId9" Type="http://schemas.microsoft.com/office/2017/06/relationships/rdRichValueTypes" Target="richData/rdRichValueTyp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27</xdr:col>
      <xdr:colOff>43543</xdr:colOff>
      <xdr:row>14</xdr:row>
      <xdr:rowOff>87085</xdr:rowOff>
    </xdr:from>
    <xdr:to>
      <xdr:col>29</xdr:col>
      <xdr:colOff>21771</xdr:colOff>
      <xdr:row>19</xdr:row>
      <xdr:rowOff>97971</xdr:rowOff>
    </xdr:to>
    <xdr:cxnSp macro="">
      <xdr:nvCxnSpPr>
        <xdr:cNvPr id="10" name="Straight Arrow Connector 9">
          <a:extLst>
            <a:ext uri="{FF2B5EF4-FFF2-40B4-BE49-F238E27FC236}">
              <a16:creationId xmlns:a16="http://schemas.microsoft.com/office/drawing/2014/main" id="{3B4A4563-A764-0313-881E-57C0AF14A879}"/>
            </a:ext>
          </a:extLst>
        </xdr:cNvPr>
        <xdr:cNvCxnSpPr/>
      </xdr:nvCxnSpPr>
      <xdr:spPr>
        <a:xfrm flipH="1" flipV="1">
          <a:off x="15523029" y="2688771"/>
          <a:ext cx="1197428" cy="892629"/>
        </a:xfrm>
        <a:prstGeom prst="straightConnector1">
          <a:avLst/>
        </a:prstGeom>
        <a:ln>
          <a:solidFill>
            <a:sysClr val="windowText" lastClr="000000"/>
          </a:solidFill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600891</xdr:colOff>
      <xdr:row>33</xdr:row>
      <xdr:rowOff>87086</xdr:rowOff>
    </xdr:from>
    <xdr:to>
      <xdr:col>12</xdr:col>
      <xdr:colOff>87086</xdr:colOff>
      <xdr:row>41</xdr:row>
      <xdr:rowOff>39188</xdr:rowOff>
    </xdr:to>
    <xdr:grpSp>
      <xdr:nvGrpSpPr>
        <xdr:cNvPr id="8" name="Group 7">
          <a:extLst>
            <a:ext uri="{FF2B5EF4-FFF2-40B4-BE49-F238E27FC236}">
              <a16:creationId xmlns:a16="http://schemas.microsoft.com/office/drawing/2014/main" id="{5C1C436D-884E-59AF-0082-5F034A867268}"/>
            </a:ext>
          </a:extLst>
        </xdr:cNvPr>
        <xdr:cNvGrpSpPr/>
      </xdr:nvGrpSpPr>
      <xdr:grpSpPr>
        <a:xfrm>
          <a:off x="7027545" y="6346372"/>
          <a:ext cx="80827" cy="1448887"/>
          <a:chOff x="7306491" y="6008915"/>
          <a:chExt cx="95795" cy="1371599"/>
        </a:xfrm>
      </xdr:grpSpPr>
      <xdr:sp macro="" textlink="">
        <xdr:nvSpPr>
          <xdr:cNvPr id="3" name="Freeform: Shape 2">
            <a:extLst>
              <a:ext uri="{FF2B5EF4-FFF2-40B4-BE49-F238E27FC236}">
                <a16:creationId xmlns:a16="http://schemas.microsoft.com/office/drawing/2014/main" id="{6D7B0B6B-9BA0-0FC8-E263-67ECE5022B7B}"/>
              </a:ext>
            </a:extLst>
          </xdr:cNvPr>
          <xdr:cNvSpPr/>
        </xdr:nvSpPr>
        <xdr:spPr>
          <a:xfrm>
            <a:off x="7325022" y="6008915"/>
            <a:ext cx="77264" cy="1321525"/>
          </a:xfrm>
          <a:custGeom>
            <a:avLst/>
            <a:gdLst>
              <a:gd name="connsiteX0" fmla="*/ 1064 w 66378"/>
              <a:gd name="connsiteY0" fmla="*/ 0 h 1436914"/>
              <a:gd name="connsiteX1" fmla="*/ 66378 w 66378"/>
              <a:gd name="connsiteY1" fmla="*/ 859971 h 1436914"/>
              <a:gd name="connsiteX2" fmla="*/ 1064 w 66378"/>
              <a:gd name="connsiteY2" fmla="*/ 1436914 h 1436914"/>
            </a:gdLst>
            <a:ahLst/>
            <a:cxnLst>
              <a:cxn ang="0">
                <a:pos x="connsiteX0" y="connsiteY0"/>
              </a:cxn>
              <a:cxn ang="0">
                <a:pos x="connsiteX1" y="connsiteY1"/>
              </a:cxn>
              <a:cxn ang="0">
                <a:pos x="connsiteX2" y="connsiteY2"/>
              </a:cxn>
            </a:cxnLst>
            <a:rect l="l" t="t" r="r" b="b"/>
            <a:pathLst>
              <a:path w="66378" h="1436914">
                <a:moveTo>
                  <a:pt x="1064" y="0"/>
                </a:moveTo>
                <a:cubicBezTo>
                  <a:pt x="33721" y="310242"/>
                  <a:pt x="66378" y="620485"/>
                  <a:pt x="66378" y="859971"/>
                </a:cubicBezTo>
                <a:cubicBezTo>
                  <a:pt x="66378" y="1099457"/>
                  <a:pt x="-9822" y="1371600"/>
                  <a:pt x="1064" y="1436914"/>
                </a:cubicBezTo>
              </a:path>
            </a:pathLst>
          </a:custGeom>
        </xdr:spPr>
        <xdr:style>
          <a:lnRef idx="1">
            <a:schemeClr val="dk1"/>
          </a:lnRef>
          <a:fillRef idx="0">
            <a:schemeClr val="dk1"/>
          </a:fillRef>
          <a:effectRef idx="0">
            <a:schemeClr val="dk1"/>
          </a:effectRef>
          <a:fontRef idx="minor">
            <a:schemeClr val="tx1"/>
          </a:fontRef>
        </xdr:style>
        <xdr:txBody>
          <a:bodyPr vertOverflow="clip" horzOverflow="clip" rtlCol="0" anchor="t"/>
          <a:lstStyle/>
          <a:p>
            <a:pPr algn="l"/>
            <a:endParaRPr lang="en-US" sz="1100"/>
          </a:p>
        </xdr:txBody>
      </xdr:sp>
      <xdr:cxnSp macro="">
        <xdr:nvCxnSpPr>
          <xdr:cNvPr id="5" name="Straight Arrow Connector 4">
            <a:extLst>
              <a:ext uri="{FF2B5EF4-FFF2-40B4-BE49-F238E27FC236}">
                <a16:creationId xmlns:a16="http://schemas.microsoft.com/office/drawing/2014/main" id="{97A2C357-24E3-5BDB-942B-7C8EDB60E18A}"/>
              </a:ext>
            </a:extLst>
          </xdr:cNvPr>
          <xdr:cNvCxnSpPr/>
        </xdr:nvCxnSpPr>
        <xdr:spPr>
          <a:xfrm flipH="1">
            <a:off x="7306491" y="7238999"/>
            <a:ext cx="24124" cy="141515"/>
          </a:xfrm>
          <a:prstGeom prst="straightConnector1">
            <a:avLst/>
          </a:prstGeom>
          <a:ln>
            <a:tailEnd type="triangle"/>
          </a:ln>
        </xdr:spPr>
        <xdr:style>
          <a:lnRef idx="1">
            <a:schemeClr val="dk1"/>
          </a:lnRef>
          <a:fillRef idx="0">
            <a:schemeClr val="dk1"/>
          </a:fillRef>
          <a:effectRef idx="0">
            <a:schemeClr val="dk1"/>
          </a:effectRef>
          <a:fontRef idx="minor">
            <a:schemeClr val="tx1"/>
          </a:fontRef>
        </xdr:style>
      </xdr:cxnSp>
    </xdr:grpSp>
    <xdr:clientData/>
  </xdr:twoCellAnchor>
  <xdr:twoCellAnchor>
    <xdr:from>
      <xdr:col>22</xdr:col>
      <xdr:colOff>2177</xdr:colOff>
      <xdr:row>33</xdr:row>
      <xdr:rowOff>87086</xdr:rowOff>
    </xdr:from>
    <xdr:to>
      <xdr:col>22</xdr:col>
      <xdr:colOff>97972</xdr:colOff>
      <xdr:row>41</xdr:row>
      <xdr:rowOff>39188</xdr:rowOff>
    </xdr:to>
    <xdr:grpSp>
      <xdr:nvGrpSpPr>
        <xdr:cNvPr id="9" name="Group 8">
          <a:extLst>
            <a:ext uri="{FF2B5EF4-FFF2-40B4-BE49-F238E27FC236}">
              <a16:creationId xmlns:a16="http://schemas.microsoft.com/office/drawing/2014/main" id="{6BE1AE1E-5251-4CC1-8547-2C6DECB6B4CC}"/>
            </a:ext>
          </a:extLst>
        </xdr:cNvPr>
        <xdr:cNvGrpSpPr/>
      </xdr:nvGrpSpPr>
      <xdr:grpSpPr>
        <a:xfrm>
          <a:off x="12439106" y="6346372"/>
          <a:ext cx="95795" cy="1448887"/>
          <a:chOff x="7306491" y="6008915"/>
          <a:chExt cx="95795" cy="1371599"/>
        </a:xfrm>
      </xdr:grpSpPr>
      <xdr:sp macro="" textlink="">
        <xdr:nvSpPr>
          <xdr:cNvPr id="11" name="Freeform: Shape 10">
            <a:extLst>
              <a:ext uri="{FF2B5EF4-FFF2-40B4-BE49-F238E27FC236}">
                <a16:creationId xmlns:a16="http://schemas.microsoft.com/office/drawing/2014/main" id="{F06DFB4D-E86C-C5D3-5045-6F18F0D7562B}"/>
              </a:ext>
            </a:extLst>
          </xdr:cNvPr>
          <xdr:cNvSpPr/>
        </xdr:nvSpPr>
        <xdr:spPr>
          <a:xfrm>
            <a:off x="7325022" y="6008915"/>
            <a:ext cx="77264" cy="1321525"/>
          </a:xfrm>
          <a:custGeom>
            <a:avLst/>
            <a:gdLst>
              <a:gd name="connsiteX0" fmla="*/ 1064 w 66378"/>
              <a:gd name="connsiteY0" fmla="*/ 0 h 1436914"/>
              <a:gd name="connsiteX1" fmla="*/ 66378 w 66378"/>
              <a:gd name="connsiteY1" fmla="*/ 859971 h 1436914"/>
              <a:gd name="connsiteX2" fmla="*/ 1064 w 66378"/>
              <a:gd name="connsiteY2" fmla="*/ 1436914 h 1436914"/>
            </a:gdLst>
            <a:ahLst/>
            <a:cxnLst>
              <a:cxn ang="0">
                <a:pos x="connsiteX0" y="connsiteY0"/>
              </a:cxn>
              <a:cxn ang="0">
                <a:pos x="connsiteX1" y="connsiteY1"/>
              </a:cxn>
              <a:cxn ang="0">
                <a:pos x="connsiteX2" y="connsiteY2"/>
              </a:cxn>
            </a:cxnLst>
            <a:rect l="l" t="t" r="r" b="b"/>
            <a:pathLst>
              <a:path w="66378" h="1436914">
                <a:moveTo>
                  <a:pt x="1064" y="0"/>
                </a:moveTo>
                <a:cubicBezTo>
                  <a:pt x="33721" y="310242"/>
                  <a:pt x="66378" y="620485"/>
                  <a:pt x="66378" y="859971"/>
                </a:cubicBezTo>
                <a:cubicBezTo>
                  <a:pt x="66378" y="1099457"/>
                  <a:pt x="-9822" y="1371600"/>
                  <a:pt x="1064" y="1436914"/>
                </a:cubicBezTo>
              </a:path>
            </a:pathLst>
          </a:custGeom>
        </xdr:spPr>
        <xdr:style>
          <a:lnRef idx="1">
            <a:schemeClr val="dk1"/>
          </a:lnRef>
          <a:fillRef idx="0">
            <a:schemeClr val="dk1"/>
          </a:fillRef>
          <a:effectRef idx="0">
            <a:schemeClr val="dk1"/>
          </a:effectRef>
          <a:fontRef idx="minor">
            <a:schemeClr val="tx1"/>
          </a:fontRef>
        </xdr:style>
        <xdr:txBody>
          <a:bodyPr vertOverflow="clip" horzOverflow="clip" rtlCol="0" anchor="t"/>
          <a:lstStyle/>
          <a:p>
            <a:pPr algn="l"/>
            <a:endParaRPr lang="en-US" sz="1100"/>
          </a:p>
        </xdr:txBody>
      </xdr:sp>
      <xdr:cxnSp macro="">
        <xdr:nvCxnSpPr>
          <xdr:cNvPr id="12" name="Straight Arrow Connector 11">
            <a:extLst>
              <a:ext uri="{FF2B5EF4-FFF2-40B4-BE49-F238E27FC236}">
                <a16:creationId xmlns:a16="http://schemas.microsoft.com/office/drawing/2014/main" id="{B60878DC-A1FA-4B21-F0B5-B32D73E728BA}"/>
              </a:ext>
            </a:extLst>
          </xdr:cNvPr>
          <xdr:cNvCxnSpPr/>
        </xdr:nvCxnSpPr>
        <xdr:spPr>
          <a:xfrm flipH="1">
            <a:off x="7306491" y="7238999"/>
            <a:ext cx="24124" cy="141515"/>
          </a:xfrm>
          <a:prstGeom prst="straightConnector1">
            <a:avLst/>
          </a:prstGeom>
          <a:ln>
            <a:tailEnd type="triangle"/>
          </a:ln>
        </xdr:spPr>
        <xdr:style>
          <a:lnRef idx="1">
            <a:schemeClr val="dk1"/>
          </a:lnRef>
          <a:fillRef idx="0">
            <a:schemeClr val="dk1"/>
          </a:fillRef>
          <a:effectRef idx="0">
            <a:schemeClr val="dk1"/>
          </a:effectRef>
          <a:fontRef idx="minor">
            <a:schemeClr val="tx1"/>
          </a:fontRef>
        </xdr:style>
      </xdr:cxnSp>
    </xdr:grpSp>
    <xdr:clientData/>
  </xdr:twoCellAnchor>
</xdr:wsDr>
</file>

<file path=xl/richData/_rels/richValueRel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richData/rdRichValueTypes.xml><?xml version="1.0" encoding="utf-8"?>
<rvTypesInfo xmlns="http://schemas.microsoft.com/office/spreadsheetml/2017/richdata2" xmlns:mc="http://schemas.openxmlformats.org/markup-compatibility/2006" xmlns:x="http://schemas.openxmlformats.org/spreadsheetml/2006/main" mc:Ignorable="x">
  <global>
    <keyFlags>
      <key name="_Self">
        <flag name="ExcludeFromFile" value="1"/>
        <flag name="ExcludeFromCalcComparison" value="1"/>
      </key>
      <key name="_DisplayString">
        <flag name="ExcludeFromCalcComparison" value="1"/>
      </key>
      <key name="_Flags">
        <flag name="ExcludeFromCalcComparison" value="1"/>
      </key>
      <key name="_Format">
        <flag name="ExcludeFromCalcComparison" value="1"/>
      </key>
      <key name="_SubLabel">
        <flag name="ExcludeFromCalcComparison" value="1"/>
      </key>
      <key name="_Attribution">
        <flag name="ExcludeFromCalcComparison" value="1"/>
      </key>
      <key name="_Icon">
        <flag name="ExcludeFromCalcComparison" value="1"/>
      </key>
      <key name="_Display">
        <flag name="ExcludeFromCalcComparison" value="1"/>
      </key>
      <key name="_CanonicalPropertyNames">
        <flag name="ExcludeFromCalcComparison" value="1"/>
      </key>
      <key name="_ClassificationId">
        <flag name="ExcludeFromCalcComparison" value="1"/>
      </key>
    </keyFlags>
  </global>
</rvTypesInfo>
</file>

<file path=xl/richData/rdrichvalue.xml><?xml version="1.0" encoding="utf-8"?>
<rvData xmlns="http://schemas.microsoft.com/office/spreadsheetml/2017/richdata" count="1">
  <rv s="0">
    <v>0</v>
    <v>5</v>
  </rv>
</rvData>
</file>

<file path=xl/richData/rdrichvaluestructure.xml><?xml version="1.0" encoding="utf-8"?>
<rvStructures xmlns="http://schemas.microsoft.com/office/spreadsheetml/2017/richdata" count="1">
  <s t="_localImage">
    <k n="_rvRel:LocalImageIdentifier" t="i"/>
    <k n="CalcOrigin" t="i"/>
  </s>
</rvStructures>
</file>

<file path=xl/richData/richValueRel.xml><?xml version="1.0" encoding="utf-8"?>
<richValueRels xmlns="http://schemas.microsoft.com/office/spreadsheetml/2022/richvaluerel" xmlns:r="http://schemas.openxmlformats.org/officeDocument/2006/relationships">
  <rel r:id="rId1"/>
</richValueRels>
</file>

<file path=xl/theme/theme1.xml><?xml version="1.0" encoding="utf-8"?>
<a:theme xmlns:a="http://schemas.openxmlformats.org/drawingml/2006/main" name="Office 2013 – 2022-Design">
  <a:themeElements>
    <a:clrScheme name="Office 2013 –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–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–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hyperlink" Target="http://www.platypus-ideas.com/" TargetMode="External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054A001-12C1-4209-8ECB-71A86D4F29F3}">
  <dimension ref="A1:AW82"/>
  <sheetViews>
    <sheetView tabSelected="1" zoomScale="70" zoomScaleNormal="70" workbookViewId="0">
      <selection activeCell="AK54" sqref="AK54"/>
    </sheetView>
  </sheetViews>
  <sheetFormatPr baseColWidth="10" defaultColWidth="8.85546875" defaultRowHeight="14.25" x14ac:dyDescent="0.2"/>
  <cols>
    <col min="1" max="12" width="8.85546875" style="1"/>
    <col min="13" max="13" width="1.7109375" style="1" customWidth="1"/>
    <col min="14" max="21" width="8.85546875" style="1"/>
    <col min="22" max="22" width="9.42578125" style="1" customWidth="1"/>
    <col min="23" max="23" width="4.140625" style="1" customWidth="1"/>
    <col min="24" max="29" width="8.85546875" style="1"/>
    <col min="30" max="30" width="13" style="1" customWidth="1"/>
    <col min="31" max="31" width="8.85546875" style="1"/>
    <col min="32" max="32" width="12.7109375" style="1" customWidth="1"/>
    <col min="33" max="16384" width="8.85546875" style="1"/>
  </cols>
  <sheetData>
    <row r="1" spans="1:49" x14ac:dyDescent="0.2">
      <c r="AB1" s="33">
        <v>1</v>
      </c>
      <c r="AC1" s="33">
        <f>+AB1+1</f>
        <v>2</v>
      </c>
      <c r="AD1" s="33">
        <f t="shared" ref="AD1:AF1" si="0">+AC1+1</f>
        <v>3</v>
      </c>
      <c r="AE1" s="33">
        <f t="shared" si="0"/>
        <v>4</v>
      </c>
      <c r="AF1" s="33">
        <f t="shared" si="0"/>
        <v>5</v>
      </c>
    </row>
    <row r="2" spans="1:49" x14ac:dyDescent="0.2">
      <c r="AH2" s="43"/>
      <c r="AI2" s="43"/>
      <c r="AJ2" s="44"/>
      <c r="AK2" s="43"/>
      <c r="AL2" s="43"/>
    </row>
    <row r="3" spans="1:49" x14ac:dyDescent="0.2">
      <c r="AH3" s="43"/>
      <c r="AI3" s="43"/>
      <c r="AJ3" s="44"/>
      <c r="AK3" s="43"/>
      <c r="AL3" s="43"/>
    </row>
    <row r="4" spans="1:49" ht="26.25" x14ac:dyDescent="0.2">
      <c r="A4" s="142"/>
      <c r="B4" s="142"/>
      <c r="C4" s="142"/>
      <c r="D4" s="140" t="s">
        <v>152</v>
      </c>
      <c r="E4" s="141"/>
      <c r="F4" s="141"/>
      <c r="G4" s="141"/>
      <c r="H4" s="141"/>
      <c r="I4" s="141"/>
      <c r="J4" s="141"/>
      <c r="K4" s="141"/>
      <c r="L4" s="141"/>
      <c r="M4" s="141"/>
      <c r="N4" s="141"/>
      <c r="O4" s="141"/>
      <c r="P4" s="141"/>
      <c r="Q4" s="141"/>
      <c r="R4" s="141"/>
      <c r="S4" s="141"/>
      <c r="T4" s="141"/>
      <c r="U4" s="141"/>
      <c r="V4" s="141"/>
      <c r="W4" s="141"/>
      <c r="X4" s="141"/>
      <c r="Y4" s="141"/>
      <c r="Z4" s="141"/>
      <c r="AA4" s="141"/>
      <c r="AB4" s="141"/>
      <c r="AC4" s="141"/>
      <c r="AD4" s="141"/>
      <c r="AE4" s="141"/>
      <c r="AF4" s="141"/>
      <c r="AH4" s="43"/>
      <c r="AI4" s="43"/>
      <c r="AJ4" s="44"/>
      <c r="AK4" s="43"/>
      <c r="AL4" s="43"/>
    </row>
    <row r="5" spans="1:49" x14ac:dyDescent="0.2">
      <c r="AH5" s="43"/>
      <c r="AI5" s="43"/>
      <c r="AJ5" s="44"/>
      <c r="AK5" s="43"/>
      <c r="AL5" s="43"/>
    </row>
    <row r="6" spans="1:49" ht="15" x14ac:dyDescent="0.25">
      <c r="D6" s="13" t="s">
        <v>29</v>
      </c>
      <c r="E6" s="12"/>
      <c r="F6" s="12"/>
      <c r="G6" s="12"/>
      <c r="H6" s="12"/>
      <c r="I6" s="12"/>
      <c r="J6" s="12"/>
      <c r="K6" s="12"/>
      <c r="L6" s="12"/>
      <c r="N6" s="13" t="s">
        <v>39</v>
      </c>
      <c r="O6" s="12"/>
      <c r="P6" s="12"/>
      <c r="Q6" s="12"/>
      <c r="R6" s="12"/>
      <c r="S6" s="12"/>
      <c r="T6" s="12"/>
      <c r="U6" s="12"/>
      <c r="V6" s="12"/>
      <c r="X6" s="13" t="s">
        <v>100</v>
      </c>
      <c r="Y6" s="12"/>
      <c r="Z6" s="12"/>
      <c r="AA6" s="12"/>
      <c r="AB6" s="12"/>
      <c r="AC6" s="12"/>
      <c r="AD6" s="12"/>
      <c r="AE6" s="12"/>
      <c r="AF6" s="12"/>
      <c r="AH6" s="43"/>
      <c r="AI6" s="43"/>
      <c r="AJ6" s="44"/>
      <c r="AK6" s="43"/>
      <c r="AL6" s="43"/>
    </row>
    <row r="7" spans="1:49" x14ac:dyDescent="0.2">
      <c r="AH7" s="43"/>
      <c r="AI7" s="43"/>
      <c r="AJ7" s="44"/>
      <c r="AK7" s="43"/>
      <c r="AL7" s="43"/>
    </row>
    <row r="8" spans="1:49" ht="15" x14ac:dyDescent="0.25">
      <c r="G8" s="15" t="s">
        <v>11</v>
      </c>
      <c r="H8" s="15" t="s">
        <v>12</v>
      </c>
      <c r="I8" s="15" t="s">
        <v>13</v>
      </c>
      <c r="J8" s="15" t="s">
        <v>14</v>
      </c>
      <c r="K8" s="15" t="s">
        <v>15</v>
      </c>
      <c r="L8" s="15" t="s">
        <v>16</v>
      </c>
      <c r="Q8" s="15" t="s">
        <v>11</v>
      </c>
      <c r="R8" s="15" t="s">
        <v>12</v>
      </c>
      <c r="S8" s="15" t="s">
        <v>13</v>
      </c>
      <c r="T8" s="15" t="s">
        <v>14</v>
      </c>
      <c r="U8" s="15" t="s">
        <v>15</v>
      </c>
      <c r="V8" s="15" t="s">
        <v>16</v>
      </c>
      <c r="AA8" s="15" t="s">
        <v>11</v>
      </c>
      <c r="AB8" s="15" t="s">
        <v>12</v>
      </c>
      <c r="AC8" s="15" t="s">
        <v>13</v>
      </c>
      <c r="AD8" s="15" t="s">
        <v>14</v>
      </c>
      <c r="AE8" s="15" t="s">
        <v>15</v>
      </c>
      <c r="AF8" s="15" t="s">
        <v>16</v>
      </c>
      <c r="AH8" s="43"/>
      <c r="AI8" s="43"/>
      <c r="AJ8" s="44"/>
      <c r="AK8" s="43"/>
      <c r="AL8" s="43"/>
    </row>
    <row r="10" spans="1:49" ht="15" x14ac:dyDescent="0.25">
      <c r="D10" s="72" t="s">
        <v>23</v>
      </c>
      <c r="E10" s="73"/>
      <c r="F10" s="73"/>
      <c r="G10" s="73"/>
      <c r="H10" s="73"/>
      <c r="I10" s="73"/>
      <c r="J10" s="73"/>
      <c r="K10" s="73"/>
      <c r="L10" s="73"/>
      <c r="N10" s="75" t="s">
        <v>117</v>
      </c>
      <c r="O10" s="76"/>
      <c r="P10" s="76"/>
      <c r="Q10" s="76"/>
      <c r="R10" s="76"/>
      <c r="S10" s="76"/>
      <c r="T10" s="76"/>
      <c r="U10" s="76"/>
      <c r="V10" s="76"/>
      <c r="X10" s="88" t="s">
        <v>75</v>
      </c>
      <c r="Y10" s="89"/>
      <c r="Z10" s="89"/>
      <c r="AA10" s="89"/>
      <c r="AB10" s="89"/>
      <c r="AC10" s="89"/>
      <c r="AD10" s="89"/>
      <c r="AE10" s="89"/>
      <c r="AF10" s="89"/>
    </row>
    <row r="11" spans="1:49" ht="15" x14ac:dyDescent="0.25">
      <c r="D11" s="10"/>
      <c r="AI11" s="18" t="s">
        <v>118</v>
      </c>
      <c r="AJ11" s="19"/>
      <c r="AK11" s="19"/>
      <c r="AL11" s="19"/>
      <c r="AM11" s="19"/>
      <c r="AN11" s="19"/>
      <c r="AO11" s="19"/>
      <c r="AP11" s="19"/>
      <c r="AQ11" s="19"/>
      <c r="AR11" s="19"/>
      <c r="AS11" s="19"/>
      <c r="AT11" s="19"/>
      <c r="AU11" s="19"/>
      <c r="AV11" s="19"/>
      <c r="AW11" s="19"/>
    </row>
    <row r="12" spans="1:49" ht="15" x14ac:dyDescent="0.25">
      <c r="D12" s="77" t="s">
        <v>26</v>
      </c>
      <c r="E12" s="59"/>
      <c r="F12" s="145" t="s">
        <v>135</v>
      </c>
      <c r="G12" s="59"/>
      <c r="H12" s="59"/>
      <c r="I12" s="59"/>
      <c r="J12" s="59"/>
      <c r="K12" s="59"/>
      <c r="L12" s="59"/>
      <c r="M12" s="59"/>
      <c r="N12" s="78" t="s">
        <v>26</v>
      </c>
      <c r="O12" s="59"/>
      <c r="P12" s="59"/>
      <c r="Q12" s="59"/>
      <c r="R12" s="59"/>
      <c r="S12" s="59"/>
      <c r="T12" s="59"/>
      <c r="U12" s="59"/>
      <c r="V12" s="79"/>
      <c r="X12" s="1" t="s">
        <v>42</v>
      </c>
      <c r="AA12" s="126">
        <v>0.03</v>
      </c>
      <c r="AB12" s="5"/>
      <c r="AC12" s="5"/>
      <c r="AD12" s="5"/>
      <c r="AE12" s="5"/>
      <c r="AF12" s="5"/>
    </row>
    <row r="13" spans="1:49" x14ac:dyDescent="0.2">
      <c r="D13" s="50" t="s">
        <v>24</v>
      </c>
      <c r="G13" s="4">
        <v>5</v>
      </c>
      <c r="H13" s="1">
        <f t="shared" ref="H13:L14" si="1">+G13*(1+R13)</f>
        <v>5.0999999999999996</v>
      </c>
      <c r="I13" s="1">
        <f t="shared" si="1"/>
        <v>5.202</v>
      </c>
      <c r="J13" s="1">
        <f t="shared" si="1"/>
        <v>5.3060400000000003</v>
      </c>
      <c r="K13" s="1">
        <f t="shared" si="1"/>
        <v>5.4121608000000005</v>
      </c>
      <c r="L13" s="1">
        <f t="shared" si="1"/>
        <v>5.5204040160000005</v>
      </c>
      <c r="N13" s="1" t="s">
        <v>85</v>
      </c>
      <c r="Q13" s="80">
        <v>0.02</v>
      </c>
      <c r="R13" s="81">
        <f>+Q13</f>
        <v>0.02</v>
      </c>
      <c r="S13" s="81">
        <f>+R13</f>
        <v>0.02</v>
      </c>
      <c r="T13" s="81">
        <f>+S13</f>
        <v>0.02</v>
      </c>
      <c r="U13" s="81">
        <f>+T13</f>
        <v>0.02</v>
      </c>
      <c r="V13" s="82">
        <f>+U13</f>
        <v>0.02</v>
      </c>
      <c r="X13" s="1" t="s">
        <v>43</v>
      </c>
      <c r="AA13" s="127">
        <f>+AA12+3%</f>
        <v>0.06</v>
      </c>
      <c r="AB13" s="5"/>
      <c r="AC13" s="5"/>
      <c r="AD13" s="5"/>
      <c r="AE13" s="5"/>
      <c r="AF13" s="5"/>
      <c r="AI13" s="1" t="s">
        <v>113</v>
      </c>
      <c r="AJ13" s="1">
        <f ca="1">+Q58</f>
        <v>677.72477671117508</v>
      </c>
    </row>
    <row r="14" spans="1:49" x14ac:dyDescent="0.2">
      <c r="D14" s="50" t="s">
        <v>25</v>
      </c>
      <c r="G14" s="4">
        <v>7</v>
      </c>
      <c r="H14" s="1">
        <f t="shared" si="1"/>
        <v>7.1400000000000006</v>
      </c>
      <c r="I14" s="1">
        <f t="shared" si="1"/>
        <v>7.2828000000000008</v>
      </c>
      <c r="J14" s="1">
        <f t="shared" si="1"/>
        <v>7.4284560000000006</v>
      </c>
      <c r="K14" s="1">
        <f t="shared" si="1"/>
        <v>7.5770251200000009</v>
      </c>
      <c r="L14" s="1">
        <f t="shared" si="1"/>
        <v>7.7285656224000014</v>
      </c>
      <c r="N14" s="1" t="s">
        <v>35</v>
      </c>
      <c r="Q14" s="83">
        <f>+Q44</f>
        <v>0.02</v>
      </c>
      <c r="R14" s="81">
        <f>+Q14</f>
        <v>0.02</v>
      </c>
      <c r="S14" s="81">
        <f t="shared" ref="S14:V14" si="2">+R14</f>
        <v>0.02</v>
      </c>
      <c r="T14" s="81">
        <f t="shared" si="2"/>
        <v>0.02</v>
      </c>
      <c r="U14" s="81">
        <f t="shared" si="2"/>
        <v>0.02</v>
      </c>
      <c r="V14" s="82">
        <f t="shared" si="2"/>
        <v>0.02</v>
      </c>
      <c r="X14" s="1" t="s">
        <v>4</v>
      </c>
      <c r="AA14" s="128">
        <v>0.35</v>
      </c>
      <c r="AB14" s="5"/>
      <c r="AC14" s="5"/>
      <c r="AD14" s="5"/>
      <c r="AE14" s="5"/>
      <c r="AF14" s="5"/>
      <c r="AI14" s="1" t="s">
        <v>112</v>
      </c>
      <c r="AJ14" s="4">
        <v>678</v>
      </c>
    </row>
    <row r="15" spans="1:49" ht="15" x14ac:dyDescent="0.25">
      <c r="D15" s="50" t="s">
        <v>27</v>
      </c>
      <c r="G15" s="4">
        <v>2</v>
      </c>
      <c r="H15" s="1">
        <f>+G15*(1+R44)</f>
        <v>2.04</v>
      </c>
      <c r="I15" s="1">
        <f>+H15*(1+S44)</f>
        <v>2.0808</v>
      </c>
      <c r="J15" s="1">
        <f>+I15*(1+T44)</f>
        <v>2.1224159999999999</v>
      </c>
      <c r="K15" s="1">
        <f>+J15*(1+U44)</f>
        <v>2.16486432</v>
      </c>
      <c r="L15" s="1">
        <f>+K15*(1+V44)</f>
        <v>2.2081616064</v>
      </c>
      <c r="N15" s="9" t="s">
        <v>36</v>
      </c>
      <c r="O15" s="9"/>
      <c r="P15" s="9"/>
      <c r="Q15" s="28">
        <f t="shared" ref="Q15:V15" si="3">+G14/G16</f>
        <v>2.3333333333333335</v>
      </c>
      <c r="R15" s="28">
        <f t="shared" si="3"/>
        <v>2.3333333333333335</v>
      </c>
      <c r="S15" s="28">
        <f t="shared" si="3"/>
        <v>2.3333333333333335</v>
      </c>
      <c r="T15" s="28">
        <f t="shared" si="3"/>
        <v>2.3333333333333335</v>
      </c>
      <c r="U15" s="28">
        <f t="shared" si="3"/>
        <v>2.3333333333333335</v>
      </c>
      <c r="V15" s="84">
        <f t="shared" si="3"/>
        <v>2.3333333333333339</v>
      </c>
      <c r="X15" s="1" t="s">
        <v>77</v>
      </c>
      <c r="AA15" s="129">
        <v>1.5</v>
      </c>
      <c r="AI15" s="1" t="s">
        <v>114</v>
      </c>
      <c r="AJ15" s="42">
        <f ca="1">+AJ13/AJ14-1</f>
        <v>-4.0593405431399443E-4</v>
      </c>
    </row>
    <row r="16" spans="1:49" x14ac:dyDescent="0.2">
      <c r="D16" s="50" t="s">
        <v>34</v>
      </c>
      <c r="G16" s="4">
        <v>3</v>
      </c>
      <c r="H16" s="1">
        <f>+G16*(1+R44)</f>
        <v>3.06</v>
      </c>
      <c r="I16" s="1">
        <f>+H16*(1+S44)</f>
        <v>3.1212</v>
      </c>
      <c r="J16" s="1">
        <f>+I16*(1+T44)</f>
        <v>3.183624</v>
      </c>
      <c r="K16" s="1">
        <f>+J16*(1+U44)</f>
        <v>3.2472964800000002</v>
      </c>
      <c r="L16" s="1">
        <f>+K16*(1+V44)</f>
        <v>3.3122424096</v>
      </c>
      <c r="N16" s="1" t="s">
        <v>17</v>
      </c>
      <c r="Q16" s="81">
        <f t="shared" ref="Q16:V16" si="4">+(G14-G15)/G14</f>
        <v>0.7142857142857143</v>
      </c>
      <c r="R16" s="81">
        <f t="shared" si="4"/>
        <v>0.7142857142857143</v>
      </c>
      <c r="S16" s="81">
        <f t="shared" si="4"/>
        <v>0.7142857142857143</v>
      </c>
      <c r="T16" s="81">
        <f t="shared" si="4"/>
        <v>0.71428571428571441</v>
      </c>
      <c r="U16" s="81">
        <f t="shared" si="4"/>
        <v>0.7142857142857143</v>
      </c>
      <c r="V16" s="82">
        <f t="shared" si="4"/>
        <v>0.7142857142857143</v>
      </c>
      <c r="X16" s="1" t="s">
        <v>78</v>
      </c>
      <c r="AA16" s="130">
        <v>0.09</v>
      </c>
    </row>
    <row r="17" spans="4:49" ht="15" x14ac:dyDescent="0.25">
      <c r="D17" s="67" t="s">
        <v>138</v>
      </c>
      <c r="E17" s="9"/>
      <c r="F17" s="9"/>
      <c r="G17" s="9">
        <f>+G13*G14</f>
        <v>35</v>
      </c>
      <c r="H17" s="9">
        <f t="shared" ref="H17:L17" si="5">+H13*H14</f>
        <v>36.414000000000001</v>
      </c>
      <c r="I17" s="9">
        <f t="shared" si="5"/>
        <v>37.885125600000002</v>
      </c>
      <c r="J17" s="9">
        <f t="shared" si="5"/>
        <v>39.415684674240005</v>
      </c>
      <c r="K17" s="9">
        <f t="shared" si="5"/>
        <v>41.008078335079304</v>
      </c>
      <c r="L17" s="9">
        <f t="shared" si="5"/>
        <v>42.664804699816514</v>
      </c>
      <c r="N17" s="8" t="s">
        <v>37</v>
      </c>
      <c r="O17" s="8"/>
      <c r="P17" s="8"/>
      <c r="Q17" s="85">
        <f t="shared" ref="Q17:V17" si="6">+(G14-G15)/G16</f>
        <v>1.6666666666666667</v>
      </c>
      <c r="R17" s="85">
        <f t="shared" si="6"/>
        <v>1.6666666666666667</v>
      </c>
      <c r="S17" s="85">
        <f t="shared" si="6"/>
        <v>1.666666666666667</v>
      </c>
      <c r="T17" s="85">
        <f t="shared" si="6"/>
        <v>1.666666666666667</v>
      </c>
      <c r="U17" s="85">
        <f t="shared" si="6"/>
        <v>1.6666666666666667</v>
      </c>
      <c r="V17" s="64">
        <f t="shared" si="6"/>
        <v>1.666666666666667</v>
      </c>
      <c r="AI17" s="1" t="s">
        <v>110</v>
      </c>
      <c r="AM17" s="1" t="s">
        <v>111</v>
      </c>
      <c r="AQ17" s="1" t="s">
        <v>115</v>
      </c>
      <c r="AU17" s="1" t="s">
        <v>116</v>
      </c>
    </row>
    <row r="18" spans="4:49" ht="15" x14ac:dyDescent="0.25">
      <c r="D18" s="98" t="s">
        <v>142</v>
      </c>
      <c r="E18" s="66"/>
      <c r="F18" s="66"/>
      <c r="G18" s="86">
        <f>+G17/G$46</f>
        <v>0.24121295658166783</v>
      </c>
      <c r="H18" s="86">
        <f t="shared" ref="H18" si="7">+H17/H$46</f>
        <v>0.2376870919342654</v>
      </c>
      <c r="I18" s="86">
        <f t="shared" ref="I18" si="8">+I17/I$46</f>
        <v>0.23193464958219384</v>
      </c>
      <c r="J18" s="86">
        <f t="shared" ref="J18" si="9">+J17/J$46</f>
        <v>0.22385848802549393</v>
      </c>
      <c r="K18" s="86">
        <f t="shared" ref="K18" si="10">+K17/K$46</f>
        <v>0.21345990012101412</v>
      </c>
      <c r="L18" s="86">
        <f t="shared" ref="L18" si="11">+L17/L$46</f>
        <v>0.20086472417947093</v>
      </c>
      <c r="M18" s="66"/>
      <c r="N18" s="66" t="s">
        <v>66</v>
      </c>
      <c r="O18" s="66"/>
      <c r="P18" s="66"/>
      <c r="Q18" s="86">
        <f>+(G14-G15-G16)/G14</f>
        <v>0.2857142857142857</v>
      </c>
      <c r="R18" s="86">
        <f t="shared" ref="R18:V18" si="12">+(H14-H15-H16)/H14</f>
        <v>0.28571428571428575</v>
      </c>
      <c r="S18" s="86">
        <f t="shared" si="12"/>
        <v>0.28571428571428581</v>
      </c>
      <c r="T18" s="86">
        <f t="shared" si="12"/>
        <v>0.28571428571428586</v>
      </c>
      <c r="U18" s="86">
        <f t="shared" si="12"/>
        <v>0.28571428571428575</v>
      </c>
      <c r="V18" s="87">
        <f t="shared" si="12"/>
        <v>0.28571428571428586</v>
      </c>
      <c r="X18" s="88" t="s">
        <v>76</v>
      </c>
      <c r="Y18" s="89"/>
      <c r="Z18" s="89"/>
      <c r="AA18" s="89"/>
      <c r="AB18" s="89"/>
      <c r="AC18" s="89"/>
      <c r="AD18" s="89"/>
      <c r="AE18" s="89"/>
      <c r="AF18" s="89"/>
      <c r="AJ18" s="40">
        <f ca="1">+($AA$47-$Q$64)/$AJ$14-1</f>
        <v>-4.0593405431399443E-4</v>
      </c>
      <c r="AN18" s="40">
        <f ca="1">+($AA$47-$Q$64)/$AJ$14-1</f>
        <v>-4.0593405431399443E-4</v>
      </c>
      <c r="AR18" s="40">
        <f ca="1">+($AA$47-$Q$64)/$AJ$14-1</f>
        <v>-4.0593405431399443E-4</v>
      </c>
      <c r="AV18" s="40">
        <f ca="1">+($AA$47-$Q$64)/$AJ$14-1</f>
        <v>-4.0593405431399443E-4</v>
      </c>
    </row>
    <row r="19" spans="4:49" x14ac:dyDescent="0.2">
      <c r="X19" s="1" t="s">
        <v>72</v>
      </c>
      <c r="AA19" s="5">
        <f>+AA13</f>
        <v>0.06</v>
      </c>
      <c r="AI19" s="5">
        <v>0.02</v>
      </c>
      <c r="AJ19" s="36">
        <f t="dataTable" ref="AJ19:AJ25" dt2D="0" dtr="0" r1="Q13" ca="1"/>
        <v>-4.0584617482330998E-4</v>
      </c>
      <c r="AK19" s="31" t="str">
        <f>+IFERROR(AJ19/(AI19-$Q$13)*1%,"")</f>
        <v/>
      </c>
      <c r="AM19" s="5">
        <v>0.02</v>
      </c>
      <c r="AN19" s="36">
        <f t="dataTable" ref="AN19:AN25" dt2D="0" dtr="0" r1="Q21" ca="1"/>
        <v>-0.20025399518148579</v>
      </c>
      <c r="AO19" s="31">
        <f>+IFERROR(AN19/(AM19-$Q$21)*1%,"")</f>
        <v>5.0063498795371454E-2</v>
      </c>
      <c r="AQ19" s="5">
        <v>0.02</v>
      </c>
      <c r="AR19" s="36">
        <f t="dataTable" ref="AR19:AR25" dt2D="0" dtr="0" r1="Q14" ca="1"/>
        <v>-4.0571088268903654E-4</v>
      </c>
      <c r="AS19" s="31"/>
      <c r="AU19" s="5">
        <v>0.02</v>
      </c>
      <c r="AV19" s="36">
        <f t="dataTable" ref="AV19:AV25" dt2D="0" dtr="0" r1="Q22" ca="1"/>
        <v>-0.2097914135156953</v>
      </c>
      <c r="AW19" s="31">
        <f>+AV19/(AU19-$Q$22)*1%</f>
        <v>6.993047117189842E-2</v>
      </c>
    </row>
    <row r="20" spans="4:49" ht="15" x14ac:dyDescent="0.25">
      <c r="D20" s="77" t="s">
        <v>28</v>
      </c>
      <c r="E20" s="59"/>
      <c r="F20" s="145" t="s">
        <v>44</v>
      </c>
      <c r="G20" s="59"/>
      <c r="H20" s="59"/>
      <c r="I20" s="59"/>
      <c r="J20" s="59"/>
      <c r="K20" s="59"/>
      <c r="L20" s="59"/>
      <c r="M20" s="59"/>
      <c r="N20" s="78" t="s">
        <v>28</v>
      </c>
      <c r="O20" s="59"/>
      <c r="P20" s="59"/>
      <c r="Q20" s="59"/>
      <c r="R20" s="59"/>
      <c r="S20" s="59"/>
      <c r="T20" s="59"/>
      <c r="U20" s="59"/>
      <c r="V20" s="79"/>
      <c r="X20" s="1" t="s">
        <v>74</v>
      </c>
      <c r="AA20" s="5">
        <f ca="1">+V72</f>
        <v>0.16798687184754818</v>
      </c>
      <c r="AD20" s="68" t="s">
        <v>134</v>
      </c>
      <c r="AE20" s="56"/>
      <c r="AF20" s="49"/>
      <c r="AI20" s="5">
        <v>0.03</v>
      </c>
      <c r="AJ20" s="37">
        <v>3.461178103200635E-2</v>
      </c>
      <c r="AK20" s="31">
        <f t="shared" ref="AK20:AK25" si="13">+AJ20/(AI20-$Q$13)*1%</f>
        <v>3.4611781032006357E-2</v>
      </c>
      <c r="AM20" s="5">
        <f>+AM19+1%</f>
        <v>0.03</v>
      </c>
      <c r="AN20" s="37">
        <v>-0.15828624956103221</v>
      </c>
      <c r="AO20" s="31">
        <f t="shared" ref="AO20:AO25" si="14">+IFERROR(AN20/(AM20-$Q$21)*1%,"")</f>
        <v>5.2762083187010742E-2</v>
      </c>
      <c r="AQ20" s="5">
        <f>+AQ19+1%</f>
        <v>0.03</v>
      </c>
      <c r="AR20" s="37">
        <v>4.9530920860068273E-2</v>
      </c>
      <c r="AS20" s="31">
        <f t="shared" ref="AS20:AS25" si="15">+AR20/(AQ20-$Q$14)*1%</f>
        <v>4.953092086006828E-2</v>
      </c>
      <c r="AU20" s="5">
        <f>+AU19+1%</f>
        <v>0.03</v>
      </c>
      <c r="AV20" s="37">
        <v>-0.14736534703192528</v>
      </c>
      <c r="AW20" s="31">
        <f t="shared" ref="AW20:AW21" si="16">+AV20/(AU20-$Q$22)*1%</f>
        <v>7.3682673515962624E-2</v>
      </c>
    </row>
    <row r="21" spans="4:49" x14ac:dyDescent="0.2">
      <c r="D21" s="50" t="s">
        <v>24</v>
      </c>
      <c r="G21" s="99">
        <v>1.5</v>
      </c>
      <c r="H21" s="100">
        <f t="shared" ref="H21:L22" si="17">+G21*(1+R21)</f>
        <v>1.59</v>
      </c>
      <c r="I21" s="100">
        <f t="shared" si="17"/>
        <v>1.6854000000000002</v>
      </c>
      <c r="J21" s="100">
        <f t="shared" si="17"/>
        <v>1.7865240000000004</v>
      </c>
      <c r="K21" s="100">
        <f t="shared" si="17"/>
        <v>1.8937154400000005</v>
      </c>
      <c r="L21" s="100">
        <f t="shared" si="17"/>
        <v>2.0073383664000004</v>
      </c>
      <c r="N21" s="1" t="s">
        <v>85</v>
      </c>
      <c r="Q21" s="80">
        <v>0.06</v>
      </c>
      <c r="R21" s="81">
        <f>+Q21</f>
        <v>0.06</v>
      </c>
      <c r="S21" s="81">
        <f>+R21</f>
        <v>0.06</v>
      </c>
      <c r="T21" s="81">
        <f>+S21</f>
        <v>0.06</v>
      </c>
      <c r="U21" s="81">
        <f>+T21</f>
        <v>0.06</v>
      </c>
      <c r="V21" s="82">
        <f>+U21</f>
        <v>0.06</v>
      </c>
      <c r="AD21" s="50"/>
      <c r="AE21" s="71" t="s">
        <v>131</v>
      </c>
      <c r="AF21" s="51" t="s">
        <v>121</v>
      </c>
      <c r="AI21" s="5">
        <v>0.04</v>
      </c>
      <c r="AJ21" s="38">
        <v>7.3488102162426072E-2</v>
      </c>
      <c r="AK21" s="31">
        <f t="shared" si="13"/>
        <v>3.6744051081213036E-2</v>
      </c>
      <c r="AM21" s="5">
        <f t="shared" ref="AM21:AM25" si="18">+AM20+1%</f>
        <v>0.04</v>
      </c>
      <c r="AN21" s="38">
        <v>-0.11151830275152996</v>
      </c>
      <c r="AO21" s="31">
        <f t="shared" si="14"/>
        <v>5.5759151375764988E-2</v>
      </c>
      <c r="AQ21" s="5">
        <f t="shared" ref="AQ21:AQ25" si="19">+AQ20+1%</f>
        <v>0.04</v>
      </c>
      <c r="AR21" s="38">
        <v>0.10445322963188963</v>
      </c>
      <c r="AS21" s="31">
        <f t="shared" si="15"/>
        <v>5.2226614815944816E-2</v>
      </c>
      <c r="AU21" s="5">
        <f t="shared" ref="AU21:AU25" si="20">+AU20+1%</f>
        <v>0.04</v>
      </c>
      <c r="AV21" s="38">
        <v>-7.7971822721958683E-2</v>
      </c>
      <c r="AW21" s="31">
        <f t="shared" si="16"/>
        <v>7.797182272195867E-2</v>
      </c>
    </row>
    <row r="22" spans="4:49" ht="15" x14ac:dyDescent="0.25">
      <c r="D22" s="50" t="s">
        <v>25</v>
      </c>
      <c r="G22" s="4">
        <v>25</v>
      </c>
      <c r="H22" s="1">
        <f t="shared" si="17"/>
        <v>26.25</v>
      </c>
      <c r="I22" s="1">
        <f t="shared" si="17"/>
        <v>27.5625</v>
      </c>
      <c r="J22" s="1">
        <f t="shared" si="17"/>
        <v>28.940625000000001</v>
      </c>
      <c r="K22" s="1">
        <f t="shared" si="17"/>
        <v>30.387656250000003</v>
      </c>
      <c r="L22" s="1">
        <f t="shared" si="17"/>
        <v>31.907039062500004</v>
      </c>
      <c r="N22" s="1" t="s">
        <v>35</v>
      </c>
      <c r="Q22" s="80">
        <v>0.05</v>
      </c>
      <c r="R22" s="81">
        <f>+Q22</f>
        <v>0.05</v>
      </c>
      <c r="S22" s="81">
        <f t="shared" ref="S22:V22" si="21">+R22</f>
        <v>0.05</v>
      </c>
      <c r="T22" s="81">
        <f t="shared" si="21"/>
        <v>0.05</v>
      </c>
      <c r="U22" s="81">
        <f t="shared" si="21"/>
        <v>0.05</v>
      </c>
      <c r="V22" s="82">
        <f t="shared" si="21"/>
        <v>0.05</v>
      </c>
      <c r="X22" s="7" t="s">
        <v>79</v>
      </c>
      <c r="AD22" s="50" t="s">
        <v>122</v>
      </c>
      <c r="AF22" s="52"/>
      <c r="AI22" s="5">
        <v>0.05</v>
      </c>
      <c r="AJ22" s="38">
        <v>0.11673653238549786</v>
      </c>
      <c r="AK22" s="31">
        <f t="shared" si="13"/>
        <v>3.8912177461832613E-2</v>
      </c>
      <c r="AM22" s="5">
        <f t="shared" si="18"/>
        <v>0.05</v>
      </c>
      <c r="AN22" s="38">
        <v>-5.9199268355101253E-2</v>
      </c>
      <c r="AO22" s="31">
        <f t="shared" si="14"/>
        <v>5.9199268355101281E-2</v>
      </c>
      <c r="AQ22" s="5">
        <f t="shared" si="19"/>
        <v>0.05</v>
      </c>
      <c r="AR22" s="38">
        <v>0.16504098417460877</v>
      </c>
      <c r="AS22" s="31">
        <f t="shared" si="15"/>
        <v>5.5013661391536253E-2</v>
      </c>
      <c r="AU22" s="5">
        <f t="shared" si="20"/>
        <v>0.05</v>
      </c>
      <c r="AV22" s="38">
        <v>-4.0600193585027533E-4</v>
      </c>
      <c r="AW22" s="31"/>
    </row>
    <row r="23" spans="4:49" ht="15" x14ac:dyDescent="0.25">
      <c r="D23" s="50" t="s">
        <v>27</v>
      </c>
      <c r="G23" s="4">
        <v>10</v>
      </c>
      <c r="H23" s="1">
        <f>+G23*(1+R44)</f>
        <v>10.199999999999999</v>
      </c>
      <c r="I23" s="1">
        <f>+H23*(1+S44)</f>
        <v>10.404</v>
      </c>
      <c r="J23" s="1">
        <f>+I23*(1+T44)</f>
        <v>10.612080000000001</v>
      </c>
      <c r="K23" s="1">
        <f>+J23*(1+U44)</f>
        <v>10.824321600000001</v>
      </c>
      <c r="L23" s="1">
        <f>+K23*(1+V44)</f>
        <v>11.040808032000001</v>
      </c>
      <c r="N23" s="9" t="s">
        <v>36</v>
      </c>
      <c r="O23" s="9"/>
      <c r="P23" s="9"/>
      <c r="Q23" s="28">
        <f t="shared" ref="Q23:V23" si="22">+G22/G24</f>
        <v>5</v>
      </c>
      <c r="R23" s="28">
        <f t="shared" si="22"/>
        <v>5.1470588235294121</v>
      </c>
      <c r="S23" s="28">
        <f t="shared" si="22"/>
        <v>5.2984429065743948</v>
      </c>
      <c r="T23" s="28">
        <f t="shared" si="22"/>
        <v>5.4542794626501117</v>
      </c>
      <c r="U23" s="28">
        <f t="shared" si="22"/>
        <v>5.6146994468457034</v>
      </c>
      <c r="V23" s="84">
        <f t="shared" si="22"/>
        <v>5.779837665870577</v>
      </c>
      <c r="X23" s="30" t="s">
        <v>132</v>
      </c>
      <c r="AD23" s="50" t="s">
        <v>123</v>
      </c>
      <c r="AE23" s="46">
        <f t="shared" ref="AE23:AF27" si="23">+AM34/AM33-1</f>
        <v>7.4999999999999956E-2</v>
      </c>
      <c r="AF23" s="53">
        <f>+AN34/AN33-1</f>
        <v>1.4999999999999902E-2</v>
      </c>
      <c r="AI23" s="5">
        <v>6.0000000000000005E-2</v>
      </c>
      <c r="AJ23" s="38">
        <v>0.16496796291469584</v>
      </c>
      <c r="AK23" s="31">
        <f t="shared" si="13"/>
        <v>4.1241990728673954E-2</v>
      </c>
      <c r="AM23" s="5">
        <f t="shared" si="18"/>
        <v>6.0000000000000005E-2</v>
      </c>
      <c r="AN23" s="38">
        <v>-4.056018095973668E-4</v>
      </c>
      <c r="AO23" s="31"/>
      <c r="AQ23" s="5">
        <f t="shared" si="19"/>
        <v>6.0000000000000005E-2</v>
      </c>
      <c r="AR23" s="38">
        <v>0.23210777733290167</v>
      </c>
      <c r="AS23" s="31">
        <f t="shared" si="15"/>
        <v>5.8026944333225403E-2</v>
      </c>
      <c r="AU23" s="5">
        <f t="shared" si="20"/>
        <v>6.0000000000000005E-2</v>
      </c>
      <c r="AV23" s="38">
        <v>8.6830013046337973E-2</v>
      </c>
      <c r="AW23" s="31">
        <f t="shared" ref="AW23:AW25" si="24">+AV23/(AU23-$Q$22)*1%</f>
        <v>8.6830013046337959E-2</v>
      </c>
    </row>
    <row r="24" spans="4:49" x14ac:dyDescent="0.2">
      <c r="D24" s="50" t="s">
        <v>34</v>
      </c>
      <c r="G24" s="4">
        <v>5</v>
      </c>
      <c r="H24" s="1">
        <f>+G24*(1+R44)</f>
        <v>5.0999999999999996</v>
      </c>
      <c r="I24" s="1">
        <f>+H24*(1+S44)</f>
        <v>5.202</v>
      </c>
      <c r="J24" s="1">
        <f>+I24*(1+T44)</f>
        <v>5.3060400000000003</v>
      </c>
      <c r="K24" s="1">
        <f>+J24*(1+U44)</f>
        <v>5.4121608000000005</v>
      </c>
      <c r="L24" s="1">
        <f>+K24*(1+V44)</f>
        <v>5.5204040160000005</v>
      </c>
      <c r="N24" s="1" t="s">
        <v>17</v>
      </c>
      <c r="Q24" s="81">
        <f t="shared" ref="Q24:V24" si="25">+(G22-G23)/G22</f>
        <v>0.6</v>
      </c>
      <c r="R24" s="81">
        <f t="shared" si="25"/>
        <v>0.61142857142857143</v>
      </c>
      <c r="S24" s="81">
        <f t="shared" si="25"/>
        <v>0.62253061224489792</v>
      </c>
      <c r="T24" s="81">
        <f t="shared" si="25"/>
        <v>0.63331545189504368</v>
      </c>
      <c r="U24" s="81">
        <f t="shared" si="25"/>
        <v>0.64379215326947103</v>
      </c>
      <c r="V24" s="82">
        <f t="shared" si="25"/>
        <v>0.65396952031891475</v>
      </c>
      <c r="X24" s="57" t="s">
        <v>133</v>
      </c>
      <c r="AD24" s="50" t="s">
        <v>124</v>
      </c>
      <c r="AE24" s="46">
        <f t="shared" si="23"/>
        <v>-4.6511627906976716E-2</v>
      </c>
      <c r="AF24" s="53">
        <f t="shared" si="23"/>
        <v>-3.4482758620689613E-2</v>
      </c>
      <c r="AI24" s="5">
        <v>7.0000000000000007E-2</v>
      </c>
      <c r="AJ24" s="38">
        <v>0.21891812297958002</v>
      </c>
      <c r="AK24" s="31">
        <f t="shared" si="13"/>
        <v>4.3783624595916004E-2</v>
      </c>
      <c r="AM24" s="5">
        <f t="shared" si="18"/>
        <v>7.0000000000000007E-2</v>
      </c>
      <c r="AN24" s="38">
        <v>6.6006480815170354E-2</v>
      </c>
      <c r="AO24" s="31">
        <f t="shared" si="14"/>
        <v>6.6006480815170299E-2</v>
      </c>
      <c r="AQ24" s="5">
        <f t="shared" si="19"/>
        <v>7.0000000000000007E-2</v>
      </c>
      <c r="AR24" s="38">
        <v>0.30663227752469768</v>
      </c>
      <c r="AS24" s="31">
        <f t="shared" si="15"/>
        <v>6.1326455504939537E-2</v>
      </c>
      <c r="AU24" s="5">
        <f t="shared" si="20"/>
        <v>7.0000000000000007E-2</v>
      </c>
      <c r="AV24" s="38">
        <v>0.18561733740240971</v>
      </c>
      <c r="AW24" s="31">
        <f t="shared" si="24"/>
        <v>9.2808668701204841E-2</v>
      </c>
    </row>
    <row r="25" spans="4:49" ht="15" x14ac:dyDescent="0.25">
      <c r="D25" s="67" t="s">
        <v>139</v>
      </c>
      <c r="E25" s="9"/>
      <c r="F25" s="9"/>
      <c r="G25" s="9">
        <f>+G21*G22</f>
        <v>37.5</v>
      </c>
      <c r="H25" s="9">
        <f t="shared" ref="H25:L25" si="26">+H21*H22</f>
        <v>41.737500000000004</v>
      </c>
      <c r="I25" s="9">
        <f t="shared" si="26"/>
        <v>46.453837500000006</v>
      </c>
      <c r="J25" s="9">
        <f t="shared" si="26"/>
        <v>51.703121137500013</v>
      </c>
      <c r="K25" s="9">
        <f t="shared" si="26"/>
        <v>57.545573826037518</v>
      </c>
      <c r="L25" s="9">
        <f t="shared" si="26"/>
        <v>64.048223668379762</v>
      </c>
      <c r="N25" s="8" t="s">
        <v>37</v>
      </c>
      <c r="O25" s="8"/>
      <c r="P25" s="8"/>
      <c r="Q25" s="85">
        <f t="shared" ref="Q25:V25" si="27">+(G22-G23)/G24</f>
        <v>3</v>
      </c>
      <c r="R25" s="85">
        <f t="shared" si="27"/>
        <v>3.1470588235294121</v>
      </c>
      <c r="S25" s="85">
        <f t="shared" si="27"/>
        <v>3.2984429065743943</v>
      </c>
      <c r="T25" s="85">
        <f t="shared" si="27"/>
        <v>3.4542794626501112</v>
      </c>
      <c r="U25" s="85">
        <f t="shared" si="27"/>
        <v>3.6146994468457034</v>
      </c>
      <c r="V25" s="64">
        <f t="shared" si="27"/>
        <v>3.7798376658705775</v>
      </c>
      <c r="AD25" s="50" t="s">
        <v>125</v>
      </c>
      <c r="AE25" s="46">
        <f t="shared" si="23"/>
        <v>0.26829268292682928</v>
      </c>
      <c r="AF25" s="53">
        <f t="shared" si="23"/>
        <v>0.12755102040816335</v>
      </c>
      <c r="AI25" s="5">
        <v>0.08</v>
      </c>
      <c r="AJ25" s="39">
        <v>0.27948020362749459</v>
      </c>
      <c r="AK25" s="31">
        <f t="shared" si="13"/>
        <v>4.6580033937915773E-2</v>
      </c>
      <c r="AM25" s="5">
        <f t="shared" si="18"/>
        <v>0.08</v>
      </c>
      <c r="AN25" s="39">
        <v>0.14147127888607902</v>
      </c>
      <c r="AO25" s="31">
        <f t="shared" si="14"/>
        <v>7.0735639443039497E-2</v>
      </c>
      <c r="AQ25" s="5">
        <f t="shared" si="19"/>
        <v>0.08</v>
      </c>
      <c r="AR25" s="39">
        <v>0.38980499517974465</v>
      </c>
      <c r="AS25" s="31">
        <f t="shared" si="15"/>
        <v>6.4967499196624118E-2</v>
      </c>
      <c r="AU25" s="5">
        <f t="shared" si="20"/>
        <v>0.08</v>
      </c>
      <c r="AV25" s="39">
        <v>0.29835647175957347</v>
      </c>
      <c r="AW25" s="31">
        <f t="shared" si="24"/>
        <v>9.9452157253191162E-2</v>
      </c>
    </row>
    <row r="26" spans="4:49" ht="15" x14ac:dyDescent="0.25">
      <c r="D26" s="98" t="s">
        <v>142</v>
      </c>
      <c r="E26" s="66"/>
      <c r="F26" s="66"/>
      <c r="G26" s="86">
        <f>+G25/G$46</f>
        <v>0.25844245348035838</v>
      </c>
      <c r="H26" s="86">
        <f t="shared" ref="H26:L26" si="28">+H25/H$46</f>
        <v>0.27243546437102223</v>
      </c>
      <c r="I26" s="86">
        <f t="shared" si="28"/>
        <v>0.28439273597949155</v>
      </c>
      <c r="J26" s="86">
        <f t="shared" si="28"/>
        <v>0.29364408152990878</v>
      </c>
      <c r="K26" s="86">
        <f t="shared" si="28"/>
        <v>0.29954274718609925</v>
      </c>
      <c r="L26" s="86">
        <f t="shared" si="28"/>
        <v>0.30153727110321193</v>
      </c>
      <c r="M26" s="66"/>
      <c r="N26" s="66" t="s">
        <v>66</v>
      </c>
      <c r="O26" s="66"/>
      <c r="P26" s="66"/>
      <c r="Q26" s="86">
        <f t="shared" ref="Q26:V26" si="29">+(G22-G23-G24)/G22</f>
        <v>0.4</v>
      </c>
      <c r="R26" s="86">
        <f t="shared" si="29"/>
        <v>0.4171428571428572</v>
      </c>
      <c r="S26" s="86">
        <f t="shared" si="29"/>
        <v>0.43379591836734693</v>
      </c>
      <c r="T26" s="86">
        <f t="shared" si="29"/>
        <v>0.44997317784256557</v>
      </c>
      <c r="U26" s="86">
        <f t="shared" si="29"/>
        <v>0.46568822990420655</v>
      </c>
      <c r="V26" s="87">
        <f t="shared" si="29"/>
        <v>0.48095428047837213</v>
      </c>
      <c r="X26" s="1" t="s">
        <v>73</v>
      </c>
      <c r="AA26" s="25">
        <f>+AA12+AA15*(AA16-AA12)</f>
        <v>0.12</v>
      </c>
      <c r="AD26" s="50" t="s">
        <v>126</v>
      </c>
      <c r="AE26" s="46">
        <f t="shared" si="23"/>
        <v>0.11538461538461542</v>
      </c>
      <c r="AF26" s="53">
        <f t="shared" si="23"/>
        <v>8.5972850678732948E-2</v>
      </c>
      <c r="AJ26" s="25"/>
      <c r="AK26" s="41">
        <f>+AVERAGE(AK19:AK25)</f>
        <v>4.0312276472926289E-2</v>
      </c>
      <c r="AO26" s="41">
        <f>+AVERAGE(AO19:AO25)</f>
        <v>5.9087686995243048E-2</v>
      </c>
      <c r="AR26" s="25"/>
      <c r="AS26" s="41">
        <f>+AVERAGE(AS19:AS25)</f>
        <v>5.6848682683723062E-2</v>
      </c>
      <c r="AV26" s="25"/>
      <c r="AW26" s="41">
        <f>+AVERAGE(AW19:AW25)</f>
        <v>8.3445967735092275E-2</v>
      </c>
    </row>
    <row r="27" spans="4:49" x14ac:dyDescent="0.2">
      <c r="X27" s="1" t="s">
        <v>80</v>
      </c>
      <c r="AA27" s="25">
        <f ca="1">1-AA20</f>
        <v>0.83201312815245188</v>
      </c>
      <c r="AD27" s="50" t="s">
        <v>120</v>
      </c>
      <c r="AE27" s="46">
        <f t="shared" si="23"/>
        <v>3.4482758620689724E-2</v>
      </c>
      <c r="AF27" s="53">
        <f t="shared" si="23"/>
        <v>8.3333333333333259E-2</v>
      </c>
    </row>
    <row r="28" spans="4:49" ht="15" x14ac:dyDescent="0.25">
      <c r="D28" s="77" t="s">
        <v>136</v>
      </c>
      <c r="E28" s="59"/>
      <c r="F28" s="144" t="s">
        <v>145</v>
      </c>
      <c r="G28" s="106"/>
      <c r="H28" s="106"/>
      <c r="I28" s="106"/>
      <c r="J28" s="59"/>
      <c r="K28" s="59"/>
      <c r="L28" s="59"/>
      <c r="M28" s="59"/>
      <c r="N28" s="78" t="s">
        <v>136</v>
      </c>
      <c r="O28" s="59"/>
      <c r="P28" s="59"/>
      <c r="Q28" s="59"/>
      <c r="R28" s="59"/>
      <c r="S28" s="59"/>
      <c r="T28" s="59"/>
      <c r="U28" s="59"/>
      <c r="V28" s="79"/>
      <c r="X28" s="30" t="s">
        <v>81</v>
      </c>
      <c r="AD28" s="50"/>
      <c r="AF28" s="52"/>
    </row>
    <row r="29" spans="4:49" ht="15" x14ac:dyDescent="0.25">
      <c r="D29" s="50" t="s">
        <v>24</v>
      </c>
      <c r="G29" s="4">
        <v>1.8</v>
      </c>
      <c r="H29" s="1">
        <f t="shared" ref="H29:L30" si="30">+G29*(1+R29)</f>
        <v>2.2320000000000002</v>
      </c>
      <c r="I29" s="1">
        <f t="shared" si="30"/>
        <v>2.7676800000000004</v>
      </c>
      <c r="J29" s="1">
        <f t="shared" si="30"/>
        <v>3.4319232000000004</v>
      </c>
      <c r="K29" s="1">
        <f t="shared" si="30"/>
        <v>4.2555847680000003</v>
      </c>
      <c r="L29" s="1">
        <f t="shared" si="30"/>
        <v>5.2769251123200007</v>
      </c>
      <c r="N29" s="1" t="s">
        <v>85</v>
      </c>
      <c r="Q29" s="109">
        <v>0.24</v>
      </c>
      <c r="R29" s="81">
        <f>+Q29</f>
        <v>0.24</v>
      </c>
      <c r="S29" s="81">
        <f>+R29</f>
        <v>0.24</v>
      </c>
      <c r="T29" s="81">
        <f>+S29</f>
        <v>0.24</v>
      </c>
      <c r="U29" s="81">
        <f>+T29</f>
        <v>0.24</v>
      </c>
      <c r="V29" s="82">
        <f>+U29</f>
        <v>0.24</v>
      </c>
      <c r="AD29" s="54" t="s">
        <v>129</v>
      </c>
      <c r="AF29" s="55">
        <f>+_xlfn.VAR.P(AF23:AF27)</f>
        <v>3.3263564622016432E-3</v>
      </c>
      <c r="AI29" s="18" t="s">
        <v>119</v>
      </c>
      <c r="AJ29" s="19"/>
      <c r="AK29" s="19"/>
      <c r="AL29" s="19"/>
      <c r="AM29" s="19"/>
      <c r="AN29" s="19"/>
      <c r="AO29" s="19"/>
    </row>
    <row r="30" spans="4:49" ht="15" x14ac:dyDescent="0.25">
      <c r="D30" s="50" t="s">
        <v>25</v>
      </c>
      <c r="G30" s="4">
        <v>7</v>
      </c>
      <c r="H30" s="1">
        <f t="shared" si="30"/>
        <v>7.5600000000000005</v>
      </c>
      <c r="I30" s="1">
        <f t="shared" si="30"/>
        <v>8.1648000000000014</v>
      </c>
      <c r="J30" s="1">
        <f t="shared" si="30"/>
        <v>8.8179840000000027</v>
      </c>
      <c r="K30" s="1">
        <f t="shared" si="30"/>
        <v>9.5234227200000028</v>
      </c>
      <c r="L30" s="1">
        <f t="shared" si="30"/>
        <v>10.285296537600004</v>
      </c>
      <c r="N30" s="1" t="s">
        <v>35</v>
      </c>
      <c r="Q30" s="109">
        <v>0.08</v>
      </c>
      <c r="R30" s="81">
        <f>+Q30</f>
        <v>0.08</v>
      </c>
      <c r="S30" s="81">
        <f t="shared" ref="S30" si="31">+R30</f>
        <v>0.08</v>
      </c>
      <c r="T30" s="81">
        <f t="shared" ref="T30" si="32">+S30</f>
        <v>0.08</v>
      </c>
      <c r="U30" s="81">
        <f t="shared" ref="U30" si="33">+T30</f>
        <v>0.08</v>
      </c>
      <c r="V30" s="82">
        <f t="shared" ref="V30" si="34">+U30</f>
        <v>0.08</v>
      </c>
      <c r="X30" s="94" t="s">
        <v>82</v>
      </c>
      <c r="Y30" s="95"/>
      <c r="Z30" s="95"/>
      <c r="AA30" s="96">
        <f ca="1">+AA19*AA20+AA26*AA27</f>
        <v>0.10992078768914711</v>
      </c>
      <c r="AD30" s="69" t="s">
        <v>128</v>
      </c>
      <c r="AE30" s="2"/>
      <c r="AF30" s="70">
        <f>+_xlfn.COVARIANCE.P(AE23:AE27,AF23:AF27)</f>
        <v>4.993118029478048E-3</v>
      </c>
    </row>
    <row r="31" spans="4:49" ht="15" x14ac:dyDescent="0.25">
      <c r="D31" s="50" t="s">
        <v>27</v>
      </c>
      <c r="G31" s="4">
        <v>1</v>
      </c>
      <c r="H31" s="1">
        <f>+G31*(1+R44)</f>
        <v>1.02</v>
      </c>
      <c r="I31" s="1">
        <f>+H31*(1+S44)</f>
        <v>1.0404</v>
      </c>
      <c r="J31" s="1">
        <f>+I31*(1+T44)</f>
        <v>1.0612079999999999</v>
      </c>
      <c r="K31" s="1">
        <f>+J31*(1+U44)</f>
        <v>1.08243216</v>
      </c>
      <c r="L31" s="1">
        <f>+K31*(1+V44)</f>
        <v>1.1040808032</v>
      </c>
      <c r="N31" s="10" t="s">
        <v>36</v>
      </c>
      <c r="O31" s="10"/>
      <c r="P31" s="10"/>
      <c r="Q31" s="107">
        <f t="shared" ref="Q31:V31" si="35">+G30/G32</f>
        <v>7</v>
      </c>
      <c r="R31" s="107">
        <f t="shared" si="35"/>
        <v>7.4117647058823533</v>
      </c>
      <c r="S31" s="107">
        <f t="shared" si="35"/>
        <v>7.8477508650519043</v>
      </c>
      <c r="T31" s="107">
        <f t="shared" si="35"/>
        <v>8.3093832688784879</v>
      </c>
      <c r="U31" s="107">
        <f t="shared" si="35"/>
        <v>8.7981705199889877</v>
      </c>
      <c r="V31" s="108">
        <f t="shared" si="35"/>
        <v>9.3157099623412822</v>
      </c>
      <c r="AD31" s="131" t="s">
        <v>130</v>
      </c>
      <c r="AE31" s="132"/>
      <c r="AF31" s="133">
        <f>+AF30/AF29</f>
        <v>1.5010772556147549</v>
      </c>
      <c r="AM31" s="13" t="s">
        <v>127</v>
      </c>
      <c r="AN31" s="13"/>
    </row>
    <row r="32" spans="4:49" ht="15" x14ac:dyDescent="0.25">
      <c r="D32" s="50" t="s">
        <v>34</v>
      </c>
      <c r="G32" s="4">
        <v>1</v>
      </c>
      <c r="H32" s="1">
        <f>+G32*(1+R44)</f>
        <v>1.02</v>
      </c>
      <c r="I32" s="1">
        <f>+H32*(1+S44)</f>
        <v>1.0404</v>
      </c>
      <c r="J32" s="1">
        <f>+I32*(1+T44)</f>
        <v>1.0612079999999999</v>
      </c>
      <c r="K32" s="1">
        <f>+J32*(1+U44)</f>
        <v>1.08243216</v>
      </c>
      <c r="L32" s="1">
        <f>+K32*(1+V44)</f>
        <v>1.1040808032</v>
      </c>
      <c r="N32" s="1" t="s">
        <v>17</v>
      </c>
      <c r="Q32" s="81">
        <f t="shared" ref="Q32:V32" si="36">+(G30-G31)/G30</f>
        <v>0.8571428571428571</v>
      </c>
      <c r="R32" s="81">
        <f t="shared" si="36"/>
        <v>0.86507936507936511</v>
      </c>
      <c r="S32" s="81">
        <f t="shared" si="36"/>
        <v>0.87257495590828926</v>
      </c>
      <c r="T32" s="81">
        <f t="shared" si="36"/>
        <v>0.87965412502449547</v>
      </c>
      <c r="U32" s="81">
        <f t="shared" si="36"/>
        <v>0.88634000696757909</v>
      </c>
      <c r="V32" s="82">
        <f t="shared" si="36"/>
        <v>0.89265445102493568</v>
      </c>
      <c r="X32" s="88" t="s">
        <v>93</v>
      </c>
      <c r="Y32" s="89"/>
      <c r="Z32" s="89"/>
      <c r="AA32" s="89"/>
      <c r="AB32" s="89"/>
      <c r="AC32" s="89"/>
      <c r="AD32" s="89"/>
      <c r="AE32" s="89"/>
      <c r="AF32" s="89"/>
      <c r="AM32" s="47" t="s">
        <v>131</v>
      </c>
      <c r="AN32" s="45" t="s">
        <v>121</v>
      </c>
    </row>
    <row r="33" spans="4:43" ht="15" x14ac:dyDescent="0.25">
      <c r="D33" s="67" t="s">
        <v>140</v>
      </c>
      <c r="E33" s="9"/>
      <c r="F33" s="9"/>
      <c r="G33" s="9">
        <f>+G29*G30</f>
        <v>12.6</v>
      </c>
      <c r="H33" s="9">
        <f t="shared" ref="H33:L33" si="37">+H29*H30</f>
        <v>16.873920000000002</v>
      </c>
      <c r="I33" s="9">
        <f t="shared" si="37"/>
        <v>22.597553664000007</v>
      </c>
      <c r="J33" s="9">
        <f t="shared" si="37"/>
        <v>30.262643866828814</v>
      </c>
      <c r="K33" s="9">
        <f t="shared" si="37"/>
        <v>40.52773266645714</v>
      </c>
      <c r="L33" s="9">
        <f t="shared" si="37"/>
        <v>54.274739586919416</v>
      </c>
      <c r="N33" s="1" t="s">
        <v>37</v>
      </c>
      <c r="Q33" s="24">
        <f t="shared" ref="Q33:V33" si="38">+(G30-G31)/G32</f>
        <v>6</v>
      </c>
      <c r="R33" s="24">
        <f t="shared" si="38"/>
        <v>6.4117647058823541</v>
      </c>
      <c r="S33" s="24">
        <f t="shared" si="38"/>
        <v>6.8477508650519043</v>
      </c>
      <c r="T33" s="24">
        <f t="shared" si="38"/>
        <v>7.3093832688784888</v>
      </c>
      <c r="U33" s="24">
        <f t="shared" si="38"/>
        <v>7.7981705199889877</v>
      </c>
      <c r="V33" s="65">
        <f t="shared" si="38"/>
        <v>8.3157099623412822</v>
      </c>
      <c r="AM33" s="4">
        <v>40</v>
      </c>
      <c r="AN33" s="4">
        <v>1000</v>
      </c>
    </row>
    <row r="34" spans="4:43" ht="15" x14ac:dyDescent="0.25">
      <c r="D34" s="98" t="s">
        <v>142</v>
      </c>
      <c r="E34" s="66"/>
      <c r="F34" s="66"/>
      <c r="G34" s="112">
        <f>+G33/G$46</f>
        <v>8.6836664369400421E-2</v>
      </c>
      <c r="H34" s="113">
        <f t="shared" ref="H34" si="39">+H33/H$46</f>
        <v>0.11014206004095786</v>
      </c>
      <c r="I34" s="113">
        <f t="shared" ref="I34" si="40">+I33/I$46</f>
        <v>0.13834336319251009</v>
      </c>
      <c r="J34" s="113">
        <f t="shared" ref="J34" si="41">+J33/J$46</f>
        <v>0.17187446458616945</v>
      </c>
      <c r="K34" s="113">
        <f t="shared" ref="K34" si="42">+K33/K$46</f>
        <v>0.21095955037017156</v>
      </c>
      <c r="L34" s="114">
        <f t="shared" ref="L34" si="43">+L33/L$46</f>
        <v>0.25552397752065809</v>
      </c>
      <c r="M34" s="66"/>
      <c r="N34" s="66" t="s">
        <v>66</v>
      </c>
      <c r="O34" s="66"/>
      <c r="P34" s="66"/>
      <c r="Q34" s="112">
        <f t="shared" ref="Q34:V34" si="44">+(G30-G31-G32)/G30</f>
        <v>0.7142857142857143</v>
      </c>
      <c r="R34" s="113">
        <f t="shared" si="44"/>
        <v>0.73015873015873034</v>
      </c>
      <c r="S34" s="113">
        <f t="shared" si="44"/>
        <v>0.74514991181657853</v>
      </c>
      <c r="T34" s="113">
        <f t="shared" si="44"/>
        <v>0.75930825004899094</v>
      </c>
      <c r="U34" s="113">
        <f t="shared" si="44"/>
        <v>0.77268001393515806</v>
      </c>
      <c r="V34" s="114">
        <f t="shared" si="44"/>
        <v>0.78530890204987136</v>
      </c>
      <c r="X34" s="102" t="s">
        <v>87</v>
      </c>
      <c r="Y34" s="103"/>
      <c r="Z34" s="103"/>
      <c r="AA34" s="104">
        <f>+AVERAGE(V48,5%)</f>
        <v>7.7819020345934992E-2</v>
      </c>
      <c r="AB34" s="143" t="s">
        <v>143</v>
      </c>
      <c r="AC34" s="103"/>
      <c r="AD34" s="103"/>
      <c r="AE34" s="103"/>
      <c r="AF34" s="105"/>
      <c r="AM34" s="4">
        <v>43</v>
      </c>
      <c r="AN34" s="4">
        <v>1015</v>
      </c>
    </row>
    <row r="35" spans="4:43" x14ac:dyDescent="0.2">
      <c r="X35" s="1" t="s">
        <v>86</v>
      </c>
      <c r="AA35" s="25">
        <f ca="1">+AA30</f>
        <v>0.10992078768914711</v>
      </c>
      <c r="AM35" s="4">
        <v>41</v>
      </c>
      <c r="AN35" s="4">
        <v>980</v>
      </c>
    </row>
    <row r="36" spans="4:43" ht="15" x14ac:dyDescent="0.25">
      <c r="D36" s="77" t="s">
        <v>137</v>
      </c>
      <c r="E36" s="59"/>
      <c r="F36" s="145" t="s">
        <v>144</v>
      </c>
      <c r="G36" s="59"/>
      <c r="H36" s="59"/>
      <c r="I36" s="59"/>
      <c r="J36" s="59"/>
      <c r="K36" s="59"/>
      <c r="L36" s="59"/>
      <c r="M36" s="59"/>
      <c r="N36" s="78" t="s">
        <v>137</v>
      </c>
      <c r="O36" s="59"/>
      <c r="P36" s="59"/>
      <c r="Q36" s="59"/>
      <c r="R36" s="59"/>
      <c r="S36" s="59"/>
      <c r="T36" s="59"/>
      <c r="U36" s="59"/>
      <c r="V36" s="79"/>
      <c r="X36" s="2" t="s">
        <v>88</v>
      </c>
      <c r="Y36" s="2"/>
      <c r="Z36" s="2"/>
      <c r="AA36" s="2">
        <f ca="1">+L77*(1+AA34)</f>
        <v>42.715287130983832</v>
      </c>
      <c r="AB36" s="30"/>
      <c r="AM36" s="4">
        <v>52</v>
      </c>
      <c r="AN36" s="4">
        <v>1105</v>
      </c>
    </row>
    <row r="37" spans="4:43" x14ac:dyDescent="0.2">
      <c r="D37" s="50" t="s">
        <v>24</v>
      </c>
      <c r="G37" s="4">
        <v>4</v>
      </c>
      <c r="H37" s="1">
        <f t="shared" ref="H37:L38" si="45">+G37*(1+R37)</f>
        <v>3.84</v>
      </c>
      <c r="I37" s="1">
        <f t="shared" si="45"/>
        <v>3.6863999999999999</v>
      </c>
      <c r="J37" s="1">
        <f t="shared" si="45"/>
        <v>3.5389439999999999</v>
      </c>
      <c r="K37" s="1">
        <f t="shared" si="45"/>
        <v>3.3973862399999999</v>
      </c>
      <c r="L37" s="1">
        <f t="shared" si="45"/>
        <v>3.2614907903999999</v>
      </c>
      <c r="N37" s="1" t="s">
        <v>85</v>
      </c>
      <c r="Q37" s="80">
        <v>-0.04</v>
      </c>
      <c r="R37" s="81">
        <f>+Q37</f>
        <v>-0.04</v>
      </c>
      <c r="S37" s="81">
        <f>+R37</f>
        <v>-0.04</v>
      </c>
      <c r="T37" s="81">
        <f>+S37</f>
        <v>-0.04</v>
      </c>
      <c r="U37" s="81">
        <f>+T37</f>
        <v>-0.04</v>
      </c>
      <c r="V37" s="82">
        <f>+U37</f>
        <v>-0.04</v>
      </c>
      <c r="X37" s="17" t="s">
        <v>89</v>
      </c>
      <c r="Y37" s="8"/>
      <c r="Z37" s="8"/>
      <c r="AA37" s="8">
        <f ca="1">+AA36/(AA35-AA34)</f>
        <v>1330.6210425830632</v>
      </c>
      <c r="AB37" s="33" t="s">
        <v>90</v>
      </c>
      <c r="AM37" s="4">
        <v>58</v>
      </c>
      <c r="AN37" s="4">
        <v>1200</v>
      </c>
    </row>
    <row r="38" spans="4:43" ht="15" x14ac:dyDescent="0.25">
      <c r="D38" s="50" t="s">
        <v>25</v>
      </c>
      <c r="G38" s="4">
        <v>15</v>
      </c>
      <c r="H38" s="1">
        <f t="shared" si="45"/>
        <v>15.15</v>
      </c>
      <c r="I38" s="1">
        <f t="shared" si="45"/>
        <v>15.301500000000001</v>
      </c>
      <c r="J38" s="1">
        <f t="shared" si="45"/>
        <v>15.454515000000001</v>
      </c>
      <c r="K38" s="1">
        <f t="shared" si="45"/>
        <v>15.609060150000001</v>
      </c>
      <c r="L38" s="1">
        <f t="shared" si="45"/>
        <v>15.765150751500002</v>
      </c>
      <c r="N38" s="1" t="s">
        <v>35</v>
      </c>
      <c r="Q38" s="80">
        <v>0.01</v>
      </c>
      <c r="R38" s="81">
        <f>+Q38</f>
        <v>0.01</v>
      </c>
      <c r="S38" s="81">
        <f t="shared" ref="S38" si="46">+R38</f>
        <v>0.01</v>
      </c>
      <c r="T38" s="81">
        <f t="shared" ref="T38" si="47">+S38</f>
        <v>0.01</v>
      </c>
      <c r="U38" s="81">
        <f t="shared" ref="U38" si="48">+T38</f>
        <v>0.01</v>
      </c>
      <c r="V38" s="82">
        <f t="shared" ref="V38" si="49">+U38</f>
        <v>0.01</v>
      </c>
      <c r="X38" s="9" t="s">
        <v>91</v>
      </c>
      <c r="Y38" s="9"/>
      <c r="Z38" s="9"/>
      <c r="AA38" s="34">
        <f ca="1">+AA37/L77</f>
        <v>33.575067965030243</v>
      </c>
      <c r="AB38" s="33" t="s">
        <v>92</v>
      </c>
      <c r="AH38" s="35">
        <f ca="1">1/(AA35-AA34)</f>
        <v>31.150932885053415</v>
      </c>
      <c r="AM38" s="101">
        <v>60</v>
      </c>
      <c r="AN38" s="4">
        <v>1300</v>
      </c>
    </row>
    <row r="39" spans="4:43" ht="15" x14ac:dyDescent="0.25">
      <c r="D39" s="50" t="s">
        <v>27</v>
      </c>
      <c r="G39" s="4">
        <v>8</v>
      </c>
      <c r="H39" s="1">
        <f>+G39*(1+R44)</f>
        <v>8.16</v>
      </c>
      <c r="I39" s="1">
        <f>+H39*(1+S44)</f>
        <v>8.3231999999999999</v>
      </c>
      <c r="J39" s="1">
        <f>+I39*(1+T44)</f>
        <v>8.4896639999999994</v>
      </c>
      <c r="K39" s="1">
        <f>+J39*(1+U44)</f>
        <v>8.6594572799999998</v>
      </c>
      <c r="L39" s="1">
        <f>+K39*(1+V44)</f>
        <v>8.8326464256000001</v>
      </c>
      <c r="N39" s="10" t="s">
        <v>36</v>
      </c>
      <c r="O39" s="10"/>
      <c r="P39" s="10"/>
      <c r="Q39" s="107">
        <f t="shared" ref="Q39:V39" si="50">+G38/G40</f>
        <v>5</v>
      </c>
      <c r="R39" s="107">
        <f t="shared" si="50"/>
        <v>4.9509803921568629</v>
      </c>
      <c r="S39" s="107">
        <f t="shared" si="50"/>
        <v>4.9024413687043449</v>
      </c>
      <c r="T39" s="107">
        <f t="shared" si="50"/>
        <v>4.8543782180307726</v>
      </c>
      <c r="U39" s="107">
        <f t="shared" si="50"/>
        <v>4.8067862747167451</v>
      </c>
      <c r="V39" s="108">
        <f t="shared" si="50"/>
        <v>4.7596609190822683</v>
      </c>
    </row>
    <row r="40" spans="4:43" ht="15" x14ac:dyDescent="0.25">
      <c r="D40" s="50" t="s">
        <v>34</v>
      </c>
      <c r="G40" s="4">
        <v>3</v>
      </c>
      <c r="H40" s="1">
        <f>+G40*(1+R44)</f>
        <v>3.06</v>
      </c>
      <c r="I40" s="1">
        <f>+H40*(1+S44)</f>
        <v>3.1212</v>
      </c>
      <c r="J40" s="1">
        <f>+I40*(1+T44)</f>
        <v>3.183624</v>
      </c>
      <c r="K40" s="1">
        <f>+J40*(1+U44)</f>
        <v>3.2472964800000002</v>
      </c>
      <c r="L40" s="1">
        <f>+K40*(1+V44)</f>
        <v>3.3122424096</v>
      </c>
      <c r="N40" s="1" t="s">
        <v>17</v>
      </c>
      <c r="Q40" s="81">
        <f t="shared" ref="Q40:V40" si="51">+(G38-G39)/G38</f>
        <v>0.46666666666666667</v>
      </c>
      <c r="R40" s="81">
        <f t="shared" si="51"/>
        <v>0.46138613861386141</v>
      </c>
      <c r="S40" s="81">
        <f t="shared" si="51"/>
        <v>0.45605332810508775</v>
      </c>
      <c r="T40" s="81">
        <f t="shared" si="51"/>
        <v>0.45066771749226686</v>
      </c>
      <c r="U40" s="81">
        <f t="shared" si="51"/>
        <v>0.44522878400209132</v>
      </c>
      <c r="V40" s="82">
        <f t="shared" si="51"/>
        <v>0.43973599968528032</v>
      </c>
      <c r="X40" s="88" t="s">
        <v>98</v>
      </c>
      <c r="Y40" s="89"/>
      <c r="Z40" s="89"/>
      <c r="AA40" s="89"/>
      <c r="AB40" s="89"/>
      <c r="AC40" s="89"/>
      <c r="AD40" s="89"/>
      <c r="AE40" s="89"/>
      <c r="AF40" s="89"/>
    </row>
    <row r="41" spans="4:43" ht="15" x14ac:dyDescent="0.25">
      <c r="D41" s="67" t="s">
        <v>141</v>
      </c>
      <c r="E41" s="9"/>
      <c r="F41" s="9"/>
      <c r="G41" s="9">
        <f>+G37*G38</f>
        <v>60</v>
      </c>
      <c r="H41" s="9">
        <f t="shared" ref="H41:L41" si="52">+H37*H38</f>
        <v>58.176000000000002</v>
      </c>
      <c r="I41" s="9">
        <f t="shared" si="52"/>
        <v>56.4074496</v>
      </c>
      <c r="J41" s="9">
        <f t="shared" si="52"/>
        <v>54.69266313216</v>
      </c>
      <c r="K41" s="9">
        <f t="shared" si="52"/>
        <v>53.030006172942336</v>
      </c>
      <c r="L41" s="9">
        <f t="shared" si="52"/>
        <v>51.417893985284891</v>
      </c>
      <c r="N41" s="1" t="s">
        <v>37</v>
      </c>
      <c r="Q41" s="24">
        <f t="shared" ref="Q41:V41" si="53">+(G38-G39)/G40</f>
        <v>2.3333333333333335</v>
      </c>
      <c r="R41" s="24">
        <f t="shared" si="53"/>
        <v>2.284313725490196</v>
      </c>
      <c r="S41" s="24">
        <f t="shared" si="53"/>
        <v>2.2357747020376779</v>
      </c>
      <c r="T41" s="24">
        <f t="shared" si="53"/>
        <v>2.1877115513641061</v>
      </c>
      <c r="U41" s="24">
        <f t="shared" si="53"/>
        <v>2.1401196080500791</v>
      </c>
      <c r="V41" s="65">
        <f t="shared" si="53"/>
        <v>2.0929942524156013</v>
      </c>
    </row>
    <row r="42" spans="4:43" x14ac:dyDescent="0.2">
      <c r="D42" s="98" t="s">
        <v>142</v>
      </c>
      <c r="E42" s="66"/>
      <c r="F42" s="66"/>
      <c r="G42" s="112">
        <f>+G41/G$46</f>
        <v>0.41350792556857341</v>
      </c>
      <c r="H42" s="113">
        <f t="shared" ref="H42" si="54">+H41/H$46</f>
        <v>0.3797353836537547</v>
      </c>
      <c r="I42" s="113">
        <f t="shared" ref="I42" si="55">+I41/I$46</f>
        <v>0.34532925124580449</v>
      </c>
      <c r="J42" s="113">
        <f t="shared" ref="J42" si="56">+J41/J$46</f>
        <v>0.31062296585842791</v>
      </c>
      <c r="K42" s="113">
        <f t="shared" ref="K42" si="57">+K41/K$46</f>
        <v>0.27603780232271502</v>
      </c>
      <c r="L42" s="114">
        <f t="shared" ref="L42" si="58">+L41/L$46</f>
        <v>0.24207402719665899</v>
      </c>
      <c r="M42" s="66"/>
      <c r="N42" s="66" t="s">
        <v>66</v>
      </c>
      <c r="O42" s="66"/>
      <c r="P42" s="66"/>
      <c r="Q42" s="112">
        <f t="shared" ref="Q42:V42" si="59">+(G38-G39-G40)/G38</f>
        <v>0.26666666666666666</v>
      </c>
      <c r="R42" s="113">
        <f t="shared" si="59"/>
        <v>0.25940594059405941</v>
      </c>
      <c r="S42" s="113">
        <f t="shared" si="59"/>
        <v>0.25207332614449568</v>
      </c>
      <c r="T42" s="113">
        <f t="shared" si="59"/>
        <v>0.24466811155186696</v>
      </c>
      <c r="U42" s="113">
        <f t="shared" si="59"/>
        <v>0.23718957800287552</v>
      </c>
      <c r="V42" s="114">
        <f t="shared" si="59"/>
        <v>0.22963699956726047</v>
      </c>
      <c r="X42" s="1" t="s">
        <v>97</v>
      </c>
      <c r="AB42" s="1">
        <f ca="1">+H77</f>
        <v>14.007120999999986</v>
      </c>
      <c r="AC42" s="1">
        <f ca="1">+I77</f>
        <v>17.993770419000001</v>
      </c>
      <c r="AD42" s="1">
        <f ca="1">+J77</f>
        <v>23.302107989351647</v>
      </c>
      <c r="AE42" s="1">
        <f ca="1">+K77</f>
        <v>30.335372513163293</v>
      </c>
      <c r="AF42" s="1">
        <f ca="1">+L77</f>
        <v>39.631224096670707</v>
      </c>
    </row>
    <row r="43" spans="4:43" x14ac:dyDescent="0.2">
      <c r="X43" s="2" t="s">
        <v>89</v>
      </c>
      <c r="Y43" s="2"/>
      <c r="Z43" s="2"/>
      <c r="AA43" s="2"/>
      <c r="AB43" s="2"/>
      <c r="AC43" s="2"/>
      <c r="AD43" s="2"/>
      <c r="AE43" s="2"/>
      <c r="AF43" s="2">
        <f ca="1">+AA37</f>
        <v>1330.6210425830632</v>
      </c>
    </row>
    <row r="44" spans="4:43" ht="15" x14ac:dyDescent="0.25">
      <c r="D44" s="72" t="s">
        <v>22</v>
      </c>
      <c r="E44" s="74"/>
      <c r="F44" s="74"/>
      <c r="G44" s="74"/>
      <c r="H44" s="74"/>
      <c r="I44" s="74"/>
      <c r="J44" s="74"/>
      <c r="K44" s="74"/>
      <c r="L44" s="74"/>
      <c r="N44" s="2" t="s">
        <v>38</v>
      </c>
      <c r="Q44" s="6">
        <v>0.02</v>
      </c>
      <c r="R44" s="5">
        <f>+Q44</f>
        <v>0.02</v>
      </c>
      <c r="S44" s="5">
        <f>+R44</f>
        <v>0.02</v>
      </c>
      <c r="T44" s="5">
        <f>+S44</f>
        <v>0.02</v>
      </c>
      <c r="U44" s="5">
        <f>+T44</f>
        <v>0.02</v>
      </c>
      <c r="V44" s="5">
        <f>+U44</f>
        <v>0.02</v>
      </c>
      <c r="X44" s="3" t="s">
        <v>95</v>
      </c>
      <c r="AB44" s="1">
        <f ca="1">SUM(AB42:AB43)</f>
        <v>14.007120999999986</v>
      </c>
      <c r="AC44" s="1">
        <f t="shared" ref="AC44:AF44" ca="1" si="60">SUM(AC42:AC43)</f>
        <v>17.993770419000001</v>
      </c>
      <c r="AD44" s="1">
        <f t="shared" ca="1" si="60"/>
        <v>23.302107989351647</v>
      </c>
      <c r="AE44" s="1">
        <f t="shared" ca="1" si="60"/>
        <v>30.335372513163293</v>
      </c>
      <c r="AF44" s="1">
        <f t="shared" ca="1" si="60"/>
        <v>1370.2522666797338</v>
      </c>
    </row>
    <row r="45" spans="4:43" ht="15" x14ac:dyDescent="0.25">
      <c r="D45" s="7"/>
      <c r="E45" s="10"/>
      <c r="F45" s="10"/>
      <c r="G45" s="10"/>
      <c r="H45" s="10"/>
      <c r="I45" s="10"/>
      <c r="J45" s="10"/>
      <c r="K45" s="10"/>
      <c r="L45" s="10"/>
      <c r="X45" s="8" t="s">
        <v>94</v>
      </c>
      <c r="Y45" s="8"/>
      <c r="Z45" s="8"/>
      <c r="AA45" s="8"/>
      <c r="AB45" s="8">
        <f ca="1">+AB44/(1+$AA$35)^AB1</f>
        <v>12.619928516847391</v>
      </c>
      <c r="AC45" s="8">
        <f ca="1">+AC44/(1+$AA$35)^AC1</f>
        <v>14.60623232914099</v>
      </c>
      <c r="AD45" s="8">
        <f ca="1">+AD44/(1+$AA$35)^AD1</f>
        <v>17.041948732845519</v>
      </c>
      <c r="AE45" s="8">
        <f ca="1">+AE44/(1+$AA$35)^AE1</f>
        <v>19.988554604205728</v>
      </c>
      <c r="AF45" s="8">
        <f ca="1">+AF44/(1+$AA$35)^AF1</f>
        <v>813.46824141446371</v>
      </c>
    </row>
    <row r="46" spans="4:43" ht="15" x14ac:dyDescent="0.25">
      <c r="D46" s="1" t="s">
        <v>0</v>
      </c>
      <c r="G46" s="14">
        <f>+G17+G25+G33+G41</f>
        <v>145.1</v>
      </c>
      <c r="H46" s="14">
        <f t="shared" ref="H46:L46" si="61">+H17+H25+H33+H41</f>
        <v>153.20141999999998</v>
      </c>
      <c r="I46" s="14">
        <f t="shared" si="61"/>
        <v>163.34396636400001</v>
      </c>
      <c r="J46" s="14">
        <f t="shared" si="61"/>
        <v>176.07411281072882</v>
      </c>
      <c r="K46" s="14">
        <f t="shared" si="61"/>
        <v>192.11139100051631</v>
      </c>
      <c r="L46" s="14">
        <f t="shared" si="61"/>
        <v>212.40566194040059</v>
      </c>
      <c r="N46" s="75" t="s">
        <v>67</v>
      </c>
      <c r="O46" s="76"/>
      <c r="P46" s="76"/>
      <c r="Q46" s="76"/>
      <c r="R46" s="76"/>
      <c r="S46" s="76"/>
      <c r="T46" s="76"/>
      <c r="U46" s="76"/>
      <c r="V46" s="76"/>
    </row>
    <row r="47" spans="4:43" ht="15" x14ac:dyDescent="0.25">
      <c r="D47" s="1" t="s">
        <v>31</v>
      </c>
      <c r="G47" s="14">
        <f>+G13*G15+G21*G23+G29*G31+G37*G39</f>
        <v>58.8</v>
      </c>
      <c r="H47" s="14">
        <f t="shared" ref="H47:L47" si="62">+H13*H15+H21*H23+H29*H31+H37*H39</f>
        <v>60.233040000000003</v>
      </c>
      <c r="I47" s="14">
        <f t="shared" si="62"/>
        <v>61.921361952000005</v>
      </c>
      <c r="J47" s="14">
        <f t="shared" si="62"/>
        <v>63.906789632601601</v>
      </c>
      <c r="K47" s="14">
        <f t="shared" si="62"/>
        <v>66.24068157289733</v>
      </c>
      <c r="L47" s="14">
        <f t="shared" si="62"/>
        <v>68.986328447028853</v>
      </c>
      <c r="N47" s="21"/>
      <c r="X47" s="134" t="s">
        <v>99</v>
      </c>
      <c r="Y47" s="135"/>
      <c r="Z47" s="135"/>
      <c r="AA47" s="136">
        <f ca="1">+SUM(AB45:AF45)</f>
        <v>877.72490559750338</v>
      </c>
      <c r="AC47" s="92" t="s">
        <v>148</v>
      </c>
      <c r="AD47" s="92"/>
      <c r="AE47" s="92"/>
      <c r="AF47" s="93">
        <f ca="1">+AA47/502-1</f>
        <v>0.74845598724602258</v>
      </c>
    </row>
    <row r="48" spans="4:43" ht="15" x14ac:dyDescent="0.25">
      <c r="D48" s="2" t="s">
        <v>32</v>
      </c>
      <c r="G48" s="11">
        <v>15</v>
      </c>
      <c r="H48" s="16">
        <f>+G48*(1+R44)</f>
        <v>15.3</v>
      </c>
      <c r="I48" s="16">
        <f>+H48*(1+S44)</f>
        <v>15.606000000000002</v>
      </c>
      <c r="J48" s="16">
        <f>+I48*(1+T44)</f>
        <v>15.918120000000002</v>
      </c>
      <c r="K48" s="16">
        <f>+J48*(1+U44)</f>
        <v>16.236482400000003</v>
      </c>
      <c r="L48" s="16">
        <f>+K48*(1+V44)</f>
        <v>16.561212048000005</v>
      </c>
      <c r="N48" s="9" t="s">
        <v>83</v>
      </c>
      <c r="O48" s="9"/>
      <c r="P48" s="9"/>
      <c r="Q48" s="9"/>
      <c r="R48" s="32">
        <f>+H46/G46-1</f>
        <v>5.583335630599584E-2</v>
      </c>
      <c r="S48" s="32">
        <f>+I46/H46-1</f>
        <v>6.6203997090888755E-2</v>
      </c>
      <c r="T48" s="32">
        <f>+J46/I46-1</f>
        <v>7.7934598565830182E-2</v>
      </c>
      <c r="U48" s="32">
        <f>+K46/J46-1</f>
        <v>9.1082544354642136E-2</v>
      </c>
      <c r="V48" s="32">
        <f>+L46/K46-1</f>
        <v>0.10563804069186999</v>
      </c>
      <c r="X48" s="137" t="s">
        <v>149</v>
      </c>
      <c r="Y48" s="138"/>
      <c r="Z48" s="138"/>
      <c r="AA48" s="139">
        <f ca="1">+(AA47-Q64)/G59</f>
        <v>135.54498111950068</v>
      </c>
      <c r="AM48" s="146" t="e" vm="1">
        <v>#VALUE!</v>
      </c>
      <c r="AN48" s="146"/>
      <c r="AO48" s="146"/>
      <c r="AP48" s="146"/>
      <c r="AQ48" s="146"/>
    </row>
    <row r="49" spans="4:48" x14ac:dyDescent="0.2">
      <c r="D49" s="3" t="s">
        <v>18</v>
      </c>
      <c r="G49" s="1">
        <f>+G46-G47-G48</f>
        <v>71.3</v>
      </c>
      <c r="H49" s="1">
        <f t="shared" ref="H49:L49" si="63">+H46-H47-H48</f>
        <v>77.668379999999985</v>
      </c>
      <c r="I49" s="1">
        <f t="shared" si="63"/>
        <v>85.816604412000004</v>
      </c>
      <c r="J49" s="1">
        <f t="shared" si="63"/>
        <v>96.249203178127217</v>
      </c>
      <c r="K49" s="1">
        <f t="shared" si="63"/>
        <v>109.63422702761898</v>
      </c>
      <c r="L49" s="1">
        <f t="shared" si="63"/>
        <v>126.85812144537174</v>
      </c>
      <c r="N49" s="1" t="s">
        <v>84</v>
      </c>
      <c r="R49" s="25">
        <f>+H52/G52-1</f>
        <v>0.16087799999999941</v>
      </c>
      <c r="S49" s="25">
        <f>+I52/H52-1</f>
        <v>0.18373579480358915</v>
      </c>
      <c r="T49" s="25">
        <f>+J52/I52-1</f>
        <v>0.20466912065310638</v>
      </c>
      <c r="U49" s="25">
        <f>+K52/J52-1</f>
        <v>0.22344076057041162</v>
      </c>
      <c r="V49" s="25">
        <f>+L52/K52-1</f>
        <v>0.24001399395300682</v>
      </c>
      <c r="AM49" s="146"/>
      <c r="AN49" s="146"/>
      <c r="AO49" s="146"/>
      <c r="AP49" s="146"/>
      <c r="AQ49" s="146"/>
      <c r="AS49" s="146" t="s">
        <v>150</v>
      </c>
      <c r="AT49" s="146"/>
      <c r="AU49" s="146"/>
      <c r="AV49" s="146"/>
    </row>
    <row r="50" spans="4:48" ht="15" x14ac:dyDescent="0.25">
      <c r="D50" s="1" t="s">
        <v>30</v>
      </c>
      <c r="G50" s="1">
        <f>+G13*G16+G21*G24+G29*G32+G37*G40</f>
        <v>36.299999999999997</v>
      </c>
      <c r="H50" s="1">
        <f t="shared" ref="H50:L50" si="64">+H13*H16+H21*H24+H29*H32+H37*H40</f>
        <v>37.742040000000003</v>
      </c>
      <c r="I50" s="1">
        <f t="shared" si="64"/>
        <v>39.389419152000002</v>
      </c>
      <c r="J50" s="1">
        <f t="shared" si="64"/>
        <v>41.280455502201605</v>
      </c>
      <c r="K50" s="1">
        <f t="shared" si="64"/>
        <v>43.462685376598522</v>
      </c>
      <c r="L50" s="1">
        <f t="shared" si="64"/>
        <v>45.995234910186021</v>
      </c>
      <c r="AM50" s="146"/>
      <c r="AN50" s="146"/>
      <c r="AO50" s="146"/>
      <c r="AP50" s="146"/>
      <c r="AQ50" s="146"/>
      <c r="AT50" s="147" t="s">
        <v>151</v>
      </c>
      <c r="AU50" s="146"/>
      <c r="AV50" s="146"/>
    </row>
    <row r="51" spans="4:48" ht="15" x14ac:dyDescent="0.25">
      <c r="D51" s="2" t="s">
        <v>33</v>
      </c>
      <c r="G51" s="11">
        <v>5</v>
      </c>
      <c r="H51" s="2">
        <f>+G51*(1+R44)</f>
        <v>5.0999999999999996</v>
      </c>
      <c r="I51" s="2">
        <f>+H51*(1+S44)</f>
        <v>5.202</v>
      </c>
      <c r="J51" s="2">
        <f>+I51*(1+T44)</f>
        <v>5.3060400000000003</v>
      </c>
      <c r="K51" s="2">
        <f>+J51*(1+U44)</f>
        <v>5.4121608000000005</v>
      </c>
      <c r="L51" s="2">
        <f>+K51*(1+V44)</f>
        <v>5.5204040160000005</v>
      </c>
      <c r="N51" s="8" t="s">
        <v>69</v>
      </c>
      <c r="O51" s="8"/>
      <c r="P51" s="8"/>
      <c r="Q51" s="26">
        <f t="shared" ref="Q51:V51" si="65">+G52/G46</f>
        <v>0.2067539627842867</v>
      </c>
      <c r="R51" s="26">
        <f t="shared" si="65"/>
        <v>0.22732387206332672</v>
      </c>
      <c r="S51" s="26">
        <f t="shared" si="65"/>
        <v>0.25238266326980646</v>
      </c>
      <c r="T51" s="26">
        <f t="shared" si="65"/>
        <v>0.28205570303972299</v>
      </c>
      <c r="U51" s="26">
        <f t="shared" si="65"/>
        <v>0.31627161999392922</v>
      </c>
      <c r="V51" s="26">
        <f t="shared" si="65"/>
        <v>0.3547103303692829</v>
      </c>
      <c r="X51" s="110" t="s">
        <v>101</v>
      </c>
      <c r="Y51" s="111"/>
      <c r="Z51" s="111"/>
      <c r="AA51" s="111"/>
      <c r="AB51" s="111"/>
      <c r="AC51" s="111"/>
      <c r="AD51" s="111"/>
      <c r="AE51" s="111"/>
      <c r="AF51" s="111"/>
      <c r="AM51" s="146"/>
      <c r="AN51" s="146"/>
      <c r="AO51" s="146"/>
      <c r="AP51" s="146"/>
      <c r="AQ51" s="146"/>
    </row>
    <row r="52" spans="4:48" ht="15" x14ac:dyDescent="0.25">
      <c r="D52" s="22" t="s">
        <v>1</v>
      </c>
      <c r="E52" s="9"/>
      <c r="F52" s="9"/>
      <c r="G52" s="9">
        <f>+G49-G50-G51</f>
        <v>30</v>
      </c>
      <c r="H52" s="9">
        <f t="shared" ref="H52:L52" si="66">+H49-H50-H51</f>
        <v>34.826339999999981</v>
      </c>
      <c r="I52" s="9">
        <f t="shared" si="66"/>
        <v>41.225185260000003</v>
      </c>
      <c r="J52" s="9">
        <f t="shared" si="66"/>
        <v>49.66270767592561</v>
      </c>
      <c r="K52" s="9">
        <f t="shared" si="66"/>
        <v>60.759380851020445</v>
      </c>
      <c r="L52" s="9">
        <f t="shared" si="66"/>
        <v>75.342482519185708</v>
      </c>
      <c r="N52" s="9" t="s">
        <v>68</v>
      </c>
      <c r="O52" s="9"/>
      <c r="P52" s="9"/>
      <c r="Q52" s="27"/>
      <c r="R52" s="27">
        <f>+(H52-G52)/(H46-G46)</f>
        <v>0.5957400060730077</v>
      </c>
      <c r="S52" s="27">
        <f>+(I52-H52)/(I46-H46)</f>
        <v>0.63089139850640441</v>
      </c>
      <c r="T52" s="27">
        <f>+(J52-I52)/(J46-I46)</f>
        <v>0.66279853505485364</v>
      </c>
      <c r="U52" s="27">
        <f>+(K52-J52)/(K46-J46)</f>
        <v>0.69192995493220166</v>
      </c>
      <c r="V52" s="27">
        <f>+(L52-K52)/(L46-K46)</f>
        <v>0.71858219057798844</v>
      </c>
      <c r="AM52" s="146"/>
      <c r="AN52" s="146"/>
      <c r="AO52" s="146"/>
      <c r="AP52" s="146"/>
      <c r="AQ52" s="146"/>
    </row>
    <row r="53" spans="4:48" ht="15" x14ac:dyDescent="0.25">
      <c r="D53" s="2" t="s">
        <v>2</v>
      </c>
      <c r="G53" s="97">
        <f>10%*G82</f>
        <v>10</v>
      </c>
      <c r="H53" s="97">
        <f t="shared" ref="H53:L53" ca="1" si="67">10%*H82</f>
        <v>10.200000000000001</v>
      </c>
      <c r="I53" s="97">
        <f t="shared" ca="1" si="67"/>
        <v>10.404000000000002</v>
      </c>
      <c r="J53" s="97">
        <f t="shared" ca="1" si="67"/>
        <v>10.612080000000001</v>
      </c>
      <c r="K53" s="97">
        <f t="shared" ca="1" si="67"/>
        <v>10.824321599999999</v>
      </c>
      <c r="L53" s="97">
        <f t="shared" ca="1" si="67"/>
        <v>11.040808031999999</v>
      </c>
      <c r="N53" s="1" t="s">
        <v>17</v>
      </c>
      <c r="Q53" s="25">
        <f t="shared" ref="Q53:V53" si="68">+G49/G46</f>
        <v>0.49138525155065471</v>
      </c>
      <c r="R53" s="25">
        <f t="shared" si="68"/>
        <v>0.50696906073063808</v>
      </c>
      <c r="S53" s="25">
        <f t="shared" si="68"/>
        <v>0.52537358019557345</v>
      </c>
      <c r="T53" s="25">
        <f t="shared" si="68"/>
        <v>0.54664028483045923</v>
      </c>
      <c r="U53" s="25">
        <f t="shared" si="68"/>
        <v>0.57068051226241101</v>
      </c>
      <c r="V53" s="25">
        <f t="shared" si="68"/>
        <v>0.59724453805269639</v>
      </c>
      <c r="X53" s="58"/>
      <c r="Y53" s="59"/>
      <c r="Z53" s="59"/>
      <c r="AA53" s="59"/>
      <c r="AB53" s="48" t="s">
        <v>102</v>
      </c>
      <c r="AC53" s="60"/>
      <c r="AD53" s="61"/>
      <c r="AE53" s="10"/>
      <c r="AF53" s="10"/>
      <c r="AM53" s="146"/>
      <c r="AN53" s="146"/>
      <c r="AO53" s="146"/>
      <c r="AP53" s="146"/>
      <c r="AQ53" s="146"/>
    </row>
    <row r="54" spans="4:48" x14ac:dyDescent="0.2">
      <c r="D54" s="3" t="s">
        <v>3</v>
      </c>
      <c r="G54" s="1">
        <f>+G52-G53</f>
        <v>20</v>
      </c>
      <c r="H54" s="1">
        <f t="shared" ref="H54:L54" ca="1" si="69">+H52-H53</f>
        <v>24.626339999999978</v>
      </c>
      <c r="I54" s="1">
        <f t="shared" ca="1" si="69"/>
        <v>30.82118526</v>
      </c>
      <c r="J54" s="1">
        <f t="shared" ca="1" si="69"/>
        <v>39.050627675925611</v>
      </c>
      <c r="K54" s="1">
        <f t="shared" ca="1" si="69"/>
        <v>49.935059251020448</v>
      </c>
      <c r="L54" s="1">
        <f t="shared" ca="1" si="69"/>
        <v>64.301674487185707</v>
      </c>
      <c r="N54" s="1" t="s">
        <v>70</v>
      </c>
      <c r="Q54" s="25">
        <f t="shared" ref="Q54:V54" si="70">+G58/G46</f>
        <v>8.9593383873190907E-3</v>
      </c>
      <c r="R54" s="25">
        <f t="shared" ca="1" si="70"/>
        <v>2.658670526683099E-2</v>
      </c>
      <c r="S54" s="25">
        <f t="shared" ca="1" si="70"/>
        <v>4.8125992003170408E-2</v>
      </c>
      <c r="T54" s="25">
        <f t="shared" ca="1" si="70"/>
        <v>7.3643843392755329E-2</v>
      </c>
      <c r="U54" s="25">
        <f t="shared" ca="1" si="70"/>
        <v>0.10303049776527877</v>
      </c>
      <c r="V54" s="25">
        <f t="shared" ca="1" si="70"/>
        <v>0.13595844270541974</v>
      </c>
      <c r="X54" s="50"/>
      <c r="AB54" s="117" t="s">
        <v>104</v>
      </c>
      <c r="AC54" s="118" t="s">
        <v>106</v>
      </c>
      <c r="AD54" s="62" t="s">
        <v>108</v>
      </c>
      <c r="AM54" s="146"/>
      <c r="AN54" s="146"/>
      <c r="AO54" s="146"/>
      <c r="AP54" s="146"/>
      <c r="AQ54" s="146"/>
    </row>
    <row r="55" spans="4:48" x14ac:dyDescent="0.2">
      <c r="D55" s="2" t="s">
        <v>5</v>
      </c>
      <c r="E55" s="6"/>
      <c r="G55" s="2">
        <f t="shared" ref="G55:L55" si="71">+G81*$AA$13</f>
        <v>18</v>
      </c>
      <c r="H55" s="2">
        <f t="shared" si="71"/>
        <v>18.36</v>
      </c>
      <c r="I55" s="2">
        <f t="shared" si="71"/>
        <v>18.7272</v>
      </c>
      <c r="J55" s="2">
        <f t="shared" si="71"/>
        <v>19.101744</v>
      </c>
      <c r="K55" s="2">
        <f t="shared" si="71"/>
        <v>19.483778880000003</v>
      </c>
      <c r="L55" s="2">
        <f t="shared" si="71"/>
        <v>19.873454457600005</v>
      </c>
      <c r="X55" s="50"/>
      <c r="AB55" s="118" t="s">
        <v>105</v>
      </c>
      <c r="AC55" s="119" t="s">
        <v>1</v>
      </c>
      <c r="AD55" s="62" t="s">
        <v>109</v>
      </c>
      <c r="AM55" s="146"/>
      <c r="AN55" s="146"/>
      <c r="AO55" s="146"/>
      <c r="AP55" s="146"/>
      <c r="AQ55" s="146"/>
    </row>
    <row r="56" spans="4:48" ht="15" x14ac:dyDescent="0.25">
      <c r="D56" s="3" t="s">
        <v>6</v>
      </c>
      <c r="G56" s="1">
        <f>+G54-G55</f>
        <v>2</v>
      </c>
      <c r="H56" s="1">
        <f t="shared" ref="H56:L56" ca="1" si="72">+H54-H55</f>
        <v>6.2663399999999783</v>
      </c>
      <c r="I56" s="1">
        <f t="shared" ca="1" si="72"/>
        <v>12.09398526</v>
      </c>
      <c r="J56" s="1">
        <f t="shared" ca="1" si="72"/>
        <v>19.948883675925611</v>
      </c>
      <c r="K56" s="1">
        <f t="shared" ca="1" si="72"/>
        <v>30.451280371020445</v>
      </c>
      <c r="L56" s="1">
        <f t="shared" ca="1" si="72"/>
        <v>44.428220029585702</v>
      </c>
      <c r="N56" s="75" t="s">
        <v>71</v>
      </c>
      <c r="O56" s="76"/>
      <c r="P56" s="76"/>
      <c r="Q56" s="76"/>
      <c r="R56" s="76"/>
      <c r="S56" s="76"/>
      <c r="T56" s="76"/>
      <c r="U56" s="76"/>
      <c r="V56" s="76"/>
      <c r="X56" s="50"/>
      <c r="AB56" s="120" t="s">
        <v>103</v>
      </c>
      <c r="AC56" s="120" t="s">
        <v>107</v>
      </c>
      <c r="AD56" s="63" t="s">
        <v>107</v>
      </c>
      <c r="AM56" s="146"/>
      <c r="AN56" s="146"/>
      <c r="AO56" s="146"/>
      <c r="AP56" s="146"/>
      <c r="AQ56" s="146"/>
    </row>
    <row r="57" spans="4:48" x14ac:dyDescent="0.2">
      <c r="D57" s="2" t="s">
        <v>7</v>
      </c>
      <c r="E57" s="6"/>
      <c r="G57" s="2">
        <f t="shared" ref="G57:L57" si="73">+G56*$AA$14</f>
        <v>0.7</v>
      </c>
      <c r="H57" s="2">
        <f t="shared" ca="1" si="73"/>
        <v>2.193218999999992</v>
      </c>
      <c r="I57" s="2">
        <f t="shared" ca="1" si="73"/>
        <v>4.2328948409999994</v>
      </c>
      <c r="J57" s="2">
        <f t="shared" ca="1" si="73"/>
        <v>6.9821092865739631</v>
      </c>
      <c r="K57" s="2">
        <f t="shared" ca="1" si="73"/>
        <v>10.657948129857155</v>
      </c>
      <c r="L57" s="2">
        <f t="shared" ca="1" si="73"/>
        <v>15.549877010354995</v>
      </c>
      <c r="X57" s="50"/>
      <c r="AD57" s="52"/>
      <c r="AM57" s="146"/>
      <c r="AN57" s="146"/>
      <c r="AO57" s="146"/>
      <c r="AP57" s="146"/>
      <c r="AQ57" s="146"/>
    </row>
    <row r="58" spans="4:48" ht="15" x14ac:dyDescent="0.25">
      <c r="D58" s="17" t="s">
        <v>8</v>
      </c>
      <c r="E58" s="8"/>
      <c r="F58" s="8"/>
      <c r="G58" s="8">
        <f>+G56-G57</f>
        <v>1.3</v>
      </c>
      <c r="H58" s="8">
        <f t="shared" ref="H58:L58" ca="1" si="74">+H56-H57</f>
        <v>4.0731209999999862</v>
      </c>
      <c r="I58" s="8">
        <f t="shared" ca="1" si="74"/>
        <v>7.8610904190000008</v>
      </c>
      <c r="J58" s="8">
        <f t="shared" ca="1" si="74"/>
        <v>12.966774389351649</v>
      </c>
      <c r="K58" s="8">
        <f t="shared" ca="1" si="74"/>
        <v>19.793332241163291</v>
      </c>
      <c r="L58" s="8">
        <f t="shared" ca="1" si="74"/>
        <v>28.878343019230705</v>
      </c>
      <c r="N58" s="1" t="s">
        <v>53</v>
      </c>
      <c r="Q58" s="14">
        <f ca="1">+AA47-Q64</f>
        <v>677.72490559750338</v>
      </c>
      <c r="R58" s="1">
        <f ca="1">+Q58</f>
        <v>677.72490559750338</v>
      </c>
      <c r="S58" s="1">
        <f t="shared" ref="S58:V58" ca="1" si="75">+R58</f>
        <v>677.72490559750338</v>
      </c>
      <c r="T58" s="1">
        <f t="shared" ca="1" si="75"/>
        <v>677.72490559750338</v>
      </c>
      <c r="U58" s="1">
        <f t="shared" ca="1" si="75"/>
        <v>677.72490559750338</v>
      </c>
      <c r="V58" s="1">
        <f t="shared" ca="1" si="75"/>
        <v>677.72490559750338</v>
      </c>
      <c r="X58" s="115" t="s">
        <v>146</v>
      </c>
      <c r="Y58" s="19"/>
      <c r="Z58" s="19"/>
      <c r="AA58" s="19"/>
      <c r="AB58" s="116">
        <f>+AK26</f>
        <v>4.0312276472926289E-2</v>
      </c>
      <c r="AC58" s="90">
        <f ca="1">+AB58*$Q$65/$Q$58*$R$75</f>
        <v>1.3127008717422854</v>
      </c>
      <c r="AD58" s="91">
        <f ca="1">+AB58*$R$76</f>
        <v>6.7075416054011701</v>
      </c>
      <c r="AM58" s="146"/>
      <c r="AN58" s="146"/>
      <c r="AO58" s="146"/>
      <c r="AP58" s="146"/>
      <c r="AQ58" s="146"/>
    </row>
    <row r="59" spans="4:48" x14ac:dyDescent="0.2">
      <c r="D59" s="2" t="s">
        <v>9</v>
      </c>
      <c r="G59" s="11">
        <v>5</v>
      </c>
      <c r="H59" s="2">
        <f>+G59</f>
        <v>5</v>
      </c>
      <c r="I59" s="2">
        <f t="shared" ref="I59:L59" si="76">+H59</f>
        <v>5</v>
      </c>
      <c r="J59" s="2">
        <f t="shared" si="76"/>
        <v>5</v>
      </c>
      <c r="K59" s="2">
        <f t="shared" si="76"/>
        <v>5</v>
      </c>
      <c r="L59" s="2">
        <f t="shared" si="76"/>
        <v>5</v>
      </c>
      <c r="N59" s="2" t="s">
        <v>9</v>
      </c>
      <c r="O59" s="2"/>
      <c r="P59" s="2"/>
      <c r="Q59" s="2">
        <f t="shared" ref="Q59:V59" si="77">+G59</f>
        <v>5</v>
      </c>
      <c r="R59" s="2">
        <f t="shared" si="77"/>
        <v>5</v>
      </c>
      <c r="S59" s="2">
        <f t="shared" si="77"/>
        <v>5</v>
      </c>
      <c r="T59" s="2">
        <f t="shared" si="77"/>
        <v>5</v>
      </c>
      <c r="U59" s="2">
        <f t="shared" si="77"/>
        <v>5</v>
      </c>
      <c r="V59" s="2">
        <f t="shared" si="77"/>
        <v>5</v>
      </c>
      <c r="X59" s="50"/>
      <c r="AB59" s="46"/>
      <c r="AC59" s="24"/>
      <c r="AD59" s="65"/>
      <c r="AM59" s="146"/>
      <c r="AN59" s="146"/>
      <c r="AO59" s="146"/>
      <c r="AP59" s="146"/>
      <c r="AQ59" s="146"/>
    </row>
    <row r="60" spans="4:48" ht="15" x14ac:dyDescent="0.25">
      <c r="D60" s="22" t="s">
        <v>10</v>
      </c>
      <c r="E60" s="9"/>
      <c r="F60" s="9"/>
      <c r="G60" s="23">
        <f>+G58/G59</f>
        <v>0.26</v>
      </c>
      <c r="H60" s="23">
        <f t="shared" ref="H60:L60" ca="1" si="78">+H58/H59</f>
        <v>0.81462419999999724</v>
      </c>
      <c r="I60" s="23">
        <f t="shared" ca="1" si="78"/>
        <v>1.5722180838000002</v>
      </c>
      <c r="J60" s="23">
        <f t="shared" ca="1" si="78"/>
        <v>2.5933548778703299</v>
      </c>
      <c r="K60" s="23">
        <f t="shared" ca="1" si="78"/>
        <v>3.9586664482326581</v>
      </c>
      <c r="L60" s="23">
        <f t="shared" ca="1" si="78"/>
        <v>5.7756686038461407</v>
      </c>
      <c r="N60" s="3" t="s">
        <v>58</v>
      </c>
      <c r="Q60" s="1">
        <f t="shared" ref="Q60:V60" ca="1" si="79">+Q58/G59</f>
        <v>135.54498111950068</v>
      </c>
      <c r="R60" s="1">
        <f t="shared" ca="1" si="79"/>
        <v>135.54498111950068</v>
      </c>
      <c r="S60" s="1">
        <f t="shared" ca="1" si="79"/>
        <v>135.54498111950068</v>
      </c>
      <c r="T60" s="1">
        <f t="shared" ca="1" si="79"/>
        <v>135.54498111950068</v>
      </c>
      <c r="U60" s="1">
        <f t="shared" ca="1" si="79"/>
        <v>135.54498111950068</v>
      </c>
      <c r="V60" s="1">
        <f t="shared" ca="1" si="79"/>
        <v>135.54498111950068</v>
      </c>
      <c r="X60" s="121" t="s">
        <v>147</v>
      </c>
      <c r="Y60" s="122"/>
      <c r="Z60" s="122"/>
      <c r="AA60" s="122"/>
      <c r="AB60" s="123">
        <f>+AS26</f>
        <v>5.6848682683723062E-2</v>
      </c>
      <c r="AC60" s="124">
        <f ca="1">+AB60*$Q$65/$Q$58*$R$75</f>
        <v>1.8511808770323888</v>
      </c>
      <c r="AD60" s="125">
        <f ca="1">+AB60*$R$76</f>
        <v>9.4590268195201634</v>
      </c>
      <c r="AM60" s="146"/>
      <c r="AN60" s="146"/>
      <c r="AO60" s="146"/>
      <c r="AP60" s="146"/>
      <c r="AQ60" s="146"/>
    </row>
    <row r="62" spans="4:48" ht="15" x14ac:dyDescent="0.25">
      <c r="D62" s="72" t="s">
        <v>40</v>
      </c>
      <c r="E62" s="74"/>
      <c r="F62" s="74"/>
      <c r="G62" s="74"/>
      <c r="H62" s="74"/>
      <c r="I62" s="74"/>
      <c r="J62" s="74"/>
      <c r="K62" s="74"/>
      <c r="L62" s="74"/>
      <c r="N62" s="1" t="s">
        <v>54</v>
      </c>
      <c r="Q62" s="1">
        <f t="shared" ref="Q62:V62" si="80">+G81</f>
        <v>300</v>
      </c>
      <c r="R62" s="1">
        <f t="shared" si="80"/>
        <v>306</v>
      </c>
      <c r="S62" s="1">
        <f t="shared" si="80"/>
        <v>312.12</v>
      </c>
      <c r="T62" s="1">
        <f t="shared" si="80"/>
        <v>318.36240000000004</v>
      </c>
      <c r="U62" s="1">
        <f t="shared" si="80"/>
        <v>324.72964800000005</v>
      </c>
      <c r="V62" s="1">
        <f t="shared" si="80"/>
        <v>331.22424096000009</v>
      </c>
    </row>
    <row r="63" spans="4:48" x14ac:dyDescent="0.2">
      <c r="D63" s="2"/>
      <c r="N63" s="2" t="s">
        <v>21</v>
      </c>
      <c r="Q63" s="2">
        <f t="shared" ref="Q63:V63" si="81">-G80</f>
        <v>-100</v>
      </c>
      <c r="R63" s="2">
        <f t="shared" ca="1" si="81"/>
        <v>-108.07312099999999</v>
      </c>
      <c r="S63" s="2">
        <f t="shared" ca="1" si="81"/>
        <v>-120.01421141899999</v>
      </c>
      <c r="T63" s="2">
        <f t="shared" ca="1" si="81"/>
        <v>-137.14258580835167</v>
      </c>
      <c r="U63" s="2">
        <f t="shared" ca="1" si="81"/>
        <v>-161.18075004951498</v>
      </c>
      <c r="V63" s="2">
        <f t="shared" ca="1" si="81"/>
        <v>-194.38882170874572</v>
      </c>
    </row>
    <row r="64" spans="4:48" x14ac:dyDescent="0.2">
      <c r="D64" s="1" t="s">
        <v>8</v>
      </c>
      <c r="H64" s="1">
        <f t="shared" ref="H64:L64" ca="1" si="82">+H58</f>
        <v>4.0731209999999862</v>
      </c>
      <c r="I64" s="1">
        <f t="shared" ca="1" si="82"/>
        <v>7.8610904190000008</v>
      </c>
      <c r="J64" s="1">
        <f t="shared" ca="1" si="82"/>
        <v>12.966774389351649</v>
      </c>
      <c r="K64" s="1">
        <f t="shared" ca="1" si="82"/>
        <v>19.793332241163291</v>
      </c>
      <c r="L64" s="1">
        <f t="shared" ca="1" si="82"/>
        <v>28.878343019230705</v>
      </c>
      <c r="N64" s="3" t="s">
        <v>55</v>
      </c>
      <c r="Q64" s="1">
        <f>+Q62+Q63</f>
        <v>200</v>
      </c>
      <c r="R64" s="1">
        <f t="shared" ref="R64:V64" ca="1" si="83">+R62+R63</f>
        <v>197.92687900000001</v>
      </c>
      <c r="S64" s="1">
        <f t="shared" ca="1" si="83"/>
        <v>192.10578858100001</v>
      </c>
      <c r="T64" s="1">
        <f t="shared" ca="1" si="83"/>
        <v>181.21981419164837</v>
      </c>
      <c r="U64" s="1">
        <f t="shared" ca="1" si="83"/>
        <v>163.54889795048507</v>
      </c>
      <c r="V64" s="1">
        <f t="shared" ca="1" si="83"/>
        <v>136.83541925125436</v>
      </c>
    </row>
    <row r="65" spans="4:22" ht="15" x14ac:dyDescent="0.25">
      <c r="D65" s="1" t="s">
        <v>2</v>
      </c>
      <c r="H65" s="1">
        <f t="shared" ref="H65:L65" ca="1" si="84">+H53</f>
        <v>10.200000000000001</v>
      </c>
      <c r="I65" s="1">
        <f t="shared" ca="1" si="84"/>
        <v>10.404000000000002</v>
      </c>
      <c r="J65" s="1">
        <f t="shared" ca="1" si="84"/>
        <v>10.612080000000001</v>
      </c>
      <c r="K65" s="1">
        <f t="shared" ca="1" si="84"/>
        <v>10.824321599999999</v>
      </c>
      <c r="L65" s="1">
        <f t="shared" ca="1" si="84"/>
        <v>11.040808031999999</v>
      </c>
      <c r="N65" s="9" t="s">
        <v>64</v>
      </c>
      <c r="O65" s="9"/>
      <c r="P65" s="9"/>
      <c r="Q65" s="9">
        <f t="shared" ref="Q65:V65" ca="1" si="85">+Q58+Q64</f>
        <v>877.72490559750338</v>
      </c>
      <c r="R65" s="9">
        <f t="shared" ca="1" si="85"/>
        <v>875.65178459750337</v>
      </c>
      <c r="S65" s="9">
        <f t="shared" ca="1" si="85"/>
        <v>869.83069417850334</v>
      </c>
      <c r="T65" s="9">
        <f t="shared" ca="1" si="85"/>
        <v>858.9447197891518</v>
      </c>
      <c r="U65" s="9">
        <f t="shared" ca="1" si="85"/>
        <v>841.27380354798845</v>
      </c>
      <c r="V65" s="9">
        <f t="shared" ca="1" si="85"/>
        <v>814.56032484875777</v>
      </c>
    </row>
    <row r="66" spans="4:22" x14ac:dyDescent="0.2">
      <c r="D66" s="2" t="s">
        <v>45</v>
      </c>
      <c r="G66" s="11"/>
      <c r="H66" s="11">
        <v>0</v>
      </c>
      <c r="I66" s="2">
        <f t="shared" ref="I66:L66" si="86">+H66</f>
        <v>0</v>
      </c>
      <c r="J66" s="2">
        <f t="shared" si="86"/>
        <v>0</v>
      </c>
      <c r="K66" s="2">
        <f t="shared" si="86"/>
        <v>0</v>
      </c>
      <c r="L66" s="2">
        <f t="shared" si="86"/>
        <v>0</v>
      </c>
    </row>
    <row r="67" spans="4:22" ht="15" x14ac:dyDescent="0.25">
      <c r="D67" s="3" t="s">
        <v>50</v>
      </c>
      <c r="H67" s="1">
        <f ca="1">SUM(H64:H66)</f>
        <v>14.273120999999987</v>
      </c>
      <c r="I67" s="1">
        <f ca="1">SUM(I64:I66)</f>
        <v>18.265090419000003</v>
      </c>
      <c r="J67" s="1">
        <f ca="1">SUM(J64:J66)</f>
        <v>23.578854389351648</v>
      </c>
      <c r="K67" s="1">
        <f ca="1">SUM(K64:K66)</f>
        <v>30.617653841163289</v>
      </c>
      <c r="L67" s="1">
        <f ca="1">SUM(L64:L66)</f>
        <v>39.919151051230706</v>
      </c>
      <c r="N67" s="7" t="s">
        <v>61</v>
      </c>
    </row>
    <row r="68" spans="4:22" x14ac:dyDescent="0.2">
      <c r="D68" s="1" t="s">
        <v>19</v>
      </c>
      <c r="H68" s="1">
        <f ca="1">-H53-G82*Q44</f>
        <v>-12.200000000000001</v>
      </c>
      <c r="I68" s="1">
        <f ca="1">-I53-H82*R44</f>
        <v>-12.444000000000003</v>
      </c>
      <c r="J68" s="1">
        <f ca="1">-J53-I82*S44</f>
        <v>-12.692880000000001</v>
      </c>
      <c r="K68" s="1">
        <f ca="1">-K53-J82*T44</f>
        <v>-12.946737599999999</v>
      </c>
      <c r="L68" s="1">
        <f ca="1">-L53-K82*U44</f>
        <v>-13.205672351999999</v>
      </c>
      <c r="N68" s="1" t="s">
        <v>56</v>
      </c>
      <c r="Q68" s="24">
        <f t="shared" ref="Q68:V68" si="87">+Q62/G52</f>
        <v>10</v>
      </c>
      <c r="R68" s="24">
        <f t="shared" si="87"/>
        <v>8.7864530122889786</v>
      </c>
      <c r="S68" s="24">
        <f t="shared" si="87"/>
        <v>7.5710999970409834</v>
      </c>
      <c r="T68" s="24">
        <f t="shared" si="87"/>
        <v>6.41049219622652</v>
      </c>
      <c r="U68" s="24">
        <f t="shared" si="87"/>
        <v>5.3445187138464112</v>
      </c>
      <c r="V68" s="24">
        <f t="shared" si="87"/>
        <v>4.3962480380926516</v>
      </c>
    </row>
    <row r="69" spans="4:22" ht="15" x14ac:dyDescent="0.25">
      <c r="D69" s="2" t="s">
        <v>45</v>
      </c>
      <c r="G69" s="11"/>
      <c r="H69" s="11">
        <v>0</v>
      </c>
      <c r="I69" s="2">
        <f t="shared" ref="I69:L69" si="88">+H69</f>
        <v>0</v>
      </c>
      <c r="J69" s="2">
        <f t="shared" si="88"/>
        <v>0</v>
      </c>
      <c r="K69" s="2">
        <f t="shared" si="88"/>
        <v>0</v>
      </c>
      <c r="L69" s="2">
        <f t="shared" si="88"/>
        <v>0</v>
      </c>
      <c r="N69" s="9" t="s">
        <v>57</v>
      </c>
      <c r="O69" s="9"/>
      <c r="P69" s="9"/>
      <c r="Q69" s="28">
        <f t="shared" ref="Q69:V69" si="89">+Q64/G52</f>
        <v>6.666666666666667</v>
      </c>
      <c r="R69" s="28">
        <f t="shared" ca="1" si="89"/>
        <v>5.6832523601389102</v>
      </c>
      <c r="S69" s="28">
        <f t="shared" ca="1" si="89"/>
        <v>4.6599132877007721</v>
      </c>
      <c r="T69" s="28">
        <f t="shared" ca="1" si="89"/>
        <v>3.6490119583128591</v>
      </c>
      <c r="U69" s="28">
        <f t="shared" ca="1" si="89"/>
        <v>2.6917472768773005</v>
      </c>
      <c r="V69" s="28">
        <f t="shared" ca="1" si="89"/>
        <v>1.816178796821696</v>
      </c>
    </row>
    <row r="70" spans="4:22" x14ac:dyDescent="0.2">
      <c r="D70" s="3" t="s">
        <v>46</v>
      </c>
      <c r="H70" s="1">
        <f t="shared" ref="H70:L70" ca="1" si="90">+H68+H69</f>
        <v>-12.200000000000001</v>
      </c>
      <c r="I70" s="1">
        <f t="shared" ca="1" si="90"/>
        <v>-12.444000000000003</v>
      </c>
      <c r="J70" s="1">
        <f t="shared" ca="1" si="90"/>
        <v>-12.692880000000001</v>
      </c>
      <c r="K70" s="1">
        <f t="shared" ca="1" si="90"/>
        <v>-12.946737599999999</v>
      </c>
      <c r="L70" s="1">
        <f t="shared" ca="1" si="90"/>
        <v>-13.205672351999999</v>
      </c>
    </row>
    <row r="71" spans="4:22" x14ac:dyDescent="0.2">
      <c r="D71" s="1" t="s">
        <v>47</v>
      </c>
      <c r="G71" s="4"/>
      <c r="H71" s="14">
        <f>+H81-G81</f>
        <v>6</v>
      </c>
      <c r="I71" s="14">
        <f>+I81-H81</f>
        <v>6.1200000000000045</v>
      </c>
      <c r="J71" s="14">
        <f>+J81-I81</f>
        <v>6.2424000000000319</v>
      </c>
      <c r="K71" s="14">
        <f>+K81-J81</f>
        <v>6.3672480000000178</v>
      </c>
      <c r="L71" s="14">
        <f>+L81-K81</f>
        <v>6.4945929600000341</v>
      </c>
      <c r="N71" s="1" t="s">
        <v>59</v>
      </c>
      <c r="Q71" s="5">
        <f ca="1">+Q62/Q65</f>
        <v>0.34179273948684147</v>
      </c>
      <c r="R71" s="5">
        <f t="shared" ref="R71:V71" ca="1" si="91">+R62/R65</f>
        <v>0.34945397860481042</v>
      </c>
      <c r="S71" s="5">
        <f t="shared" ca="1" si="91"/>
        <v>0.35882845028224303</v>
      </c>
      <c r="T71" s="5">
        <f t="shared" ca="1" si="91"/>
        <v>0.37064364290888191</v>
      </c>
      <c r="U71" s="5">
        <f t="shared" ca="1" si="91"/>
        <v>0.38599757490425246</v>
      </c>
      <c r="V71" s="5">
        <f t="shared" ca="1" si="91"/>
        <v>0.40662947955573414</v>
      </c>
    </row>
    <row r="72" spans="4:22" ht="15" x14ac:dyDescent="0.25">
      <c r="D72" s="1" t="s">
        <v>48</v>
      </c>
      <c r="G72" s="4"/>
      <c r="H72" s="4">
        <v>0</v>
      </c>
      <c r="I72" s="1">
        <f t="shared" ref="I72:L72" si="92">+H72</f>
        <v>0</v>
      </c>
      <c r="J72" s="1">
        <f t="shared" si="92"/>
        <v>0</v>
      </c>
      <c r="K72" s="1">
        <f t="shared" si="92"/>
        <v>0</v>
      </c>
      <c r="L72" s="1">
        <f t="shared" si="92"/>
        <v>0</v>
      </c>
      <c r="N72" s="9" t="s">
        <v>60</v>
      </c>
      <c r="O72" s="9"/>
      <c r="P72" s="9"/>
      <c r="Q72" s="27">
        <f ca="1">+Q64/Q65</f>
        <v>0.22786182632456098</v>
      </c>
      <c r="R72" s="27">
        <f t="shared" ref="R72:V72" ca="1" si="93">+R64/R65</f>
        <v>0.22603377561889837</v>
      </c>
      <c r="S72" s="27">
        <f t="shared" ca="1" si="93"/>
        <v>0.22085423044588123</v>
      </c>
      <c r="T72" s="27">
        <f t="shared" ca="1" si="93"/>
        <v>0.21097960091789497</v>
      </c>
      <c r="U72" s="27">
        <f t="shared" ca="1" si="93"/>
        <v>0.19440626495290106</v>
      </c>
      <c r="V72" s="27">
        <f t="shared" ca="1" si="93"/>
        <v>0.16798684526730548</v>
      </c>
    </row>
    <row r="73" spans="4:22" x14ac:dyDescent="0.2">
      <c r="D73" s="2" t="s">
        <v>45</v>
      </c>
      <c r="G73" s="11"/>
      <c r="H73" s="11">
        <v>0</v>
      </c>
      <c r="I73" s="2">
        <f t="shared" ref="I73:L73" si="94">+H73</f>
        <v>0</v>
      </c>
      <c r="J73" s="2">
        <f t="shared" si="94"/>
        <v>0</v>
      </c>
      <c r="K73" s="2">
        <f t="shared" si="94"/>
        <v>0</v>
      </c>
      <c r="L73" s="2">
        <f t="shared" si="94"/>
        <v>0</v>
      </c>
    </row>
    <row r="74" spans="4:22" ht="15" x14ac:dyDescent="0.25">
      <c r="D74" s="3" t="s">
        <v>49</v>
      </c>
      <c r="G74" s="14"/>
      <c r="H74" s="14">
        <f t="shared" ref="H74:L74" si="95">SUM(H71:H73)</f>
        <v>6</v>
      </c>
      <c r="I74" s="14">
        <f t="shared" si="95"/>
        <v>6.1200000000000045</v>
      </c>
      <c r="J74" s="14">
        <f t="shared" si="95"/>
        <v>6.2424000000000319</v>
      </c>
      <c r="K74" s="14">
        <f t="shared" si="95"/>
        <v>6.3672480000000178</v>
      </c>
      <c r="L74" s="14">
        <f t="shared" si="95"/>
        <v>6.4945929600000341</v>
      </c>
      <c r="N74" s="7" t="s">
        <v>62</v>
      </c>
    </row>
    <row r="75" spans="4:22" ht="15" x14ac:dyDescent="0.25">
      <c r="D75" s="8" t="s">
        <v>51</v>
      </c>
      <c r="E75" s="8"/>
      <c r="F75" s="8"/>
      <c r="G75" s="20"/>
      <c r="H75" s="20">
        <f t="shared" ref="H75:L75" ca="1" si="96">+H67+H70+H74</f>
        <v>8.0731209999999862</v>
      </c>
      <c r="I75" s="20">
        <f t="shared" ca="1" si="96"/>
        <v>11.941090419000005</v>
      </c>
      <c r="J75" s="20">
        <f t="shared" ca="1" si="96"/>
        <v>17.128374389351677</v>
      </c>
      <c r="K75" s="20">
        <f t="shared" ca="1" si="96"/>
        <v>24.038164241163308</v>
      </c>
      <c r="L75" s="20">
        <f t="shared" ca="1" si="96"/>
        <v>33.20807165923074</v>
      </c>
      <c r="N75" s="9" t="s">
        <v>63</v>
      </c>
      <c r="O75" s="9"/>
      <c r="P75" s="9"/>
      <c r="Q75" s="28">
        <f t="shared" ref="Q75:V75" ca="1" si="97">+Q65/G52</f>
        <v>29.257496853250114</v>
      </c>
      <c r="R75" s="28">
        <f t="shared" ca="1" si="97"/>
        <v>25.143376668277629</v>
      </c>
      <c r="S75" s="28">
        <f t="shared" ca="1" si="97"/>
        <v>21.099497520572289</v>
      </c>
      <c r="T75" s="28">
        <f t="shared" ca="1" si="97"/>
        <v>17.295567639891935</v>
      </c>
      <c r="U75" s="28">
        <f t="shared" ca="1" si="97"/>
        <v>13.845990393002159</v>
      </c>
      <c r="V75" s="28">
        <f t="shared" ca="1" si="97"/>
        <v>10.811434633061536</v>
      </c>
    </row>
    <row r="76" spans="4:22" ht="15" x14ac:dyDescent="0.25">
      <c r="G76" s="4"/>
      <c r="N76" s="9" t="s">
        <v>65</v>
      </c>
      <c r="O76" s="9"/>
      <c r="P76" s="9"/>
      <c r="Q76" s="29">
        <f t="shared" ref="Q76:V76" ca="1" si="98">+Q60/G60</f>
        <v>521.32685045961796</v>
      </c>
      <c r="R76" s="29">
        <f t="shared" ca="1" si="98"/>
        <v>166.3895832207061</v>
      </c>
      <c r="S76" s="29">
        <f t="shared" ca="1" si="98"/>
        <v>86.212582412163101</v>
      </c>
      <c r="T76" s="29">
        <f t="shared" ca="1" si="98"/>
        <v>52.266268020676975</v>
      </c>
      <c r="U76" s="29">
        <f t="shared" ca="1" si="98"/>
        <v>34.240061114523698</v>
      </c>
      <c r="V76" s="29">
        <f t="shared" ca="1" si="98"/>
        <v>23.468275348976633</v>
      </c>
    </row>
    <row r="77" spans="4:22" ht="15" x14ac:dyDescent="0.25">
      <c r="D77" s="9" t="s">
        <v>96</v>
      </c>
      <c r="E77" s="9"/>
      <c r="F77" s="9"/>
      <c r="G77" s="9"/>
      <c r="H77" s="9">
        <f ca="1">+H67+H70+H55*(1-$AA$14)</f>
        <v>14.007120999999986</v>
      </c>
      <c r="I77" s="9">
        <f ca="1">+I67+I70+I55*(1-$AA$14)</f>
        <v>17.993770419000001</v>
      </c>
      <c r="J77" s="9">
        <f ca="1">+J67+J70+J55*(1-$AA$14)</f>
        <v>23.302107989351647</v>
      </c>
      <c r="K77" s="9">
        <f ca="1">+K67+K70+K55*(1-$AA$14)</f>
        <v>30.335372513163293</v>
      </c>
      <c r="L77" s="9">
        <f ca="1">+L67+L70+L55*(1-$AA$14)</f>
        <v>39.631224096670707</v>
      </c>
    </row>
    <row r="79" spans="4:22" ht="15" x14ac:dyDescent="0.25">
      <c r="D79" s="72" t="s">
        <v>41</v>
      </c>
      <c r="E79" s="74"/>
      <c r="F79" s="74"/>
      <c r="G79" s="74"/>
      <c r="H79" s="74"/>
      <c r="I79" s="74"/>
      <c r="J79" s="74"/>
      <c r="K79" s="74"/>
      <c r="L79" s="74"/>
    </row>
    <row r="80" spans="4:22" x14ac:dyDescent="0.2">
      <c r="D80" s="1" t="s">
        <v>21</v>
      </c>
      <c r="G80" s="4">
        <v>100</v>
      </c>
      <c r="H80" s="1">
        <f ca="1">+G80+H75</f>
        <v>108.07312099999999</v>
      </c>
      <c r="I80" s="1">
        <f ca="1">+H80+I75</f>
        <v>120.01421141899999</v>
      </c>
      <c r="J80" s="1">
        <f ca="1">+I80+J75</f>
        <v>137.14258580835167</v>
      </c>
      <c r="K80" s="1">
        <f ca="1">+J80+K75</f>
        <v>161.18075004951498</v>
      </c>
      <c r="L80" s="1">
        <f ca="1">+K80+L75</f>
        <v>194.38882170874572</v>
      </c>
    </row>
    <row r="81" spans="4:12" x14ac:dyDescent="0.2">
      <c r="D81" s="1" t="s">
        <v>20</v>
      </c>
      <c r="G81" s="4">
        <v>300</v>
      </c>
      <c r="H81" s="1">
        <f>+G81*(1+R13)</f>
        <v>306</v>
      </c>
      <c r="I81" s="1">
        <f>+H81*(1+S13)</f>
        <v>312.12</v>
      </c>
      <c r="J81" s="1">
        <f>+I81*(1+T13)</f>
        <v>318.36240000000004</v>
      </c>
      <c r="K81" s="1">
        <f>+J81*(1+U13)</f>
        <v>324.72964800000005</v>
      </c>
      <c r="L81" s="1">
        <f>+K81*(1+V13)</f>
        <v>331.22424096000009</v>
      </c>
    </row>
    <row r="82" spans="4:12" x14ac:dyDescent="0.2">
      <c r="D82" s="1" t="s">
        <v>52</v>
      </c>
      <c r="G82" s="4">
        <v>100</v>
      </c>
      <c r="H82" s="1">
        <f ca="1">+G82-H53-H68</f>
        <v>102</v>
      </c>
      <c r="I82" s="1">
        <f ca="1">+H82-I53-I68</f>
        <v>104.04</v>
      </c>
      <c r="J82" s="1">
        <f ca="1">+I82-J53-J68</f>
        <v>106.1208</v>
      </c>
      <c r="K82" s="1">
        <f ca="1">+J82-K53-K68</f>
        <v>108.24321599999999</v>
      </c>
      <c r="L82" s="1">
        <f ca="1">+K82-L53-L68</f>
        <v>110.40808031999998</v>
      </c>
    </row>
  </sheetData>
  <mergeCells count="3">
    <mergeCell ref="AM48:AQ60"/>
    <mergeCell ref="AS49:AV49"/>
    <mergeCell ref="AT50:AV50"/>
  </mergeCells>
  <hyperlinks>
    <hyperlink ref="AT50" r:id="rId1" xr:uid="{34F3FC40-3C59-492D-A8D2-BED3441F923D}"/>
  </hyperlinks>
  <pageMargins left="0.7" right="0.7" top="0.75" bottom="0.75" header="0.3" footer="0.3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MBA Calculator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Rich FW</dc:creator>
  <cp:lastModifiedBy>roman aebi</cp:lastModifiedBy>
  <dcterms:created xsi:type="dcterms:W3CDTF">2023-03-25T10:57:47Z</dcterms:created>
  <dcterms:modified xsi:type="dcterms:W3CDTF">2025-10-18T18:40:54Z</dcterms:modified>
</cp:coreProperties>
</file>