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V:\Finance\Audit\2025 1H Review\NZX\Final versions\"/>
    </mc:Choice>
  </mc:AlternateContent>
  <xr:revisionPtr revIDLastSave="0" documentId="13_ncr:1_{3FE8D114-6238-4441-B5A3-978FA34DFE33}" xr6:coauthVersionLast="47" xr6:coauthVersionMax="47" xr10:uidLastSave="{00000000-0000-0000-0000-000000000000}"/>
  <bookViews>
    <workbookView xWindow="25695" yWindow="0" windowWidth="26010" windowHeight="20985" xr2:uid="{6D3EE10D-9FDD-4834-B6E2-C089693307B0}"/>
  </bookViews>
  <sheets>
    <sheet name="Summary" sheetId="1" r:id="rId1"/>
  </sheets>
  <definedNames>
    <definedName name="_xlnm.Print_Area" localSheetId="0">Summary!$A$1:$AD$280</definedName>
    <definedName name="_xlnm.Print_Titles" localSheetId="0">Summary!$1:$7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231" i="1" l="1"/>
  <c r="V231" i="1"/>
  <c r="U231" i="1"/>
  <c r="T231" i="1"/>
  <c r="S231" i="1"/>
  <c r="R231" i="1"/>
  <c r="Q231" i="1"/>
  <c r="P231" i="1"/>
  <c r="O231" i="1"/>
  <c r="N231" i="1"/>
  <c r="M231" i="1"/>
  <c r="G231" i="1"/>
  <c r="F231" i="1"/>
  <c r="E231" i="1"/>
  <c r="D231" i="1"/>
  <c r="C231" i="1"/>
  <c r="W228" i="1"/>
  <c r="V228" i="1"/>
  <c r="U228" i="1"/>
  <c r="T228" i="1"/>
  <c r="S228" i="1"/>
  <c r="R228" i="1"/>
  <c r="Q228" i="1"/>
  <c r="P228" i="1"/>
  <c r="O228" i="1"/>
  <c r="N228" i="1"/>
  <c r="M228" i="1"/>
  <c r="G228" i="1"/>
  <c r="F228" i="1"/>
  <c r="E228" i="1"/>
  <c r="D228" i="1"/>
  <c r="C228" i="1"/>
  <c r="W225" i="1"/>
  <c r="V225" i="1"/>
  <c r="U225" i="1"/>
  <c r="T225" i="1"/>
  <c r="S225" i="1"/>
  <c r="R225" i="1"/>
  <c r="Q225" i="1"/>
  <c r="P225" i="1"/>
  <c r="O225" i="1"/>
  <c r="N225" i="1"/>
  <c r="M225" i="1"/>
  <c r="W224" i="1"/>
  <c r="V224" i="1"/>
  <c r="U224" i="1"/>
  <c r="T224" i="1"/>
  <c r="S224" i="1"/>
  <c r="R224" i="1"/>
  <c r="Q224" i="1"/>
  <c r="P224" i="1"/>
  <c r="O224" i="1"/>
  <c r="N224" i="1"/>
  <c r="M224" i="1"/>
  <c r="G225" i="1"/>
  <c r="F225" i="1"/>
  <c r="E225" i="1"/>
  <c r="D225" i="1"/>
  <c r="C225" i="1"/>
  <c r="G224" i="1"/>
  <c r="F224" i="1"/>
  <c r="E224" i="1"/>
  <c r="D224" i="1"/>
  <c r="C224" i="1"/>
  <c r="W222" i="1"/>
  <c r="V222" i="1"/>
  <c r="U222" i="1"/>
  <c r="T222" i="1"/>
  <c r="S222" i="1"/>
  <c r="R222" i="1"/>
  <c r="Q222" i="1"/>
  <c r="P222" i="1"/>
  <c r="O222" i="1"/>
  <c r="N222" i="1"/>
  <c r="M222" i="1"/>
  <c r="G222" i="1"/>
  <c r="F222" i="1"/>
  <c r="E222" i="1"/>
  <c r="D222" i="1"/>
  <c r="C222" i="1"/>
  <c r="V118" i="1"/>
  <c r="W109" i="1"/>
  <c r="G264" i="1" l="1"/>
  <c r="G263" i="1"/>
  <c r="F264" i="1"/>
  <c r="F263" i="1"/>
  <c r="F265" i="1" s="1"/>
  <c r="U265" i="1"/>
  <c r="G253" i="1"/>
  <c r="F253" i="1"/>
  <c r="E253" i="1"/>
  <c r="D253" i="1"/>
  <c r="C253" i="1"/>
  <c r="G252" i="1"/>
  <c r="F252" i="1"/>
  <c r="E252" i="1"/>
  <c r="D252" i="1"/>
  <c r="C252" i="1"/>
  <c r="C251" i="1"/>
  <c r="K260" i="1"/>
  <c r="J260" i="1"/>
  <c r="I260" i="1"/>
  <c r="H260" i="1"/>
  <c r="C257" i="1"/>
  <c r="K254" i="1"/>
  <c r="J254" i="1"/>
  <c r="I254" i="1"/>
  <c r="H254" i="1"/>
  <c r="G265" i="1" l="1"/>
  <c r="M254" i="1"/>
  <c r="N251" i="1" s="1"/>
  <c r="W265" i="1"/>
  <c r="V101" i="1"/>
  <c r="V102" i="1"/>
  <c r="V103" i="1"/>
  <c r="V104" i="1"/>
  <c r="Q113" i="1"/>
  <c r="P113" i="1"/>
  <c r="O113" i="1"/>
  <c r="N113" i="1"/>
  <c r="M113" i="1"/>
  <c r="D113" i="1"/>
  <c r="C113" i="1"/>
  <c r="D106" i="1"/>
  <c r="C106" i="1"/>
  <c r="M106" i="1"/>
  <c r="O106" i="1"/>
  <c r="Q106" i="1"/>
  <c r="R92" i="1" l="1"/>
  <c r="E113" i="1" l="1"/>
  <c r="R91" i="1"/>
  <c r="R113" i="1" s="1"/>
  <c r="E106" i="1"/>
  <c r="S113" i="1" l="1"/>
  <c r="F106" i="1" l="1"/>
  <c r="F113" i="1"/>
  <c r="G106" i="1" l="1"/>
  <c r="G113" i="1"/>
  <c r="W114" i="1"/>
  <c r="T92" i="1"/>
  <c r="T91" i="1"/>
  <c r="V92" i="1"/>
  <c r="S106" i="1"/>
  <c r="U113" i="1" l="1"/>
  <c r="W113" i="1"/>
  <c r="T113" i="1"/>
  <c r="U106" i="1"/>
  <c r="W106" i="1"/>
  <c r="V91" i="1"/>
  <c r="V113" i="1" s="1"/>
  <c r="W43" i="1" l="1"/>
  <c r="W44" i="1" l="1"/>
  <c r="V245" i="1"/>
  <c r="V244" i="1"/>
  <c r="V243" i="1"/>
  <c r="V242" i="1"/>
  <c r="V241" i="1"/>
  <c r="V238" i="1"/>
  <c r="V237" i="1"/>
  <c r="V236" i="1"/>
  <c r="V235" i="1"/>
  <c r="V234" i="1"/>
  <c r="V233" i="1"/>
  <c r="V232" i="1"/>
  <c r="V230" i="1"/>
  <c r="V229" i="1"/>
  <c r="V227" i="1"/>
  <c r="G258" i="1" s="1"/>
  <c r="V226" i="1"/>
  <c r="V218" i="1"/>
  <c r="G208" i="1"/>
  <c r="V181" i="1"/>
  <c r="V179" i="1"/>
  <c r="V178" i="1"/>
  <c r="V177" i="1"/>
  <c r="V176" i="1"/>
  <c r="V166" i="1"/>
  <c r="V171" i="1"/>
  <c r="V170" i="1"/>
  <c r="V169" i="1"/>
  <c r="V168" i="1"/>
  <c r="V167" i="1"/>
  <c r="V165" i="1"/>
  <c r="V164" i="1"/>
  <c r="V163" i="1"/>
  <c r="V160" i="1"/>
  <c r="V159" i="1"/>
  <c r="V158" i="1"/>
  <c r="V157" i="1"/>
  <c r="V156" i="1"/>
  <c r="V155" i="1"/>
  <c r="V154" i="1"/>
  <c r="V153" i="1"/>
  <c r="V152" i="1"/>
  <c r="V151" i="1"/>
  <c r="V147" i="1"/>
  <c r="V146" i="1"/>
  <c r="V145" i="1"/>
  <c r="V144" i="1"/>
  <c r="V143" i="1"/>
  <c r="V142" i="1"/>
  <c r="V141" i="1"/>
  <c r="V140" i="1"/>
  <c r="V139" i="1"/>
  <c r="V138" i="1"/>
  <c r="V137" i="1"/>
  <c r="V136" i="1"/>
  <c r="V127" i="1"/>
  <c r="V128" i="1"/>
  <c r="V129" i="1"/>
  <c r="V130" i="1"/>
  <c r="V131" i="1"/>
  <c r="V132" i="1"/>
  <c r="V133" i="1"/>
  <c r="V126" i="1"/>
  <c r="T100" i="1"/>
  <c r="V86" i="1"/>
  <c r="V87" i="1"/>
  <c r="V88" i="1"/>
  <c r="V89" i="1"/>
  <c r="V90" i="1"/>
  <c r="V93" i="1"/>
  <c r="V94" i="1"/>
  <c r="V95" i="1"/>
  <c r="V96" i="1"/>
  <c r="V97" i="1"/>
  <c r="V98" i="1"/>
  <c r="V99" i="1"/>
  <c r="V100" i="1"/>
  <c r="V105" i="1"/>
  <c r="V85" i="1"/>
  <c r="V80" i="1"/>
  <c r="V79" i="1"/>
  <c r="V78" i="1"/>
  <c r="V77" i="1"/>
  <c r="V74" i="1"/>
  <c r="V73" i="1"/>
  <c r="V69" i="1"/>
  <c r="V67" i="1"/>
  <c r="V66" i="1"/>
  <c r="V65" i="1"/>
  <c r="V64" i="1"/>
  <c r="V63" i="1"/>
  <c r="V62" i="1"/>
  <c r="V59" i="1"/>
  <c r="V58" i="1"/>
  <c r="G55" i="1"/>
  <c r="G54" i="1"/>
  <c r="G50" i="1"/>
  <c r="G49" i="1"/>
  <c r="G47" i="1"/>
  <c r="G46" i="1"/>
  <c r="G44" i="1"/>
  <c r="G43" i="1"/>
  <c r="V38" i="1"/>
  <c r="V37" i="1"/>
  <c r="V33" i="1"/>
  <c r="V32" i="1"/>
  <c r="V30" i="1"/>
  <c r="V29" i="1"/>
  <c r="V27" i="1"/>
  <c r="V26" i="1"/>
  <c r="V21" i="1"/>
  <c r="V20" i="1"/>
  <c r="V16" i="1"/>
  <c r="V15" i="1"/>
  <c r="V13" i="1"/>
  <c r="V12" i="1"/>
  <c r="V10" i="1"/>
  <c r="V9" i="1"/>
  <c r="X11" i="1"/>
  <c r="X14" i="1" s="1"/>
  <c r="X17" i="1" s="1"/>
  <c r="Y11" i="1"/>
  <c r="Y14" i="1" s="1"/>
  <c r="Y17" i="1" s="1"/>
  <c r="Z11" i="1"/>
  <c r="Z14" i="1" s="1"/>
  <c r="Z17" i="1" s="1"/>
  <c r="AA11" i="1"/>
  <c r="AA14" i="1" s="1"/>
  <c r="AA17" i="1" s="1"/>
  <c r="AA22" i="1" s="1"/>
  <c r="AB11" i="1"/>
  <c r="AB14" i="1" s="1"/>
  <c r="AB17" i="1" s="1"/>
  <c r="AC11" i="1"/>
  <c r="AC14" i="1" s="1"/>
  <c r="AC17" i="1" s="1"/>
  <c r="AD11" i="1"/>
  <c r="AD14" i="1" s="1"/>
  <c r="AD17" i="1" s="1"/>
  <c r="X28" i="1"/>
  <c r="X31" i="1" s="1"/>
  <c r="X34" i="1" s="1"/>
  <c r="Y28" i="1"/>
  <c r="Y31" i="1" s="1"/>
  <c r="Y34" i="1" s="1"/>
  <c r="Y39" i="1" s="1"/>
  <c r="Z28" i="1"/>
  <c r="Z31" i="1" s="1"/>
  <c r="Z34" i="1" s="1"/>
  <c r="AA28" i="1"/>
  <c r="AA31" i="1" s="1"/>
  <c r="AA34" i="1" s="1"/>
  <c r="AB28" i="1"/>
  <c r="AB31" i="1" s="1"/>
  <c r="AB34" i="1" s="1"/>
  <c r="AC28" i="1"/>
  <c r="AC31" i="1" s="1"/>
  <c r="AC34" i="1" s="1"/>
  <c r="AD28" i="1"/>
  <c r="AD31" i="1" s="1"/>
  <c r="AD34" i="1" s="1"/>
  <c r="X43" i="1"/>
  <c r="Y43" i="1"/>
  <c r="Z43" i="1"/>
  <c r="AA43" i="1"/>
  <c r="AB43" i="1"/>
  <c r="AC43" i="1"/>
  <c r="AD43" i="1"/>
  <c r="X44" i="1"/>
  <c r="Y44" i="1"/>
  <c r="Z44" i="1"/>
  <c r="AA44" i="1"/>
  <c r="AB44" i="1"/>
  <c r="AC44" i="1"/>
  <c r="AD44" i="1"/>
  <c r="X46" i="1"/>
  <c r="Y46" i="1"/>
  <c r="Z46" i="1"/>
  <c r="AA46" i="1"/>
  <c r="AB46" i="1"/>
  <c r="AC46" i="1"/>
  <c r="AD46" i="1"/>
  <c r="X47" i="1"/>
  <c r="Y47" i="1"/>
  <c r="Z47" i="1"/>
  <c r="AA47" i="1"/>
  <c r="AB47" i="1"/>
  <c r="AC47" i="1"/>
  <c r="AD47" i="1"/>
  <c r="X49" i="1"/>
  <c r="Y49" i="1"/>
  <c r="Z49" i="1"/>
  <c r="AA49" i="1"/>
  <c r="AB49" i="1"/>
  <c r="AC49" i="1"/>
  <c r="AD49" i="1"/>
  <c r="X50" i="1"/>
  <c r="Y50" i="1"/>
  <c r="Z50" i="1"/>
  <c r="AA50" i="1"/>
  <c r="AB50" i="1"/>
  <c r="AC50" i="1"/>
  <c r="AD50" i="1"/>
  <c r="X54" i="1"/>
  <c r="Y54" i="1"/>
  <c r="Z54" i="1"/>
  <c r="AA54" i="1"/>
  <c r="AB54" i="1"/>
  <c r="AC54" i="1"/>
  <c r="AD54" i="1"/>
  <c r="X55" i="1"/>
  <c r="Y55" i="1"/>
  <c r="Z55" i="1"/>
  <c r="AA55" i="1"/>
  <c r="AB55" i="1"/>
  <c r="AC55" i="1"/>
  <c r="AD55" i="1"/>
  <c r="X75" i="1"/>
  <c r="Y75" i="1"/>
  <c r="Z75" i="1"/>
  <c r="AA75" i="1"/>
  <c r="AB75" i="1"/>
  <c r="AC75" i="1"/>
  <c r="AD75" i="1"/>
  <c r="X81" i="1"/>
  <c r="Y81" i="1"/>
  <c r="Z81" i="1"/>
  <c r="AA81" i="1"/>
  <c r="AB81" i="1"/>
  <c r="AC81" i="1"/>
  <c r="AD81" i="1"/>
  <c r="X106" i="1"/>
  <c r="Y106" i="1"/>
  <c r="Z106" i="1"/>
  <c r="AA106" i="1"/>
  <c r="AB106" i="1"/>
  <c r="AC106" i="1"/>
  <c r="AD106" i="1"/>
  <c r="X110" i="1"/>
  <c r="Y110" i="1"/>
  <c r="Z110" i="1"/>
  <c r="AA110" i="1"/>
  <c r="AB110" i="1"/>
  <c r="AC110" i="1"/>
  <c r="AD110" i="1"/>
  <c r="X112" i="1"/>
  <c r="Y112" i="1"/>
  <c r="Z112" i="1"/>
  <c r="AA112" i="1"/>
  <c r="AB112" i="1"/>
  <c r="AC112" i="1"/>
  <c r="AD112" i="1"/>
  <c r="X114" i="1"/>
  <c r="Y114" i="1"/>
  <c r="Z114" i="1"/>
  <c r="AA114" i="1"/>
  <c r="AB114" i="1"/>
  <c r="AC114" i="1"/>
  <c r="AD114" i="1"/>
  <c r="X134" i="1"/>
  <c r="Y134" i="1"/>
  <c r="Z134" i="1"/>
  <c r="AA134" i="1"/>
  <c r="AB134" i="1"/>
  <c r="AC134" i="1"/>
  <c r="AD134" i="1"/>
  <c r="X148" i="1"/>
  <c r="Y148" i="1"/>
  <c r="Z148" i="1"/>
  <c r="AA148" i="1"/>
  <c r="AB148" i="1"/>
  <c r="AC148" i="1"/>
  <c r="AD148" i="1"/>
  <c r="X161" i="1"/>
  <c r="Y161" i="1"/>
  <c r="Z161" i="1"/>
  <c r="AA161" i="1"/>
  <c r="AB161" i="1"/>
  <c r="AC161" i="1"/>
  <c r="AD161" i="1"/>
  <c r="X172" i="1"/>
  <c r="Y172" i="1"/>
  <c r="Z172" i="1"/>
  <c r="AA172" i="1"/>
  <c r="AB172" i="1"/>
  <c r="AC172" i="1"/>
  <c r="AD172" i="1"/>
  <c r="X180" i="1"/>
  <c r="X182" i="1" s="1"/>
  <c r="Y180" i="1"/>
  <c r="Y182" i="1" s="1"/>
  <c r="Z180" i="1"/>
  <c r="Z182" i="1" s="1"/>
  <c r="AA180" i="1"/>
  <c r="AA182" i="1" s="1"/>
  <c r="AB180" i="1"/>
  <c r="AB182" i="1" s="1"/>
  <c r="AC180" i="1"/>
  <c r="AC182" i="1" s="1"/>
  <c r="AD180" i="1"/>
  <c r="AD182" i="1" s="1"/>
  <c r="X194" i="1"/>
  <c r="Y194" i="1"/>
  <c r="Z194" i="1"/>
  <c r="AA194" i="1"/>
  <c r="AB194" i="1"/>
  <c r="AC194" i="1"/>
  <c r="AD194" i="1"/>
  <c r="X204" i="1"/>
  <c r="Y204" i="1"/>
  <c r="Z204" i="1"/>
  <c r="AA204" i="1"/>
  <c r="AB204" i="1"/>
  <c r="AC204" i="1"/>
  <c r="AD204" i="1"/>
  <c r="X215" i="1"/>
  <c r="Y215" i="1"/>
  <c r="Z215" i="1"/>
  <c r="AA215" i="1"/>
  <c r="AB215" i="1"/>
  <c r="AC215" i="1"/>
  <c r="AD215" i="1"/>
  <c r="X224" i="1"/>
  <c r="Y224" i="1"/>
  <c r="Z224" i="1"/>
  <c r="AA224" i="1"/>
  <c r="AB224" i="1"/>
  <c r="AC224" i="1"/>
  <c r="AD224" i="1"/>
  <c r="X225" i="1"/>
  <c r="Y225" i="1"/>
  <c r="Z225" i="1"/>
  <c r="AA225" i="1"/>
  <c r="AB225" i="1"/>
  <c r="AC225" i="1"/>
  <c r="AD225" i="1"/>
  <c r="X231" i="1"/>
  <c r="Y231" i="1"/>
  <c r="Z231" i="1"/>
  <c r="AA231" i="1"/>
  <c r="AB231" i="1"/>
  <c r="AC231" i="1"/>
  <c r="AD231" i="1"/>
  <c r="X246" i="1"/>
  <c r="Y246" i="1"/>
  <c r="Z246" i="1"/>
  <c r="AA246" i="1"/>
  <c r="AB246" i="1"/>
  <c r="AC246" i="1"/>
  <c r="AD246" i="1"/>
  <c r="W246" i="1"/>
  <c r="V214" i="1"/>
  <c r="V213" i="1"/>
  <c r="V212" i="1"/>
  <c r="V211" i="1"/>
  <c r="V210" i="1"/>
  <c r="V209" i="1"/>
  <c r="V207" i="1"/>
  <c r="V206" i="1"/>
  <c r="V203" i="1"/>
  <c r="V202" i="1"/>
  <c r="V201" i="1"/>
  <c r="V200" i="1"/>
  <c r="V199" i="1"/>
  <c r="V198" i="1"/>
  <c r="V197" i="1"/>
  <c r="V196" i="1"/>
  <c r="V193" i="1"/>
  <c r="V192" i="1"/>
  <c r="V191" i="1"/>
  <c r="V190" i="1"/>
  <c r="V189" i="1"/>
  <c r="V188" i="1"/>
  <c r="V187" i="1"/>
  <c r="V186" i="1"/>
  <c r="W215" i="1"/>
  <c r="W204" i="1"/>
  <c r="W194" i="1"/>
  <c r="W112" i="1"/>
  <c r="W110" i="1"/>
  <c r="W81" i="1"/>
  <c r="W75" i="1"/>
  <c r="W55" i="1"/>
  <c r="W54" i="1"/>
  <c r="W50" i="1"/>
  <c r="W49" i="1"/>
  <c r="W47" i="1"/>
  <c r="W28" i="1"/>
  <c r="W31" i="1" s="1"/>
  <c r="W34" i="1" s="1"/>
  <c r="W11" i="1"/>
  <c r="Y45" i="1" l="1"/>
  <c r="Y48" i="1" s="1"/>
  <c r="AB173" i="1"/>
  <c r="AD82" i="1"/>
  <c r="Y239" i="1"/>
  <c r="V208" i="1"/>
  <c r="Y173" i="1"/>
  <c r="V110" i="1"/>
  <c r="V43" i="1"/>
  <c r="V114" i="1"/>
  <c r="V44" i="1"/>
  <c r="V47" i="1"/>
  <c r="AC45" i="1"/>
  <c r="AC48" i="1" s="1"/>
  <c r="AC51" i="1" s="1"/>
  <c r="AC56" i="1" s="1"/>
  <c r="V49" i="1"/>
  <c r="V50" i="1"/>
  <c r="V112" i="1"/>
  <c r="V106" i="1"/>
  <c r="Y82" i="1"/>
  <c r="V54" i="1"/>
  <c r="V172" i="1"/>
  <c r="AA82" i="1"/>
  <c r="AC82" i="1"/>
  <c r="AD45" i="1"/>
  <c r="AD48" i="1" s="1"/>
  <c r="AD51" i="1" s="1"/>
  <c r="AA173" i="1"/>
  <c r="V148" i="1"/>
  <c r="W36" i="1"/>
  <c r="W35" i="1"/>
  <c r="W45" i="1"/>
  <c r="V215" i="1"/>
  <c r="Z239" i="1"/>
  <c r="X239" i="1"/>
  <c r="V28" i="1"/>
  <c r="X82" i="1"/>
  <c r="V11" i="1"/>
  <c r="AB82" i="1"/>
  <c r="AD149" i="1"/>
  <c r="Z45" i="1"/>
  <c r="Z48" i="1" s="1"/>
  <c r="Z51" i="1" s="1"/>
  <c r="V246" i="1"/>
  <c r="V265" i="1" s="1"/>
  <c r="AB149" i="1"/>
  <c r="X45" i="1"/>
  <c r="X48" i="1" s="1"/>
  <c r="AC216" i="1"/>
  <c r="AD239" i="1"/>
  <c r="AC239" i="1"/>
  <c r="AB239" i="1"/>
  <c r="Y149" i="1"/>
  <c r="V55" i="1"/>
  <c r="AA239" i="1"/>
  <c r="Y216" i="1"/>
  <c r="X149" i="1"/>
  <c r="AB45" i="1"/>
  <c r="AB48" i="1" s="1"/>
  <c r="AB51" i="1" s="1"/>
  <c r="V180" i="1"/>
  <c r="AC149" i="1"/>
  <c r="AA149" i="1"/>
  <c r="V134" i="1"/>
  <c r="Z149" i="1"/>
  <c r="AD173" i="1"/>
  <c r="X173" i="1"/>
  <c r="Z173" i="1"/>
  <c r="AC173" i="1"/>
  <c r="W216" i="1"/>
  <c r="X216" i="1"/>
  <c r="AD216" i="1"/>
  <c r="AB216" i="1"/>
  <c r="AA216" i="1"/>
  <c r="Z216" i="1"/>
  <c r="V204" i="1"/>
  <c r="V194" i="1"/>
  <c r="V161" i="1"/>
  <c r="V81" i="1"/>
  <c r="V75" i="1"/>
  <c r="Z39" i="1"/>
  <c r="AA45" i="1"/>
  <c r="AA48" i="1" s="1"/>
  <c r="V46" i="1"/>
  <c r="X22" i="1"/>
  <c r="AD39" i="1"/>
  <c r="AD22" i="1"/>
  <c r="AC39" i="1"/>
  <c r="AA39" i="1"/>
  <c r="AB39" i="1"/>
  <c r="AC22" i="1"/>
  <c r="Z22" i="1"/>
  <c r="AB22" i="1"/>
  <c r="Z82" i="1"/>
  <c r="X39" i="1"/>
  <c r="Y22" i="1"/>
  <c r="W82" i="1"/>
  <c r="W76" i="1" s="1"/>
  <c r="W39" i="1"/>
  <c r="W40" i="1" s="1"/>
  <c r="AB174" i="1" l="1"/>
  <c r="AA174" i="1"/>
  <c r="Y174" i="1"/>
  <c r="AD174" i="1"/>
  <c r="V45" i="1"/>
  <c r="V149" i="1"/>
  <c r="V31" i="1"/>
  <c r="V239" i="1"/>
  <c r="V14" i="1"/>
  <c r="V173" i="1"/>
  <c r="V182" i="1"/>
  <c r="AC174" i="1"/>
  <c r="Z174" i="1"/>
  <c r="V82" i="1"/>
  <c r="X174" i="1"/>
  <c r="V216" i="1"/>
  <c r="X51" i="1"/>
  <c r="X56" i="1" s="1"/>
  <c r="Y51" i="1"/>
  <c r="Y56" i="1" s="1"/>
  <c r="AA51" i="1"/>
  <c r="AA56" i="1" s="1"/>
  <c r="AC60" i="1"/>
  <c r="Z56" i="1"/>
  <c r="AB56" i="1"/>
  <c r="AD56" i="1"/>
  <c r="V174" i="1" l="1"/>
  <c r="V48" i="1"/>
  <c r="V120" i="1" s="1"/>
  <c r="V34" i="1"/>
  <c r="V17" i="1"/>
  <c r="V76" i="1"/>
  <c r="Y60" i="1"/>
  <c r="Y109" i="1" s="1"/>
  <c r="Y111" i="1" s="1"/>
  <c r="Y115" i="1" s="1"/>
  <c r="AB60" i="1"/>
  <c r="AC109" i="1"/>
  <c r="AC111" i="1" s="1"/>
  <c r="AC115" i="1" s="1"/>
  <c r="AC68" i="1"/>
  <c r="AC70" i="1" s="1"/>
  <c r="X60" i="1"/>
  <c r="AD60" i="1"/>
  <c r="Z60" i="1"/>
  <c r="AA60" i="1"/>
  <c r="P118" i="1"/>
  <c r="R118" i="1"/>
  <c r="T118" i="1"/>
  <c r="V51" i="1" l="1"/>
  <c r="Y68" i="1"/>
  <c r="Y70" i="1" s="1"/>
  <c r="Y222" i="1" s="1"/>
  <c r="Y247" i="1" s="1"/>
  <c r="V36" i="1"/>
  <c r="V39" i="1"/>
  <c r="V35" i="1"/>
  <c r="V22" i="1"/>
  <c r="V19" i="1"/>
  <c r="V18" i="1"/>
  <c r="AA109" i="1"/>
  <c r="AA111" i="1" s="1"/>
  <c r="AA115" i="1" s="1"/>
  <c r="AA68" i="1"/>
  <c r="AA70" i="1" s="1"/>
  <c r="AB109" i="1"/>
  <c r="AB111" i="1" s="1"/>
  <c r="AB115" i="1" s="1"/>
  <c r="AB68" i="1"/>
  <c r="AB70" i="1" s="1"/>
  <c r="AD109" i="1"/>
  <c r="AD111" i="1" s="1"/>
  <c r="AD115" i="1" s="1"/>
  <c r="AD68" i="1"/>
  <c r="AD70" i="1" s="1"/>
  <c r="X68" i="1"/>
  <c r="X70" i="1" s="1"/>
  <c r="X109" i="1"/>
  <c r="X111" i="1" s="1"/>
  <c r="X115" i="1" s="1"/>
  <c r="Z109" i="1"/>
  <c r="Z111" i="1" s="1"/>
  <c r="Z115" i="1" s="1"/>
  <c r="Z68" i="1"/>
  <c r="Z70" i="1" s="1"/>
  <c r="AC222" i="1"/>
  <c r="AC247" i="1" s="1"/>
  <c r="S27" i="1"/>
  <c r="Q27" i="1"/>
  <c r="O27" i="1"/>
  <c r="M27" i="1"/>
  <c r="F27" i="1"/>
  <c r="E27" i="1"/>
  <c r="D27" i="1"/>
  <c r="C27" i="1"/>
  <c r="S10" i="1"/>
  <c r="Q10" i="1"/>
  <c r="O10" i="1"/>
  <c r="M10" i="1"/>
  <c r="F10" i="1"/>
  <c r="E10" i="1"/>
  <c r="D10" i="1"/>
  <c r="C10" i="1"/>
  <c r="V56" i="1" l="1"/>
  <c r="V52" i="1"/>
  <c r="V53" i="1"/>
  <c r="V40" i="1"/>
  <c r="V23" i="1"/>
  <c r="AA222" i="1"/>
  <c r="AA247" i="1" s="1"/>
  <c r="X222" i="1"/>
  <c r="X247" i="1" s="1"/>
  <c r="AB222" i="1"/>
  <c r="AB247" i="1" s="1"/>
  <c r="Z222" i="1"/>
  <c r="Z247" i="1" s="1"/>
  <c r="AD222" i="1"/>
  <c r="AD247" i="1" s="1"/>
  <c r="U112" i="1"/>
  <c r="G259" i="1"/>
  <c r="V60" i="1" l="1"/>
  <c r="V57" i="1"/>
  <c r="U50" i="1"/>
  <c r="U75" i="1"/>
  <c r="U81" i="1"/>
  <c r="U246" i="1"/>
  <c r="U110" i="1"/>
  <c r="T10" i="1"/>
  <c r="U215" i="1"/>
  <c r="U114" i="1"/>
  <c r="U204" i="1"/>
  <c r="U194" i="1"/>
  <c r="V68" i="1" l="1"/>
  <c r="V61" i="1"/>
  <c r="V109" i="1"/>
  <c r="U82" i="1"/>
  <c r="U216" i="1"/>
  <c r="V111" i="1" l="1"/>
  <c r="V115" i="1" s="1" a="1"/>
  <c r="V115" i="1" s="1"/>
  <c r="V70" i="1"/>
  <c r="U76" i="1"/>
  <c r="U55" i="1"/>
  <c r="U47" i="1" l="1"/>
  <c r="V121" i="1" l="1"/>
  <c r="V247" i="1"/>
  <c r="U44" i="1"/>
  <c r="U148" i="1"/>
  <c r="U28" i="1"/>
  <c r="U49" i="1"/>
  <c r="V122" i="1" l="1"/>
  <c r="U11" i="1"/>
  <c r="U134" i="1"/>
  <c r="U43" i="1"/>
  <c r="U45" i="1" l="1"/>
  <c r="U149" i="1"/>
  <c r="U161" i="1"/>
  <c r="U172" i="1" l="1"/>
  <c r="U14" i="1"/>
  <c r="U17" i="1" l="1"/>
  <c r="U19" i="1" s="1"/>
  <c r="U173" i="1"/>
  <c r="U239" i="1"/>
  <c r="U174" i="1" l="1"/>
  <c r="U18" i="1"/>
  <c r="U22" i="1"/>
  <c r="U54" i="1"/>
  <c r="U31" i="1"/>
  <c r="U46" i="1"/>
  <c r="U34" i="1" l="1"/>
  <c r="U39" i="1" s="1"/>
  <c r="U23" i="1"/>
  <c r="U48" i="1"/>
  <c r="U35" i="1" l="1"/>
  <c r="U36" i="1"/>
  <c r="U40" i="1"/>
  <c r="U120" i="1"/>
  <c r="U51" i="1"/>
  <c r="U56" i="1" l="1"/>
  <c r="U57" i="1" s="1"/>
  <c r="U53" i="1"/>
  <c r="U52" i="1"/>
  <c r="U60" i="1" l="1"/>
  <c r="U180" i="1"/>
  <c r="U109" i="1" l="1"/>
  <c r="U61" i="1"/>
  <c r="U68" i="1"/>
  <c r="U182" i="1"/>
  <c r="K246" i="1"/>
  <c r="J246" i="1"/>
  <c r="I246" i="1"/>
  <c r="H246" i="1"/>
  <c r="G246" i="1"/>
  <c r="P245" i="1"/>
  <c r="T245" i="1"/>
  <c r="R245" i="1"/>
  <c r="N245" i="1"/>
  <c r="P244" i="1"/>
  <c r="T244" i="1"/>
  <c r="R244" i="1"/>
  <c r="N244" i="1"/>
  <c r="P243" i="1"/>
  <c r="T243" i="1"/>
  <c r="R243" i="1"/>
  <c r="N243" i="1"/>
  <c r="F246" i="1"/>
  <c r="R242" i="1"/>
  <c r="N242" i="1"/>
  <c r="Q246" i="1"/>
  <c r="P241" i="1"/>
  <c r="M246" i="1"/>
  <c r="D246" i="1"/>
  <c r="N241" i="1"/>
  <c r="R238" i="1"/>
  <c r="P238" i="1"/>
  <c r="N238" i="1"/>
  <c r="T238" i="1"/>
  <c r="R237" i="1"/>
  <c r="T237" i="1"/>
  <c r="P237" i="1"/>
  <c r="N237" i="1"/>
  <c r="R236" i="1"/>
  <c r="P236" i="1"/>
  <c r="N236" i="1"/>
  <c r="T236" i="1"/>
  <c r="T232" i="1"/>
  <c r="R232" i="1"/>
  <c r="P232" i="1"/>
  <c r="N232" i="1"/>
  <c r="K231" i="1"/>
  <c r="J231" i="1"/>
  <c r="I231" i="1"/>
  <c r="H231" i="1"/>
  <c r="P230" i="1"/>
  <c r="T230" i="1"/>
  <c r="N230" i="1"/>
  <c r="R229" i="1"/>
  <c r="P229" i="1"/>
  <c r="N229" i="1"/>
  <c r="K228" i="1"/>
  <c r="J228" i="1"/>
  <c r="I228" i="1"/>
  <c r="H228" i="1"/>
  <c r="T227" i="1"/>
  <c r="F258" i="1" s="1"/>
  <c r="R227" i="1"/>
  <c r="E258" i="1" s="1"/>
  <c r="P227" i="1"/>
  <c r="D258" i="1" s="1"/>
  <c r="N227" i="1"/>
  <c r="C258" i="1" s="1"/>
  <c r="R226" i="1"/>
  <c r="P226" i="1"/>
  <c r="T226" i="1"/>
  <c r="N226" i="1"/>
  <c r="K225" i="1"/>
  <c r="J225" i="1"/>
  <c r="I225" i="1"/>
  <c r="H225" i="1"/>
  <c r="K224" i="1"/>
  <c r="J224" i="1"/>
  <c r="I224" i="1"/>
  <c r="H224" i="1"/>
  <c r="T218" i="1"/>
  <c r="R218" i="1"/>
  <c r="P218" i="1"/>
  <c r="M217" i="1"/>
  <c r="K215" i="1"/>
  <c r="J215" i="1"/>
  <c r="I215" i="1"/>
  <c r="H215" i="1"/>
  <c r="G215" i="1"/>
  <c r="T214" i="1"/>
  <c r="R214" i="1"/>
  <c r="P214" i="1"/>
  <c r="N214" i="1"/>
  <c r="P210" i="1"/>
  <c r="T210" i="1"/>
  <c r="R210" i="1"/>
  <c r="T209" i="1"/>
  <c r="N209" i="1"/>
  <c r="T208" i="1"/>
  <c r="R208" i="1"/>
  <c r="P208" i="1"/>
  <c r="N208" i="1"/>
  <c r="T207" i="1"/>
  <c r="P207" i="1"/>
  <c r="N207" i="1"/>
  <c r="T206" i="1"/>
  <c r="R206" i="1"/>
  <c r="O215" i="1"/>
  <c r="N206" i="1"/>
  <c r="K204" i="1"/>
  <c r="J204" i="1"/>
  <c r="I204" i="1"/>
  <c r="H204" i="1"/>
  <c r="G204" i="1"/>
  <c r="R203" i="1"/>
  <c r="P203" i="1"/>
  <c r="N203" i="1"/>
  <c r="T199" i="1"/>
  <c r="R199" i="1"/>
  <c r="P199" i="1"/>
  <c r="N199" i="1"/>
  <c r="P198" i="1"/>
  <c r="T198" i="1"/>
  <c r="N198" i="1"/>
  <c r="O204" i="1"/>
  <c r="T197" i="1"/>
  <c r="R197" i="1"/>
  <c r="Q204" i="1"/>
  <c r="P196" i="1"/>
  <c r="N196" i="1"/>
  <c r="M204" i="1"/>
  <c r="K194" i="1"/>
  <c r="J194" i="1"/>
  <c r="I194" i="1"/>
  <c r="H194" i="1"/>
  <c r="G194" i="1"/>
  <c r="D194" i="1"/>
  <c r="T193" i="1"/>
  <c r="P193" i="1"/>
  <c r="N193" i="1"/>
  <c r="R193" i="1"/>
  <c r="T189" i="1"/>
  <c r="R189" i="1"/>
  <c r="P189" i="1"/>
  <c r="N189" i="1"/>
  <c r="T188" i="1"/>
  <c r="P188" i="1"/>
  <c r="N188" i="1"/>
  <c r="R188" i="1"/>
  <c r="T187" i="1"/>
  <c r="R187" i="1"/>
  <c r="P187" i="1"/>
  <c r="N187" i="1"/>
  <c r="S194" i="1"/>
  <c r="Q194" i="1"/>
  <c r="P186" i="1"/>
  <c r="M194" i="1"/>
  <c r="T186" i="1"/>
  <c r="R181" i="1"/>
  <c r="N181" i="1"/>
  <c r="T181" i="1"/>
  <c r="K180" i="1"/>
  <c r="K182" i="1" s="1"/>
  <c r="J180" i="1"/>
  <c r="J182" i="1" s="1"/>
  <c r="I180" i="1"/>
  <c r="I182" i="1" s="1"/>
  <c r="H180" i="1"/>
  <c r="H182" i="1" s="1"/>
  <c r="G180" i="1"/>
  <c r="T179" i="1"/>
  <c r="R179" i="1"/>
  <c r="P179" i="1"/>
  <c r="N179" i="1"/>
  <c r="P178" i="1"/>
  <c r="N178" i="1"/>
  <c r="T178" i="1"/>
  <c r="R178" i="1"/>
  <c r="R177" i="1"/>
  <c r="T177" i="1"/>
  <c r="P177" i="1"/>
  <c r="N177" i="1"/>
  <c r="Q180" i="1"/>
  <c r="P176" i="1"/>
  <c r="O180" i="1"/>
  <c r="N176" i="1"/>
  <c r="R176" i="1"/>
  <c r="D180" i="1"/>
  <c r="C180" i="1"/>
  <c r="K172" i="1"/>
  <c r="J172" i="1"/>
  <c r="I172" i="1"/>
  <c r="H172" i="1"/>
  <c r="G172" i="1"/>
  <c r="R171" i="1"/>
  <c r="P171" i="1"/>
  <c r="N171" i="1"/>
  <c r="T171" i="1"/>
  <c r="R167" i="1"/>
  <c r="T167" i="1"/>
  <c r="P167" i="1"/>
  <c r="P166" i="1"/>
  <c r="N166" i="1"/>
  <c r="T166" i="1"/>
  <c r="R166" i="1"/>
  <c r="P165" i="1"/>
  <c r="T165" i="1"/>
  <c r="R165" i="1"/>
  <c r="N165" i="1"/>
  <c r="P164" i="1"/>
  <c r="T164" i="1"/>
  <c r="E172" i="1"/>
  <c r="D172" i="1"/>
  <c r="N164" i="1"/>
  <c r="T163" i="1"/>
  <c r="S172" i="1"/>
  <c r="Q172" i="1"/>
  <c r="P163" i="1"/>
  <c r="O172" i="1"/>
  <c r="M172" i="1"/>
  <c r="R163" i="1"/>
  <c r="N163" i="1"/>
  <c r="K161" i="1"/>
  <c r="J161" i="1"/>
  <c r="I161" i="1"/>
  <c r="H161" i="1"/>
  <c r="G161" i="1"/>
  <c r="R160" i="1"/>
  <c r="T160" i="1"/>
  <c r="P160" i="1"/>
  <c r="N160" i="1"/>
  <c r="R156" i="1"/>
  <c r="P156" i="1"/>
  <c r="N156" i="1"/>
  <c r="T156" i="1"/>
  <c r="R155" i="1"/>
  <c r="T155" i="1"/>
  <c r="P155" i="1"/>
  <c r="N155" i="1"/>
  <c r="R154" i="1"/>
  <c r="P154" i="1"/>
  <c r="N154" i="1"/>
  <c r="T154" i="1"/>
  <c r="R153" i="1"/>
  <c r="T153" i="1"/>
  <c r="P153" i="1"/>
  <c r="N153" i="1"/>
  <c r="R152" i="1"/>
  <c r="P152" i="1"/>
  <c r="N152" i="1"/>
  <c r="T152" i="1"/>
  <c r="S161" i="1"/>
  <c r="R151" i="1"/>
  <c r="Q161" i="1"/>
  <c r="O161" i="1"/>
  <c r="F161" i="1"/>
  <c r="E161" i="1"/>
  <c r="P151" i="1"/>
  <c r="K148" i="1"/>
  <c r="J148" i="1"/>
  <c r="I148" i="1"/>
  <c r="H148" i="1"/>
  <c r="G148" i="1"/>
  <c r="T147" i="1"/>
  <c r="R147" i="1"/>
  <c r="P147" i="1"/>
  <c r="N147" i="1"/>
  <c r="P143" i="1"/>
  <c r="N143" i="1"/>
  <c r="T143" i="1"/>
  <c r="R143" i="1"/>
  <c r="T142" i="1"/>
  <c r="R142" i="1"/>
  <c r="P142" i="1"/>
  <c r="N142" i="1"/>
  <c r="P141" i="1"/>
  <c r="N141" i="1"/>
  <c r="T141" i="1"/>
  <c r="R141" i="1"/>
  <c r="T140" i="1"/>
  <c r="R140" i="1"/>
  <c r="P140" i="1"/>
  <c r="N140" i="1"/>
  <c r="T139" i="1"/>
  <c r="R139" i="1"/>
  <c r="P139" i="1"/>
  <c r="N139" i="1"/>
  <c r="R138" i="1"/>
  <c r="P138" i="1"/>
  <c r="M148" i="1"/>
  <c r="T138" i="1"/>
  <c r="D148" i="1"/>
  <c r="C148" i="1"/>
  <c r="T137" i="1"/>
  <c r="P137" i="1"/>
  <c r="N137" i="1"/>
  <c r="F148" i="1"/>
  <c r="R137" i="1"/>
  <c r="P136" i="1"/>
  <c r="O148" i="1"/>
  <c r="N136" i="1"/>
  <c r="K134" i="1"/>
  <c r="J134" i="1"/>
  <c r="I134" i="1"/>
  <c r="H134" i="1"/>
  <c r="G134" i="1"/>
  <c r="C134" i="1"/>
  <c r="R133" i="1"/>
  <c r="T133" i="1"/>
  <c r="P133" i="1"/>
  <c r="N133" i="1"/>
  <c r="T129" i="1"/>
  <c r="R129" i="1"/>
  <c r="P129" i="1"/>
  <c r="N129" i="1"/>
  <c r="P128" i="1"/>
  <c r="N128" i="1"/>
  <c r="T128" i="1"/>
  <c r="R128" i="1"/>
  <c r="T127" i="1"/>
  <c r="R127" i="1"/>
  <c r="D134" i="1"/>
  <c r="N127" i="1"/>
  <c r="P126" i="1"/>
  <c r="O134" i="1"/>
  <c r="N126" i="1"/>
  <c r="M134" i="1"/>
  <c r="F134" i="1"/>
  <c r="S114" i="1"/>
  <c r="Q114" i="1"/>
  <c r="O114" i="1"/>
  <c r="M114" i="1"/>
  <c r="K114" i="1"/>
  <c r="J114" i="1"/>
  <c r="I114" i="1"/>
  <c r="H114" i="1"/>
  <c r="G114" i="1"/>
  <c r="F114" i="1"/>
  <c r="E114" i="1"/>
  <c r="D114" i="1"/>
  <c r="C114" i="1"/>
  <c r="K112" i="1"/>
  <c r="J112" i="1"/>
  <c r="I112" i="1"/>
  <c r="H112" i="1"/>
  <c r="G112" i="1"/>
  <c r="K110" i="1"/>
  <c r="J110" i="1"/>
  <c r="I110" i="1"/>
  <c r="H110" i="1"/>
  <c r="G110" i="1"/>
  <c r="C110" i="1"/>
  <c r="K106" i="1"/>
  <c r="J106" i="1"/>
  <c r="I106" i="1"/>
  <c r="H106" i="1"/>
  <c r="R105" i="1"/>
  <c r="T105" i="1"/>
  <c r="P105" i="1"/>
  <c r="N105" i="1"/>
  <c r="R100" i="1"/>
  <c r="P100" i="1"/>
  <c r="R99" i="1"/>
  <c r="R98" i="1"/>
  <c r="N98" i="1"/>
  <c r="T98" i="1"/>
  <c r="P98" i="1"/>
  <c r="R97" i="1"/>
  <c r="T97" i="1"/>
  <c r="P97" i="1"/>
  <c r="N97" i="1"/>
  <c r="R96" i="1"/>
  <c r="N96" i="1"/>
  <c r="T96" i="1"/>
  <c r="P96" i="1"/>
  <c r="R95" i="1"/>
  <c r="T95" i="1"/>
  <c r="P95" i="1"/>
  <c r="N95" i="1"/>
  <c r="R94" i="1"/>
  <c r="N94" i="1"/>
  <c r="T94" i="1"/>
  <c r="P94" i="1"/>
  <c r="R93" i="1"/>
  <c r="T93" i="1"/>
  <c r="P93" i="1"/>
  <c r="N93" i="1"/>
  <c r="S112" i="1"/>
  <c r="R90" i="1"/>
  <c r="Q112" i="1"/>
  <c r="O112" i="1"/>
  <c r="N90" i="1"/>
  <c r="M112" i="1"/>
  <c r="F112" i="1"/>
  <c r="E112" i="1"/>
  <c r="C112" i="1"/>
  <c r="R89" i="1"/>
  <c r="T89" i="1"/>
  <c r="P89" i="1"/>
  <c r="N89" i="1"/>
  <c r="R88" i="1"/>
  <c r="R87" i="1"/>
  <c r="T87" i="1"/>
  <c r="P87" i="1"/>
  <c r="N87" i="1"/>
  <c r="R86" i="1"/>
  <c r="N86" i="1"/>
  <c r="T86" i="1"/>
  <c r="P86" i="1"/>
  <c r="R85" i="1"/>
  <c r="T85" i="1"/>
  <c r="P85" i="1"/>
  <c r="N85" i="1"/>
  <c r="M81" i="1"/>
  <c r="K81" i="1"/>
  <c r="J81" i="1"/>
  <c r="I81" i="1"/>
  <c r="H81" i="1"/>
  <c r="G81" i="1"/>
  <c r="R80" i="1"/>
  <c r="T80" i="1"/>
  <c r="P80" i="1"/>
  <c r="N80" i="1"/>
  <c r="R79" i="1"/>
  <c r="N79" i="1"/>
  <c r="T79" i="1"/>
  <c r="S81" i="1"/>
  <c r="R78" i="1"/>
  <c r="O81" i="1"/>
  <c r="N78" i="1"/>
  <c r="F81" i="1"/>
  <c r="E81" i="1"/>
  <c r="P78" i="1"/>
  <c r="R77" i="1"/>
  <c r="N77" i="1"/>
  <c r="T77" i="1"/>
  <c r="P77" i="1"/>
  <c r="Q75" i="1"/>
  <c r="M75" i="1"/>
  <c r="K75" i="1"/>
  <c r="J75" i="1"/>
  <c r="I75" i="1"/>
  <c r="H75" i="1"/>
  <c r="G75" i="1"/>
  <c r="N74" i="1"/>
  <c r="R74" i="1"/>
  <c r="P74" i="1"/>
  <c r="N73" i="1"/>
  <c r="F75" i="1"/>
  <c r="C75" i="1"/>
  <c r="R69" i="1"/>
  <c r="P69" i="1"/>
  <c r="T69" i="1"/>
  <c r="N69" i="1"/>
  <c r="R67" i="1"/>
  <c r="N67" i="1"/>
  <c r="T67" i="1"/>
  <c r="P67" i="1"/>
  <c r="N66" i="1"/>
  <c r="R65" i="1"/>
  <c r="N65" i="1"/>
  <c r="T65" i="1"/>
  <c r="P65" i="1"/>
  <c r="R64" i="1"/>
  <c r="T64" i="1"/>
  <c r="P64" i="1"/>
  <c r="N64" i="1"/>
  <c r="R63" i="1"/>
  <c r="N63" i="1"/>
  <c r="N62" i="1"/>
  <c r="P59" i="1"/>
  <c r="T59" i="1"/>
  <c r="R59" i="1"/>
  <c r="T58" i="1"/>
  <c r="P58" i="1"/>
  <c r="N58" i="1"/>
  <c r="R38" i="1"/>
  <c r="N38" i="1"/>
  <c r="N37" i="1"/>
  <c r="R37" i="1"/>
  <c r="T33" i="1"/>
  <c r="R33" i="1"/>
  <c r="P33" i="1"/>
  <c r="N33" i="1"/>
  <c r="T32" i="1"/>
  <c r="P32" i="1"/>
  <c r="N32" i="1"/>
  <c r="R32" i="1"/>
  <c r="N29" i="1"/>
  <c r="T29" i="1"/>
  <c r="R29" i="1"/>
  <c r="P29" i="1"/>
  <c r="S28" i="1"/>
  <c r="Q28" i="1"/>
  <c r="M28" i="1"/>
  <c r="K28" i="1"/>
  <c r="K31" i="1" s="1"/>
  <c r="K34" i="1" s="1"/>
  <c r="J28" i="1"/>
  <c r="J31" i="1" s="1"/>
  <c r="J34" i="1" s="1"/>
  <c r="I28" i="1"/>
  <c r="I31" i="1" s="1"/>
  <c r="I34" i="1" s="1"/>
  <c r="H28" i="1"/>
  <c r="H31" i="1" s="1"/>
  <c r="H34" i="1" s="1"/>
  <c r="G28" i="1"/>
  <c r="R27" i="1"/>
  <c r="N27" i="1"/>
  <c r="T27" i="1"/>
  <c r="P27" i="1"/>
  <c r="R26" i="1"/>
  <c r="O28" i="1"/>
  <c r="N26" i="1"/>
  <c r="F28" i="1"/>
  <c r="E28" i="1"/>
  <c r="P26" i="1"/>
  <c r="C28" i="1"/>
  <c r="S55" i="1"/>
  <c r="Q55" i="1"/>
  <c r="M55" i="1"/>
  <c r="F55" i="1"/>
  <c r="E55" i="1"/>
  <c r="D55" i="1"/>
  <c r="C55" i="1"/>
  <c r="T20" i="1"/>
  <c r="Q54" i="1"/>
  <c r="P20" i="1"/>
  <c r="N20" i="1"/>
  <c r="M54" i="1"/>
  <c r="F54" i="1"/>
  <c r="D54" i="1"/>
  <c r="C54" i="1"/>
  <c r="S50" i="1"/>
  <c r="Q50" i="1"/>
  <c r="O50" i="1"/>
  <c r="M50" i="1"/>
  <c r="F50" i="1"/>
  <c r="E50" i="1"/>
  <c r="D50" i="1"/>
  <c r="C50" i="1"/>
  <c r="S49" i="1"/>
  <c r="Q49" i="1"/>
  <c r="O49" i="1"/>
  <c r="M49" i="1"/>
  <c r="F49" i="1"/>
  <c r="E49" i="1"/>
  <c r="D49" i="1"/>
  <c r="C49" i="1"/>
  <c r="S13" i="1"/>
  <c r="Q13" i="1"/>
  <c r="O13" i="1"/>
  <c r="M13" i="1"/>
  <c r="F13" i="1"/>
  <c r="E13" i="1"/>
  <c r="D13" i="1"/>
  <c r="C13" i="1"/>
  <c r="S46" i="1"/>
  <c r="R12" i="1"/>
  <c r="Q46" i="1"/>
  <c r="E46" i="1"/>
  <c r="D46" i="1"/>
  <c r="C46" i="1"/>
  <c r="K11" i="1"/>
  <c r="J11" i="1"/>
  <c r="I11" i="1"/>
  <c r="H11" i="1"/>
  <c r="G11" i="1"/>
  <c r="S44" i="1"/>
  <c r="Q44" i="1"/>
  <c r="O44" i="1"/>
  <c r="M44" i="1"/>
  <c r="F44" i="1"/>
  <c r="E44" i="1"/>
  <c r="D44" i="1"/>
  <c r="C44" i="1"/>
  <c r="S43" i="1"/>
  <c r="Q43" i="1"/>
  <c r="O43" i="1"/>
  <c r="M43" i="1"/>
  <c r="F43" i="1"/>
  <c r="E43" i="1"/>
  <c r="D11" i="1"/>
  <c r="C43" i="1"/>
  <c r="C254" i="1" l="1"/>
  <c r="N254" i="1"/>
  <c r="O251" i="1" s="1"/>
  <c r="O254" i="1" s="1"/>
  <c r="P251" i="1" s="1"/>
  <c r="P254" i="1" s="1"/>
  <c r="Q251" i="1" s="1"/>
  <c r="Q254" i="1" s="1"/>
  <c r="R251" i="1" s="1"/>
  <c r="R254" i="1" s="1"/>
  <c r="S251" i="1" s="1"/>
  <c r="S254" i="1" s="1"/>
  <c r="T251" i="1" s="1"/>
  <c r="F47" i="1"/>
  <c r="M47" i="1"/>
  <c r="O31" i="1"/>
  <c r="R112" i="1"/>
  <c r="R106" i="1"/>
  <c r="P114" i="1"/>
  <c r="O47" i="1"/>
  <c r="S47" i="1"/>
  <c r="C31" i="1"/>
  <c r="M31" i="1"/>
  <c r="U70" i="1"/>
  <c r="Q47" i="1"/>
  <c r="C47" i="1"/>
  <c r="Q31" i="1"/>
  <c r="G182" i="1"/>
  <c r="N114" i="1"/>
  <c r="D47" i="1"/>
  <c r="E31" i="1"/>
  <c r="S31" i="1"/>
  <c r="N112" i="1"/>
  <c r="O182" i="1"/>
  <c r="C182" i="1"/>
  <c r="E47" i="1"/>
  <c r="F31" i="1"/>
  <c r="G31" i="1"/>
  <c r="Q182" i="1"/>
  <c r="U111" i="1"/>
  <c r="U115" i="1" s="1" a="1"/>
  <c r="U115" i="1" s="1"/>
  <c r="H149" i="1"/>
  <c r="N75" i="1"/>
  <c r="R50" i="1"/>
  <c r="D149" i="1"/>
  <c r="J149" i="1"/>
  <c r="O173" i="1"/>
  <c r="J45" i="1"/>
  <c r="J173" i="1"/>
  <c r="K149" i="1"/>
  <c r="I82" i="1"/>
  <c r="P161" i="1"/>
  <c r="H173" i="1"/>
  <c r="P172" i="1"/>
  <c r="H82" i="1"/>
  <c r="G45" i="1"/>
  <c r="I239" i="1"/>
  <c r="N50" i="1"/>
  <c r="N54" i="1"/>
  <c r="N55" i="1"/>
  <c r="N180" i="1"/>
  <c r="P44" i="1"/>
  <c r="R28" i="1"/>
  <c r="P28" i="1"/>
  <c r="T148" i="1"/>
  <c r="K45" i="1"/>
  <c r="I45" i="1"/>
  <c r="T50" i="1"/>
  <c r="J82" i="1"/>
  <c r="S173" i="1"/>
  <c r="P49" i="1"/>
  <c r="R46" i="1"/>
  <c r="R180" i="1"/>
  <c r="G216" i="1"/>
  <c r="M149" i="1"/>
  <c r="K173" i="1"/>
  <c r="Q173" i="1"/>
  <c r="N43" i="1"/>
  <c r="N44" i="1"/>
  <c r="H45" i="1"/>
  <c r="K82" i="1"/>
  <c r="E173" i="1"/>
  <c r="I173" i="1"/>
  <c r="H216" i="1"/>
  <c r="H219" i="1" s="1"/>
  <c r="C239" i="1"/>
  <c r="I216" i="1"/>
  <c r="I219" i="1" s="1"/>
  <c r="J14" i="1"/>
  <c r="J48" i="1" s="1"/>
  <c r="N28" i="1"/>
  <c r="J216" i="1"/>
  <c r="J219" i="1" s="1"/>
  <c r="K14" i="1"/>
  <c r="K48" i="1" s="1"/>
  <c r="P50" i="1"/>
  <c r="G82" i="1"/>
  <c r="C149" i="1"/>
  <c r="G149" i="1"/>
  <c r="R161" i="1"/>
  <c r="G239" i="1"/>
  <c r="R43" i="1"/>
  <c r="N13" i="1"/>
  <c r="F149" i="1"/>
  <c r="I149" i="1"/>
  <c r="G173" i="1"/>
  <c r="P180" i="1"/>
  <c r="D14" i="1"/>
  <c r="J39" i="1"/>
  <c r="T43" i="1"/>
  <c r="T9" i="1"/>
  <c r="P10" i="1"/>
  <c r="F11" i="1"/>
  <c r="O11" i="1"/>
  <c r="N15" i="1"/>
  <c r="P16" i="1"/>
  <c r="O54" i="1"/>
  <c r="R21" i="1"/>
  <c r="R55" i="1"/>
  <c r="P79" i="1"/>
  <c r="D81" i="1"/>
  <c r="T13" i="1"/>
  <c r="P15" i="1"/>
  <c r="R16" i="1"/>
  <c r="T55" i="1"/>
  <c r="K39" i="1"/>
  <c r="P63" i="1"/>
  <c r="E11" i="1"/>
  <c r="R10" i="1"/>
  <c r="P13" i="1"/>
  <c r="N49" i="1"/>
  <c r="P37" i="1"/>
  <c r="P38" i="1"/>
  <c r="I39" i="1"/>
  <c r="Q11" i="1"/>
  <c r="P9" i="1"/>
  <c r="R15" i="1"/>
  <c r="T16" i="1"/>
  <c r="R20" i="1"/>
  <c r="N21" i="1"/>
  <c r="D28" i="1"/>
  <c r="P99" i="1"/>
  <c r="D43" i="1"/>
  <c r="R44" i="1"/>
  <c r="T44" i="1"/>
  <c r="S11" i="1"/>
  <c r="G14" i="1"/>
  <c r="C11" i="1"/>
  <c r="R13" i="1"/>
  <c r="H14" i="1"/>
  <c r="R49" i="1"/>
  <c r="O55" i="1"/>
  <c r="T37" i="1"/>
  <c r="T38" i="1"/>
  <c r="R73" i="1"/>
  <c r="E75" i="1"/>
  <c r="N9" i="1"/>
  <c r="M46" i="1"/>
  <c r="R9" i="1"/>
  <c r="N10" i="1"/>
  <c r="M11" i="1"/>
  <c r="I14" i="1"/>
  <c r="T49" i="1"/>
  <c r="T15" i="1"/>
  <c r="N16" i="1"/>
  <c r="P21" i="1"/>
  <c r="H39" i="1"/>
  <c r="F82" i="1"/>
  <c r="R81" i="1"/>
  <c r="T74" i="1"/>
  <c r="N81" i="1"/>
  <c r="M110" i="1"/>
  <c r="R126" i="1"/>
  <c r="E134" i="1"/>
  <c r="Q81" i="1"/>
  <c r="N88" i="1"/>
  <c r="D112" i="1"/>
  <c r="P90" i="1"/>
  <c r="O75" i="1"/>
  <c r="P73" i="1"/>
  <c r="T21" i="1"/>
  <c r="R58" i="1"/>
  <c r="N59" i="1"/>
  <c r="R62" i="1"/>
  <c r="R66" i="1"/>
  <c r="C81" i="1"/>
  <c r="N100" i="1"/>
  <c r="T172" i="1"/>
  <c r="N167" i="1"/>
  <c r="C172" i="1"/>
  <c r="E54" i="1"/>
  <c r="S54" i="1"/>
  <c r="T26" i="1"/>
  <c r="P62" i="1"/>
  <c r="P66" i="1"/>
  <c r="S75" i="1"/>
  <c r="R110" i="1"/>
  <c r="D75" i="1"/>
  <c r="M82" i="1"/>
  <c r="D110" i="1"/>
  <c r="P88" i="1"/>
  <c r="N99" i="1"/>
  <c r="O110" i="1"/>
  <c r="P148" i="1"/>
  <c r="E148" i="1"/>
  <c r="F172" i="1"/>
  <c r="E215" i="1"/>
  <c r="T62" i="1"/>
  <c r="T66" i="1"/>
  <c r="T78" i="1"/>
  <c r="T99" i="1"/>
  <c r="R148" i="1"/>
  <c r="T194" i="1"/>
  <c r="Q110" i="1"/>
  <c r="N134" i="1"/>
  <c r="N151" i="1"/>
  <c r="C161" i="1"/>
  <c r="S180" i="1"/>
  <c r="O149" i="1"/>
  <c r="T73" i="1"/>
  <c r="E110" i="1"/>
  <c r="S239" i="1"/>
  <c r="S110" i="1"/>
  <c r="O194" i="1"/>
  <c r="T63" i="1"/>
  <c r="F110" i="1"/>
  <c r="T88" i="1"/>
  <c r="T90" i="1"/>
  <c r="Q134" i="1"/>
  <c r="Q148" i="1"/>
  <c r="C204" i="1"/>
  <c r="T215" i="1"/>
  <c r="T114" i="1"/>
  <c r="S134" i="1"/>
  <c r="S148" i="1"/>
  <c r="M161" i="1"/>
  <c r="P181" i="1"/>
  <c r="D182" i="1"/>
  <c r="T126" i="1"/>
  <c r="P127" i="1"/>
  <c r="N138" i="1"/>
  <c r="F194" i="1"/>
  <c r="R164" i="1"/>
  <c r="R186" i="1"/>
  <c r="E194" i="1"/>
  <c r="R198" i="1"/>
  <c r="M215" i="1"/>
  <c r="R207" i="1"/>
  <c r="C215" i="1"/>
  <c r="O246" i="1"/>
  <c r="T151" i="1"/>
  <c r="D215" i="1"/>
  <c r="S215" i="1"/>
  <c r="T229" i="1"/>
  <c r="R230" i="1"/>
  <c r="E180" i="1"/>
  <c r="H239" i="1"/>
  <c r="N246" i="1"/>
  <c r="S246" i="1"/>
  <c r="D161" i="1"/>
  <c r="N186" i="1"/>
  <c r="D204" i="1"/>
  <c r="S204" i="1"/>
  <c r="F204" i="1"/>
  <c r="P206" i="1"/>
  <c r="F215" i="1"/>
  <c r="P209" i="1"/>
  <c r="F180" i="1"/>
  <c r="K216" i="1"/>
  <c r="K219" i="1" s="1"/>
  <c r="E204" i="1"/>
  <c r="R196" i="1"/>
  <c r="N197" i="1"/>
  <c r="Q215" i="1"/>
  <c r="R209" i="1"/>
  <c r="N210" i="1"/>
  <c r="J239" i="1"/>
  <c r="R241" i="1"/>
  <c r="E246" i="1"/>
  <c r="P242" i="1"/>
  <c r="M180" i="1"/>
  <c r="P194" i="1"/>
  <c r="C194" i="1"/>
  <c r="T196" i="1"/>
  <c r="P197" i="1"/>
  <c r="T203" i="1"/>
  <c r="N218" i="1"/>
  <c r="K239" i="1"/>
  <c r="T241" i="1"/>
  <c r="C246" i="1"/>
  <c r="T176" i="1"/>
  <c r="T242" i="1"/>
  <c r="D251" i="1" l="1"/>
  <c r="D254" i="1" s="1"/>
  <c r="E259" i="1"/>
  <c r="M260" i="1"/>
  <c r="N257" i="1" s="1"/>
  <c r="T254" i="1"/>
  <c r="U251" i="1" s="1"/>
  <c r="U254" i="1" s="1"/>
  <c r="V251" i="1" s="1"/>
  <c r="V254" i="1" s="1"/>
  <c r="W251" i="1" s="1"/>
  <c r="W254" i="1" s="1"/>
  <c r="E239" i="1"/>
  <c r="P246" i="1"/>
  <c r="E182" i="1"/>
  <c r="T161" i="1"/>
  <c r="R194" i="1"/>
  <c r="M173" i="1"/>
  <c r="T112" i="1"/>
  <c r="N106" i="1"/>
  <c r="Q82" i="1"/>
  <c r="F76" i="1"/>
  <c r="R47" i="1"/>
  <c r="P106" i="1"/>
  <c r="P81" i="1"/>
  <c r="N31" i="1"/>
  <c r="R182" i="1"/>
  <c r="R246" i="1"/>
  <c r="N194" i="1"/>
  <c r="F173" i="1"/>
  <c r="N47" i="1"/>
  <c r="P31" i="1"/>
  <c r="P204" i="1"/>
  <c r="F182" i="1"/>
  <c r="D173" i="1"/>
  <c r="N148" i="1"/>
  <c r="F239" i="1"/>
  <c r="P75" i="1"/>
  <c r="R31" i="1"/>
  <c r="Q34" i="1"/>
  <c r="E34" i="1"/>
  <c r="T180" i="1"/>
  <c r="N215" i="1"/>
  <c r="R114" i="1"/>
  <c r="P134" i="1"/>
  <c r="S182" i="1"/>
  <c r="M76" i="1"/>
  <c r="C82" i="1"/>
  <c r="M239" i="1"/>
  <c r="N46" i="1"/>
  <c r="G76" i="1"/>
  <c r="R172" i="1"/>
  <c r="R75" i="1"/>
  <c r="D31" i="1"/>
  <c r="D48" i="1" s="1"/>
  <c r="C34" i="1"/>
  <c r="O216" i="1"/>
  <c r="T81" i="1"/>
  <c r="O239" i="1"/>
  <c r="T28" i="1"/>
  <c r="P112" i="1"/>
  <c r="P55" i="1"/>
  <c r="T47" i="1"/>
  <c r="N182" i="1"/>
  <c r="G34" i="1"/>
  <c r="Q239" i="1"/>
  <c r="N172" i="1"/>
  <c r="M216" i="1"/>
  <c r="Q216" i="1"/>
  <c r="N161" i="1"/>
  <c r="T54" i="1"/>
  <c r="P43" i="1"/>
  <c r="T106" i="1"/>
  <c r="M182" i="1"/>
  <c r="N204" i="1"/>
  <c r="R54" i="1"/>
  <c r="P47" i="1"/>
  <c r="F34" i="1"/>
  <c r="S34" i="1"/>
  <c r="M34" i="1"/>
  <c r="O34" i="1"/>
  <c r="S82" i="1"/>
  <c r="E82" i="1"/>
  <c r="O82" i="1"/>
  <c r="N82" i="1"/>
  <c r="O174" i="1"/>
  <c r="H174" i="1"/>
  <c r="J174" i="1"/>
  <c r="P11" i="1"/>
  <c r="P173" i="1"/>
  <c r="K174" i="1"/>
  <c r="S216" i="1"/>
  <c r="G174" i="1"/>
  <c r="D216" i="1"/>
  <c r="J17" i="1"/>
  <c r="J51" i="1" s="1"/>
  <c r="I174" i="1"/>
  <c r="C173" i="1"/>
  <c r="P182" i="1"/>
  <c r="K17" i="1"/>
  <c r="K22" i="1" s="1"/>
  <c r="P54" i="1"/>
  <c r="E216" i="1"/>
  <c r="E149" i="1"/>
  <c r="R215" i="1"/>
  <c r="S45" i="1"/>
  <c r="S14" i="1"/>
  <c r="T246" i="1"/>
  <c r="T265" i="1" s="1"/>
  <c r="D259" i="1"/>
  <c r="P110" i="1"/>
  <c r="D239" i="1"/>
  <c r="P12" i="1"/>
  <c r="O46" i="1"/>
  <c r="N110" i="1"/>
  <c r="C259" i="1"/>
  <c r="C260" i="1" s="1"/>
  <c r="D257" i="1" s="1"/>
  <c r="Q45" i="1"/>
  <c r="Q14" i="1"/>
  <c r="E45" i="1"/>
  <c r="E14" i="1"/>
  <c r="D45" i="1"/>
  <c r="T204" i="1"/>
  <c r="C216" i="1"/>
  <c r="R204" i="1"/>
  <c r="P215" i="1"/>
  <c r="F216" i="1"/>
  <c r="M14" i="1"/>
  <c r="M45" i="1"/>
  <c r="H48" i="1"/>
  <c r="H17" i="1"/>
  <c r="O45" i="1"/>
  <c r="O14" i="1"/>
  <c r="F259" i="1"/>
  <c r="T110" i="1"/>
  <c r="R134" i="1"/>
  <c r="R11" i="1"/>
  <c r="N12" i="1"/>
  <c r="T134" i="1"/>
  <c r="S149" i="1"/>
  <c r="T75" i="1"/>
  <c r="C45" i="1"/>
  <c r="C14" i="1"/>
  <c r="T11" i="1"/>
  <c r="I48" i="1"/>
  <c r="I17" i="1"/>
  <c r="F45" i="1"/>
  <c r="F14" i="1"/>
  <c r="Q149" i="1"/>
  <c r="D82" i="1"/>
  <c r="N11" i="1"/>
  <c r="G48" i="1"/>
  <c r="G17" i="1"/>
  <c r="F46" i="1"/>
  <c r="T12" i="1"/>
  <c r="D17" i="1"/>
  <c r="E251" i="1" l="1"/>
  <c r="E254" i="1" s="1"/>
  <c r="F251" i="1" s="1"/>
  <c r="F254" i="1" s="1"/>
  <c r="D260" i="1"/>
  <c r="E257" i="1" s="1"/>
  <c r="E260" i="1" s="1"/>
  <c r="F257" i="1" s="1"/>
  <c r="F260" i="1" s="1"/>
  <c r="G257" i="1" s="1"/>
  <c r="G260" i="1" s="1"/>
  <c r="N260" i="1"/>
  <c r="O257" i="1" s="1"/>
  <c r="O260" i="1" s="1"/>
  <c r="P257" i="1" s="1"/>
  <c r="P260" i="1"/>
  <c r="Q257" i="1" s="1"/>
  <c r="Q260" i="1" s="1"/>
  <c r="R257" i="1" s="1"/>
  <c r="R260" i="1" s="1"/>
  <c r="S257" i="1" s="1"/>
  <c r="S260" i="1" s="1"/>
  <c r="T257" i="1" s="1"/>
  <c r="T260" i="1" s="1"/>
  <c r="U257" i="1" s="1"/>
  <c r="U260" i="1" s="1"/>
  <c r="V257" i="1" s="1"/>
  <c r="V260" i="1" s="1"/>
  <c r="W257" i="1" s="1"/>
  <c r="W260" i="1" s="1"/>
  <c r="P149" i="1"/>
  <c r="R173" i="1"/>
  <c r="D174" i="1"/>
  <c r="M174" i="1"/>
  <c r="P82" i="1"/>
  <c r="P76" i="1" s="1"/>
  <c r="F174" i="1"/>
  <c r="R239" i="1"/>
  <c r="N149" i="1"/>
  <c r="Q174" i="1"/>
  <c r="R149" i="1"/>
  <c r="P216" i="1"/>
  <c r="N76" i="1"/>
  <c r="M219" i="1"/>
  <c r="D34" i="1"/>
  <c r="D51" i="1" s="1"/>
  <c r="D76" i="1"/>
  <c r="O36" i="1"/>
  <c r="O35" i="1"/>
  <c r="O39" i="1"/>
  <c r="T173" i="1"/>
  <c r="O76" i="1"/>
  <c r="T149" i="1"/>
  <c r="E76" i="1"/>
  <c r="M36" i="1"/>
  <c r="M39" i="1"/>
  <c r="M35" i="1"/>
  <c r="U247" i="1"/>
  <c r="T182" i="1"/>
  <c r="Q36" i="1"/>
  <c r="Q35" i="1"/>
  <c r="Q39" i="1"/>
  <c r="P34" i="1"/>
  <c r="N34" i="1"/>
  <c r="P46" i="1"/>
  <c r="C219" i="1"/>
  <c r="R82" i="1"/>
  <c r="S76" i="1"/>
  <c r="C76" i="1"/>
  <c r="T46" i="1"/>
  <c r="N216" i="1"/>
  <c r="N239" i="1"/>
  <c r="P239" i="1"/>
  <c r="S35" i="1"/>
  <c r="S36" i="1"/>
  <c r="S39" i="1"/>
  <c r="E36" i="1"/>
  <c r="E35" i="1"/>
  <c r="E39" i="1"/>
  <c r="Q76" i="1"/>
  <c r="T239" i="1"/>
  <c r="N173" i="1"/>
  <c r="E174" i="1"/>
  <c r="G36" i="1"/>
  <c r="G39" i="1"/>
  <c r="G35" i="1"/>
  <c r="T31" i="1"/>
  <c r="C39" i="1"/>
  <c r="C36" i="1"/>
  <c r="C35" i="1"/>
  <c r="D120" i="1"/>
  <c r="S174" i="1"/>
  <c r="R14" i="1"/>
  <c r="R216" i="1"/>
  <c r="C174" i="1"/>
  <c r="F36" i="1"/>
  <c r="F35" i="1"/>
  <c r="F39" i="1"/>
  <c r="U121" i="1"/>
  <c r="R34" i="1"/>
  <c r="G120" i="1"/>
  <c r="G18" i="1"/>
  <c r="G19" i="1"/>
  <c r="T82" i="1"/>
  <c r="P14" i="1"/>
  <c r="P174" i="1"/>
  <c r="J22" i="1"/>
  <c r="J56" i="1" s="1"/>
  <c r="K51" i="1"/>
  <c r="T45" i="1"/>
  <c r="N14" i="1"/>
  <c r="N45" i="1"/>
  <c r="R45" i="1"/>
  <c r="P45" i="1"/>
  <c r="O48" i="1"/>
  <c r="O17" i="1"/>
  <c r="T216" i="1"/>
  <c r="E17" i="1"/>
  <c r="E48" i="1"/>
  <c r="S48" i="1"/>
  <c r="S17" i="1"/>
  <c r="I51" i="1"/>
  <c r="I22" i="1"/>
  <c r="T14" i="1"/>
  <c r="H51" i="1"/>
  <c r="H22" i="1"/>
  <c r="G51" i="1"/>
  <c r="G22" i="1"/>
  <c r="K56" i="1"/>
  <c r="C48" i="1"/>
  <c r="C17" i="1"/>
  <c r="Q48" i="1"/>
  <c r="Q17" i="1"/>
  <c r="D19" i="1"/>
  <c r="D22" i="1"/>
  <c r="D18" i="1"/>
  <c r="F48" i="1"/>
  <c r="F17" i="1"/>
  <c r="M48" i="1"/>
  <c r="M17" i="1"/>
  <c r="G251" i="1" l="1"/>
  <c r="G254" i="1" s="1"/>
  <c r="R174" i="1"/>
  <c r="D217" i="1"/>
  <c r="D219" i="1" s="1"/>
  <c r="N174" i="1"/>
  <c r="C120" i="1"/>
  <c r="N36" i="1"/>
  <c r="N39" i="1"/>
  <c r="N35" i="1"/>
  <c r="T34" i="1"/>
  <c r="T174" i="1"/>
  <c r="T17" i="1"/>
  <c r="N17" i="1"/>
  <c r="N19" i="1" s="1"/>
  <c r="G40" i="1"/>
  <c r="S40" i="1"/>
  <c r="Q40" i="1"/>
  <c r="D35" i="1"/>
  <c r="D36" i="1"/>
  <c r="D39" i="1"/>
  <c r="D56" i="1" s="1"/>
  <c r="P36" i="1"/>
  <c r="P35" i="1"/>
  <c r="P39" i="1"/>
  <c r="G23" i="1"/>
  <c r="P17" i="1"/>
  <c r="P22" i="1" s="1"/>
  <c r="M40" i="1"/>
  <c r="O40" i="1"/>
  <c r="E120" i="1"/>
  <c r="U122" i="1"/>
  <c r="F120" i="1"/>
  <c r="T76" i="1"/>
  <c r="R17" i="1"/>
  <c r="F40" i="1"/>
  <c r="C40" i="1"/>
  <c r="R76" i="1"/>
  <c r="R35" i="1"/>
  <c r="R36" i="1"/>
  <c r="R39" i="1"/>
  <c r="E40" i="1"/>
  <c r="N217" i="1"/>
  <c r="G52" i="1"/>
  <c r="G53" i="1"/>
  <c r="S120" i="1"/>
  <c r="M120" i="1"/>
  <c r="O120" i="1"/>
  <c r="Q120" i="1"/>
  <c r="O51" i="1"/>
  <c r="O19" i="1"/>
  <c r="O22" i="1"/>
  <c r="O18" i="1"/>
  <c r="C22" i="1"/>
  <c r="C51" i="1"/>
  <c r="C19" i="1"/>
  <c r="C18" i="1"/>
  <c r="G56" i="1"/>
  <c r="J60" i="1"/>
  <c r="R48" i="1"/>
  <c r="I56" i="1"/>
  <c r="N48" i="1"/>
  <c r="F22" i="1"/>
  <c r="F18" i="1"/>
  <c r="F51" i="1"/>
  <c r="F19" i="1"/>
  <c r="D23" i="1"/>
  <c r="E51" i="1"/>
  <c r="E22" i="1"/>
  <c r="E18" i="1"/>
  <c r="E19" i="1"/>
  <c r="K60" i="1"/>
  <c r="S51" i="1"/>
  <c r="S22" i="1"/>
  <c r="S18" i="1"/>
  <c r="S19" i="1"/>
  <c r="P48" i="1"/>
  <c r="D53" i="1"/>
  <c r="D52" i="1"/>
  <c r="Q51" i="1"/>
  <c r="Q19" i="1"/>
  <c r="Q22" i="1"/>
  <c r="Q18" i="1"/>
  <c r="T48" i="1"/>
  <c r="M51" i="1"/>
  <c r="M18" i="1"/>
  <c r="M19" i="1"/>
  <c r="M22" i="1"/>
  <c r="H56" i="1"/>
  <c r="T18" i="1" l="1"/>
  <c r="E217" i="1"/>
  <c r="E219" i="1" s="1"/>
  <c r="P18" i="1"/>
  <c r="N22" i="1"/>
  <c r="P51" i="1"/>
  <c r="T19" i="1"/>
  <c r="R40" i="1"/>
  <c r="N219" i="1"/>
  <c r="T22" i="1"/>
  <c r="G57" i="1"/>
  <c r="T39" i="1"/>
  <c r="T35" i="1"/>
  <c r="T36" i="1"/>
  <c r="P23" i="1"/>
  <c r="R19" i="1"/>
  <c r="R22" i="1"/>
  <c r="R18" i="1"/>
  <c r="P40" i="1"/>
  <c r="D40" i="1"/>
  <c r="N40" i="1"/>
  <c r="P19" i="1"/>
  <c r="N18" i="1"/>
  <c r="T120" i="1"/>
  <c r="P120" i="1"/>
  <c r="N120" i="1"/>
  <c r="R120" i="1"/>
  <c r="H60" i="1"/>
  <c r="C53" i="1"/>
  <c r="C52" i="1"/>
  <c r="N51" i="1"/>
  <c r="D60" i="1"/>
  <c r="D57" i="1"/>
  <c r="C56" i="1"/>
  <c r="C23" i="1"/>
  <c r="Q23" i="1"/>
  <c r="Q56" i="1"/>
  <c r="F52" i="1"/>
  <c r="T51" i="1"/>
  <c r="F53" i="1"/>
  <c r="O56" i="1"/>
  <c r="O23" i="1"/>
  <c r="S53" i="1"/>
  <c r="S52" i="1"/>
  <c r="R51" i="1"/>
  <c r="E53" i="1"/>
  <c r="E52" i="1"/>
  <c r="K109" i="1"/>
  <c r="K111" i="1" s="1"/>
  <c r="K115" i="1" s="1"/>
  <c r="K68" i="1"/>
  <c r="K70" i="1" s="1"/>
  <c r="K222" i="1" s="1"/>
  <c r="K247" i="1" s="1"/>
  <c r="M56" i="1"/>
  <c r="M23" i="1"/>
  <c r="J68" i="1"/>
  <c r="J70" i="1" s="1"/>
  <c r="J222" i="1" s="1"/>
  <c r="J247" i="1" s="1"/>
  <c r="J109" i="1"/>
  <c r="J111" i="1" s="1"/>
  <c r="J115" i="1" s="1"/>
  <c r="Q53" i="1"/>
  <c r="Q52" i="1"/>
  <c r="E56" i="1"/>
  <c r="E23" i="1"/>
  <c r="I60" i="1"/>
  <c r="M53" i="1"/>
  <c r="M52" i="1"/>
  <c r="S56" i="1"/>
  <c r="S23" i="1"/>
  <c r="F56" i="1"/>
  <c r="F23" i="1"/>
  <c r="G60" i="1"/>
  <c r="O52" i="1"/>
  <c r="O53" i="1"/>
  <c r="N23" i="1" l="1"/>
  <c r="F217" i="1"/>
  <c r="P52" i="1"/>
  <c r="P53" i="1"/>
  <c r="P56" i="1"/>
  <c r="R23" i="1"/>
  <c r="O217" i="1"/>
  <c r="T40" i="1"/>
  <c r="T23" i="1"/>
  <c r="G61" i="1"/>
  <c r="N56" i="1"/>
  <c r="C60" i="1"/>
  <c r="C57" i="1"/>
  <c r="Q60" i="1"/>
  <c r="Q57" i="1"/>
  <c r="T53" i="1"/>
  <c r="T52" i="1"/>
  <c r="G109" i="1"/>
  <c r="G68" i="1"/>
  <c r="M60" i="1"/>
  <c r="M57" i="1"/>
  <c r="D61" i="1"/>
  <c r="D109" i="1"/>
  <c r="D68" i="1"/>
  <c r="F57" i="1"/>
  <c r="T56" i="1"/>
  <c r="F60" i="1"/>
  <c r="N53" i="1"/>
  <c r="N52" i="1"/>
  <c r="R53" i="1"/>
  <c r="R52" i="1"/>
  <c r="S57" i="1"/>
  <c r="S60" i="1"/>
  <c r="E60" i="1"/>
  <c r="R56" i="1"/>
  <c r="E57" i="1"/>
  <c r="I109" i="1"/>
  <c r="I111" i="1" s="1"/>
  <c r="I115" i="1" s="1"/>
  <c r="I68" i="1"/>
  <c r="I70" i="1" s="1"/>
  <c r="I222" i="1" s="1"/>
  <c r="I247" i="1" s="1"/>
  <c r="O57" i="1"/>
  <c r="O60" i="1"/>
  <c r="H109" i="1"/>
  <c r="H111" i="1" s="1"/>
  <c r="H115" i="1" s="1"/>
  <c r="H68" i="1"/>
  <c r="H70" i="1" s="1"/>
  <c r="H222" i="1" s="1"/>
  <c r="H247" i="1" s="1"/>
  <c r="P57" i="1" l="1"/>
  <c r="F219" i="1"/>
  <c r="G217" i="1" s="1"/>
  <c r="P60" i="1"/>
  <c r="P61" i="1" s="1"/>
  <c r="O219" i="1"/>
  <c r="G111" i="1"/>
  <c r="G115" i="1" s="1" a="1"/>
  <c r="G115" i="1" s="1"/>
  <c r="D70" i="1"/>
  <c r="D111" i="1"/>
  <c r="D115" i="1" s="1" a="1"/>
  <c r="D115" i="1" s="1"/>
  <c r="G70" i="1"/>
  <c r="Q109" i="1"/>
  <c r="Q61" i="1"/>
  <c r="Q68" i="1"/>
  <c r="C109" i="1"/>
  <c r="C68" i="1"/>
  <c r="C61" i="1"/>
  <c r="O109" i="1"/>
  <c r="O61" i="1"/>
  <c r="O68" i="1"/>
  <c r="F109" i="1"/>
  <c r="F68" i="1"/>
  <c r="F61" i="1"/>
  <c r="T60" i="1"/>
  <c r="T57" i="1"/>
  <c r="N60" i="1"/>
  <c r="N57" i="1"/>
  <c r="R57" i="1"/>
  <c r="R60" i="1"/>
  <c r="S109" i="1"/>
  <c r="S61" i="1"/>
  <c r="S68" i="1"/>
  <c r="M61" i="1"/>
  <c r="M109" i="1"/>
  <c r="M68" i="1"/>
  <c r="E109" i="1"/>
  <c r="E61" i="1"/>
  <c r="E68" i="1"/>
  <c r="P109" i="1"/>
  <c r="P68" i="1" l="1"/>
  <c r="P70" i="1" s="1"/>
  <c r="D247" i="1"/>
  <c r="S111" i="1"/>
  <c r="S115" i="1" s="1" a="1"/>
  <c r="S115" i="1" s="1"/>
  <c r="G219" i="1"/>
  <c r="M70" i="1"/>
  <c r="F70" i="1"/>
  <c r="E70" i="1"/>
  <c r="F111" i="1"/>
  <c r="F115" i="1" s="1" a="1"/>
  <c r="F115" i="1" s="1"/>
  <c r="C111" i="1"/>
  <c r="C115" i="1" s="1" a="1"/>
  <c r="C115" i="1" s="1"/>
  <c r="O111" i="1"/>
  <c r="O115" i="1" s="1" a="1"/>
  <c r="O115" i="1" s="1"/>
  <c r="M111" i="1"/>
  <c r="M115" i="1" s="1" a="1"/>
  <c r="M115" i="1" s="1"/>
  <c r="Q70" i="1"/>
  <c r="O70" i="1"/>
  <c r="E111" i="1"/>
  <c r="E115" i="1" s="1" a="1"/>
  <c r="E115" i="1" s="1"/>
  <c r="Q111" i="1"/>
  <c r="Q115" i="1" s="1" a="1"/>
  <c r="Q115" i="1" s="1"/>
  <c r="P111" i="1"/>
  <c r="P115" i="1" s="1" a="1"/>
  <c r="P115" i="1" s="1"/>
  <c r="C70" i="1"/>
  <c r="S70" i="1"/>
  <c r="P217" i="1"/>
  <c r="R109" i="1"/>
  <c r="R61" i="1"/>
  <c r="R68" i="1"/>
  <c r="N109" i="1"/>
  <c r="N61" i="1"/>
  <c r="N68" i="1"/>
  <c r="T109" i="1"/>
  <c r="T61" i="1"/>
  <c r="T68" i="1"/>
  <c r="S247" i="1" l="1"/>
  <c r="M247" i="1"/>
  <c r="E247" i="1"/>
  <c r="Q247" i="1"/>
  <c r="O247" i="1"/>
  <c r="F247" i="1"/>
  <c r="T70" i="1"/>
  <c r="T111" i="1"/>
  <c r="T115" i="1" s="1" a="1"/>
  <c r="T115" i="1" s="1"/>
  <c r="R70" i="1"/>
  <c r="P219" i="1"/>
  <c r="N111" i="1"/>
  <c r="N115" i="1" s="1" a="1"/>
  <c r="N115" i="1" s="1"/>
  <c r="G121" i="1"/>
  <c r="D121" i="1"/>
  <c r="G247" i="1"/>
  <c r="R111" i="1"/>
  <c r="R115" i="1" s="1" a="1"/>
  <c r="R115" i="1" s="1"/>
  <c r="N70" i="1"/>
  <c r="C247" i="1" l="1"/>
  <c r="C121" i="1"/>
  <c r="D122" i="1"/>
  <c r="M121" i="1"/>
  <c r="P247" i="1"/>
  <c r="E121" i="1"/>
  <c r="O121" i="1"/>
  <c r="P121" i="1"/>
  <c r="Q217" i="1"/>
  <c r="Q121" i="1"/>
  <c r="F121" i="1"/>
  <c r="G122" i="1"/>
  <c r="S121" i="1"/>
  <c r="S122" i="1" l="1"/>
  <c r="Q122" i="1"/>
  <c r="P122" i="1"/>
  <c r="R247" i="1"/>
  <c r="Q219" i="1"/>
  <c r="E122" i="1"/>
  <c r="N247" i="1"/>
  <c r="T247" i="1"/>
  <c r="R121" i="1"/>
  <c r="N121" i="1"/>
  <c r="O122" i="1"/>
  <c r="C122" i="1"/>
  <c r="M122" i="1"/>
  <c r="F122" i="1"/>
  <c r="T121" i="1"/>
  <c r="N122" i="1" l="1"/>
  <c r="R122" i="1"/>
  <c r="T122" i="1"/>
  <c r="R217" i="1"/>
  <c r="R219" i="1" l="1"/>
  <c r="W46" i="1"/>
  <c r="W48" i="1" s="1"/>
  <c r="W14" i="1"/>
  <c r="W17" i="1" s="1"/>
  <c r="S217" i="1" l="1"/>
  <c r="W51" i="1"/>
  <c r="W52" i="1" s="1"/>
  <c r="W120" i="1"/>
  <c r="W19" i="1"/>
  <c r="W18" i="1"/>
  <c r="W22" i="1"/>
  <c r="W23" i="1" s="1"/>
  <c r="W56" i="1"/>
  <c r="S219" i="1" l="1"/>
  <c r="W53" i="1"/>
  <c r="W57" i="1"/>
  <c r="T217" i="1" l="1"/>
  <c r="T219" i="1" l="1"/>
  <c r="U217" i="1" l="1"/>
  <c r="W172" i="1"/>
  <c r="W148" i="1"/>
  <c r="U219" i="1" l="1"/>
  <c r="W134" i="1"/>
  <c r="W149" i="1" s="1"/>
  <c r="W161" i="1"/>
  <c r="W173" i="1" s="1"/>
  <c r="W239" i="1"/>
  <c r="V217" i="1" l="1"/>
  <c r="W60" i="1"/>
  <c r="W174" i="1"/>
  <c r="V219" i="1" l="1"/>
  <c r="W61" i="1"/>
  <c r="W68" i="1"/>
  <c r="W70" i="1" s="1"/>
  <c r="W247" i="1" s="1"/>
  <c r="W111" i="1"/>
  <c r="W115" i="1" l="1" a="1"/>
  <c r="W115" i="1" s="1"/>
  <c r="W121" i="1" s="1"/>
  <c r="W122" i="1" s="1"/>
  <c r="W217" i="1"/>
  <c r="W219" i="1" s="1"/>
  <c r="X219" i="1" s="1"/>
  <c r="Y219" i="1" s="1"/>
  <c r="Z219" i="1" s="1"/>
  <c r="AA219" i="1" s="1"/>
  <c r="AB219" i="1" s="1"/>
  <c r="AC219" i="1" s="1"/>
  <c r="AD219" i="1" s="1"/>
  <c r="W180" i="1" l="1"/>
  <c r="W182" i="1" l="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<sst xmlns="http://schemas.openxmlformats.org/spreadsheetml/2006/main" count="568" uniqueCount="233">
  <si>
    <t>Vista Group</t>
  </si>
  <si>
    <r>
      <t xml:space="preserve">Full year values are sourced from audited financial statements. Half year values and new segment values are </t>
    </r>
    <r>
      <rPr>
        <i/>
        <u/>
        <sz val="11"/>
        <color theme="3"/>
        <rFont val="Calibri"/>
        <family val="2"/>
      </rPr>
      <t>not</t>
    </r>
    <r>
      <rPr>
        <i/>
        <sz val="11"/>
        <color theme="3"/>
        <rFont val="Calibri"/>
        <family val="2"/>
      </rPr>
      <t xml:space="preserve"> audited. </t>
    </r>
  </si>
  <si>
    <t>Historical years have been impacted by the 2020 pandemic.</t>
  </si>
  <si>
    <r>
      <rPr>
        <b/>
        <i/>
        <sz val="7"/>
        <color theme="3"/>
        <rFont val="Calibri"/>
        <family val="2"/>
      </rPr>
      <t xml:space="preserve">Disclaimer: </t>
    </r>
    <r>
      <rPr>
        <i/>
        <sz val="7"/>
        <color theme="3"/>
        <rFont val="Calibri"/>
        <family val="2"/>
      </rPr>
      <t>This data sheet has been prepared by Vista Group International Limited and its related companies (collectively referred to as Vista Group). Information in this data sheet:
• is provided for general information purposes only, does not purport to be complete or comprehensive, and is not an offer or invitation or subscription or purchase of, or solicitation of an offer to buy or subscribe for, financial products in Vista Group;
• does not constitute a recommendation or investment or any other type of advice and may not be relied upon in connection with any purchase or sale of financial products in Vista Group. The data sheet is not intended as investment, legal, tax, financial advice or recommendation to any person. Independent professional advice should be obtained prior to making any investment or financial decisions; and
• should be read in conjunction with, and is subject to, Vista Group’s financial statements, market releases and information available on Vista Group’s website (vistagroup.co.nz) and on NZX Limited’s website (nzx.com) under ticker code VGL.
While all reasonable care has been taken in compiling this data sheet, Vista Group, and their respective directors, employees, agents and advisers accept no responsibility for any errors or omissions. Neither Vista Group or any of its respective directors, employees, agents or advisers makes any representation or warranty, express or implied, as to the accuracy or completeness of the information in this data sheet or as to the existence, substance or materiality of any information omitted from this data sheet. No person is under any obligation to update this data sheet at any time after its release. 
Unless otherwise stated, all information in this presentation are in NZ dollars.</t>
    </r>
  </si>
  <si>
    <t>Cinema Segmental Performance (NZ$m)</t>
  </si>
  <si>
    <t>FY2020</t>
  </si>
  <si>
    <t>FY2021</t>
  </si>
  <si>
    <t>FY2022</t>
  </si>
  <si>
    <t>FY2023</t>
  </si>
  <si>
    <t>FY2024</t>
  </si>
  <si>
    <t>FY2025</t>
  </si>
  <si>
    <t>FY2026</t>
  </si>
  <si>
    <t>FY2027</t>
  </si>
  <si>
    <t>FY2028</t>
  </si>
  <si>
    <t>1H20</t>
  </si>
  <si>
    <t>2H20</t>
  </si>
  <si>
    <t>1H21</t>
  </si>
  <si>
    <t>2H21</t>
  </si>
  <si>
    <t>1H22</t>
  </si>
  <si>
    <t>2H22</t>
  </si>
  <si>
    <t>1H23</t>
  </si>
  <si>
    <t>2H23</t>
  </si>
  <si>
    <t>1H24</t>
  </si>
  <si>
    <t>Cinema</t>
  </si>
  <si>
    <t>SaaS Revenue</t>
  </si>
  <si>
    <t>Non-SaaS Revenue</t>
  </si>
  <si>
    <t>Recurring Revenue</t>
  </si>
  <si>
    <t>Non-recurring Revenue (excl Hardware)</t>
  </si>
  <si>
    <t>Hardware Revenue</t>
  </si>
  <si>
    <t>Total revenue</t>
  </si>
  <si>
    <t>Cost to serve (excl Hardware)</t>
  </si>
  <si>
    <t>Hardware cost of sales</t>
  </si>
  <si>
    <t>Gross profit</t>
  </si>
  <si>
    <t>Gross profit %</t>
  </si>
  <si>
    <t>Gross profit % (ex hardware)</t>
  </si>
  <si>
    <t>Sales &amp; marketing costs</t>
  </si>
  <si>
    <t>Research &amp; development costs</t>
  </si>
  <si>
    <t>Contribution margin</t>
  </si>
  <si>
    <t>Contribution margin %</t>
  </si>
  <si>
    <t>Film Segmental Performance (NZ$m)</t>
  </si>
  <si>
    <t>Film</t>
  </si>
  <si>
    <t>Consolidated Performance (NZ$m)</t>
  </si>
  <si>
    <t>General and administration costs</t>
  </si>
  <si>
    <t>Foreign currency gains / losses</t>
  </si>
  <si>
    <t>EBITDA</t>
  </si>
  <si>
    <t>EBITDA margin %</t>
  </si>
  <si>
    <t>Amortisation</t>
  </si>
  <si>
    <t>Depreciation</t>
  </si>
  <si>
    <t>Finance costs</t>
  </si>
  <si>
    <t>Finance income</t>
  </si>
  <si>
    <t>Equity accounted loss from associate</t>
  </si>
  <si>
    <t>Other gains and losses</t>
  </si>
  <si>
    <t>Taxation</t>
  </si>
  <si>
    <t>Vista Group Revenue Breakdown (NZ$m)</t>
  </si>
  <si>
    <t>Vista Group Revenue</t>
  </si>
  <si>
    <t>SaaS revenue</t>
  </si>
  <si>
    <t>Non-SaaS revenue</t>
  </si>
  <si>
    <t>Recurring revenue</t>
  </si>
  <si>
    <t>% of total revenue</t>
  </si>
  <si>
    <t>Perpetual software</t>
  </si>
  <si>
    <t>Hardware</t>
  </si>
  <si>
    <t>Services &amp; development - one off</t>
  </si>
  <si>
    <t>Other revenue</t>
  </si>
  <si>
    <t>Non-recurring revenue</t>
  </si>
  <si>
    <r>
      <t xml:space="preserve">1H23
</t>
    </r>
    <r>
      <rPr>
        <i/>
        <sz val="6"/>
        <color theme="0"/>
        <rFont val="Calibri"/>
        <family val="2"/>
      </rPr>
      <t>represented</t>
    </r>
  </si>
  <si>
    <t>Expenses</t>
  </si>
  <si>
    <t>Direct COS (excl. hardware &amp; personnel)</t>
  </si>
  <si>
    <t>Personnel costs</t>
  </si>
  <si>
    <t>Share-based payment expense</t>
  </si>
  <si>
    <t>Pension plans and employee insurances</t>
  </si>
  <si>
    <t>Capitalised development</t>
  </si>
  <si>
    <t>Government grants</t>
  </si>
  <si>
    <t>Computer equipment and software</t>
  </si>
  <si>
    <t>Marketing costs</t>
  </si>
  <si>
    <t>Travel related costs</t>
  </si>
  <si>
    <t>Bad debt expense</t>
  </si>
  <si>
    <t>Group auditor remuneration</t>
  </si>
  <si>
    <t>Other operating expenses</t>
  </si>
  <si>
    <t>Share-based payments expense</t>
  </si>
  <si>
    <t>EBITDA excl SBP</t>
  </si>
  <si>
    <t>Leases (principal elements)</t>
  </si>
  <si>
    <t>Key Performance Indicators (NZ$m)</t>
  </si>
  <si>
    <t>KPIs</t>
  </si>
  <si>
    <r>
      <t xml:space="preserve">ARR </t>
    </r>
    <r>
      <rPr>
        <i/>
        <sz val="8"/>
        <color theme="3"/>
        <rFont val="Calibri"/>
        <family val="2"/>
      </rPr>
      <t>(on Gross Recurring Revenues)</t>
    </r>
  </si>
  <si>
    <t>Total Revenue</t>
  </si>
  <si>
    <t>Total Cash Costs</t>
  </si>
  <si>
    <t>Balance Sheet (NZ$m)</t>
  </si>
  <si>
    <t>Balance Sheet</t>
  </si>
  <si>
    <t>CURRENT ASSETS</t>
  </si>
  <si>
    <t>Cash</t>
  </si>
  <si>
    <t>Trade and other receivables</t>
  </si>
  <si>
    <t>Contract assets</t>
  </si>
  <si>
    <t>Net investment in sublease</t>
  </si>
  <si>
    <t>Income tax receivable</t>
  </si>
  <si>
    <t>Total current assets</t>
  </si>
  <si>
    <t>NON-CURRENT ASSETS</t>
  </si>
  <si>
    <t>Property, plant and equipment</t>
  </si>
  <si>
    <t>Lease assets</t>
  </si>
  <si>
    <t>Investment in associate</t>
  </si>
  <si>
    <t>Goodwill</t>
  </si>
  <si>
    <t>Other intangible assets</t>
  </si>
  <si>
    <t>Deferred tax asset</t>
  </si>
  <si>
    <t>Total non-current assets</t>
  </si>
  <si>
    <t>Total assets</t>
  </si>
  <si>
    <t>CURRENT LIABILITIES</t>
  </si>
  <si>
    <t xml:space="preserve">Borrowings </t>
  </si>
  <si>
    <t>Trade and other payables</t>
  </si>
  <si>
    <t>Lease liabilities</t>
  </si>
  <si>
    <t>Deferred revenue</t>
  </si>
  <si>
    <t>Contingent consideration</t>
  </si>
  <si>
    <t>Provisions</t>
  </si>
  <si>
    <t>Income tax payable</t>
  </si>
  <si>
    <t>Total current liabilities</t>
  </si>
  <si>
    <t>NON-CURRENT LIABILITIES</t>
  </si>
  <si>
    <t>Deferred tax liability</t>
  </si>
  <si>
    <t>Total non-current liabilities</t>
  </si>
  <si>
    <t>Total liabilities</t>
  </si>
  <si>
    <t>Net assets</t>
  </si>
  <si>
    <t>EQUITY</t>
  </si>
  <si>
    <t>Contributed equity</t>
  </si>
  <si>
    <t>Retained earnings</t>
  </si>
  <si>
    <t>Foreign currency reserve</t>
  </si>
  <si>
    <t>Share-based payment reserve</t>
  </si>
  <si>
    <t>Total equity attributable to owners</t>
  </si>
  <si>
    <t>Non-controlling interests</t>
  </si>
  <si>
    <t>Total equity</t>
  </si>
  <si>
    <t>Cash Flow Statement (NZ$m)</t>
  </si>
  <si>
    <t>STATEMENT OF CASH FLOWS</t>
  </si>
  <si>
    <t>OPERATING ACTIVITIES</t>
  </si>
  <si>
    <t>Receipts from clients</t>
  </si>
  <si>
    <t>Payments to suppliers and employees</t>
  </si>
  <si>
    <t>Exceptional items</t>
  </si>
  <si>
    <t>Taxes received / (paid)</t>
  </si>
  <si>
    <t>Interest paid</t>
  </si>
  <si>
    <t>Net cash inflow from operating activities</t>
  </si>
  <si>
    <t>INVESTING ACTIVITIES</t>
  </si>
  <si>
    <t>Purchase of PP&amp;E</t>
  </si>
  <si>
    <t>Purchase of intangibles</t>
  </si>
  <si>
    <t>Interest received</t>
  </si>
  <si>
    <t>Contingent consideration paid</t>
  </si>
  <si>
    <t>Business acquisitions</t>
  </si>
  <si>
    <t>Net cash applied to investing activities</t>
  </si>
  <si>
    <t>FINANCING ACTIVITIES</t>
  </si>
  <si>
    <t>Issue of ordinary shares</t>
  </si>
  <si>
    <t>Lease payments - principal elements</t>
  </si>
  <si>
    <t>Bank borrowings / (repayments)</t>
  </si>
  <si>
    <t>Related party borrowings / (repayments)</t>
  </si>
  <si>
    <t>Government borrowings / (repayments)</t>
  </si>
  <si>
    <t>Dividends paid to non-controlling interests</t>
  </si>
  <si>
    <t>Net cash applied to financing activities</t>
  </si>
  <si>
    <t xml:space="preserve">Net decrease in cash </t>
  </si>
  <si>
    <t>Cash at beginning of period</t>
  </si>
  <si>
    <t>Foreign exchange differences</t>
  </si>
  <si>
    <t>Cash at period end</t>
  </si>
  <si>
    <t>Operating Cashflow Reconciliation (NZ$m)</t>
  </si>
  <si>
    <r>
      <t xml:space="preserve">2H23
</t>
    </r>
    <r>
      <rPr>
        <i/>
        <sz val="6"/>
        <color theme="0"/>
        <rFont val="Calibri"/>
        <family val="2"/>
      </rPr>
      <t>represented</t>
    </r>
  </si>
  <si>
    <t>OPERATING CASHFLOW RECONCILIATION</t>
  </si>
  <si>
    <t>Loss for the period</t>
  </si>
  <si>
    <t>Non-cash items:</t>
  </si>
  <si>
    <t xml:space="preserve">Amortisation </t>
  </si>
  <si>
    <t>Impairment charges</t>
  </si>
  <si>
    <t>FV movements in contingent consideration</t>
  </si>
  <si>
    <t>Deferred tax expense</t>
  </si>
  <si>
    <t>Non-cash finance charges</t>
  </si>
  <si>
    <t>Share of equity accounted losses</t>
  </si>
  <si>
    <t>Unrealised foreign currency movements</t>
  </si>
  <si>
    <t>Movement in ECL provision through P&amp;L</t>
  </si>
  <si>
    <t>Movement in revenue provisions</t>
  </si>
  <si>
    <t>Movement in other provisions</t>
  </si>
  <si>
    <t>Net non-cash items</t>
  </si>
  <si>
    <t>Movements in working capital:</t>
  </si>
  <si>
    <t>Related party payables</t>
  </si>
  <si>
    <t>Related party receivables</t>
  </si>
  <si>
    <t>Payables, incl. contingent consideration</t>
  </si>
  <si>
    <t>Receivables, net of deferred revenue</t>
  </si>
  <si>
    <t>Net taxation receivable</t>
  </si>
  <si>
    <t xml:space="preserve">Net change in working capital </t>
  </si>
  <si>
    <t xml:space="preserve">Net cash inflow from operating activities </t>
  </si>
  <si>
    <t>SITE INFORMATION:</t>
  </si>
  <si>
    <r>
      <t>NON-GAAP INFORMATION</t>
    </r>
    <r>
      <rPr>
        <b/>
        <sz val="8"/>
        <rFont val="Calibri"/>
        <family val="2"/>
      </rPr>
      <t xml:space="preserve">: </t>
    </r>
    <r>
      <rPr>
        <i/>
        <sz val="6"/>
        <rFont val="Calibri"/>
        <family val="2"/>
      </rPr>
      <t>Non-GAAP information does not have a standardised meaning prescribed by NZ GAAP and therefore may not be comparable to similar financial information presented by other entities.</t>
    </r>
  </si>
  <si>
    <r>
      <rPr>
        <b/>
        <sz val="6"/>
        <rFont val="Calibri"/>
        <family val="2"/>
      </rPr>
      <t>SaaS Revenues:</t>
    </r>
    <r>
      <rPr>
        <sz val="6"/>
        <rFont val="Calibri"/>
        <family val="2"/>
      </rPr>
      <t xml:space="preserve"> are those derived from subscription-based cloud-hosted software, with the software located on externally provided servers.</t>
    </r>
  </si>
  <si>
    <r>
      <rPr>
        <b/>
        <sz val="6"/>
        <rFont val="Calibri"/>
        <family val="2"/>
      </rPr>
      <t>Non-SaaS Revenues:</t>
    </r>
    <r>
      <rPr>
        <sz val="6"/>
        <rFont val="Calibri"/>
        <family val="2"/>
      </rPr>
      <t xml:space="preserve"> are those derived from recurring revenue streams that are not cloud-hosted software.</t>
    </r>
  </si>
  <si>
    <t>2H24</t>
  </si>
  <si>
    <t>1H25</t>
  </si>
  <si>
    <t>2H25</t>
  </si>
  <si>
    <t>1H26</t>
  </si>
  <si>
    <t>2H26</t>
  </si>
  <si>
    <t>1H27</t>
  </si>
  <si>
    <t>2H27</t>
  </si>
  <si>
    <t>1H28</t>
  </si>
  <si>
    <t>2H28</t>
  </si>
  <si>
    <t>ECL expense / (benefit)</t>
  </si>
  <si>
    <r>
      <rPr>
        <b/>
        <sz val="6"/>
        <rFont val="Calibri"/>
        <family val="2"/>
      </rPr>
      <t>Contribution margin:</t>
    </r>
    <r>
      <rPr>
        <sz val="6"/>
        <rFont val="Calibri"/>
        <family val="2"/>
      </rPr>
      <t xml:space="preserve"> is a non-GAAP measure which is calculated as total revenue, less cost to serve, sales &amp; marketing costs, and research &amp; development costs</t>
    </r>
  </si>
  <si>
    <t>Cash EBITDA</t>
  </si>
  <si>
    <t>Cash EBITDA (NZ$m)</t>
  </si>
  <si>
    <t>Total costs categorised within EBITDA</t>
  </si>
  <si>
    <r>
      <t xml:space="preserve">FY2023
</t>
    </r>
    <r>
      <rPr>
        <i/>
        <sz val="6"/>
        <color theme="0"/>
        <rFont val="Calibri"/>
        <family val="2"/>
      </rPr>
      <t>represented</t>
    </r>
  </si>
  <si>
    <t>Total costs categorised within EBITDA (NZ$m)</t>
  </si>
  <si>
    <t>Profit/(loss) before tax</t>
  </si>
  <si>
    <t>Profit/(loss) for the year</t>
  </si>
  <si>
    <t>Less: Cash EBITDA</t>
  </si>
  <si>
    <t>Deferred implementation costs</t>
  </si>
  <si>
    <t>Amortisation of deferred implementation costs</t>
  </si>
  <si>
    <r>
      <t xml:space="preserve">FY2024
</t>
    </r>
    <r>
      <rPr>
        <i/>
        <sz val="6"/>
        <color theme="0"/>
        <rFont val="Calibri"/>
        <family val="2"/>
      </rPr>
      <t>represented</t>
    </r>
  </si>
  <si>
    <r>
      <t xml:space="preserve">1H24
</t>
    </r>
    <r>
      <rPr>
        <i/>
        <sz val="6"/>
        <color theme="0"/>
        <rFont val="Calibri"/>
        <family val="2"/>
      </rPr>
      <t>represented</t>
    </r>
  </si>
  <si>
    <r>
      <t xml:space="preserve">2H24
</t>
    </r>
    <r>
      <rPr>
        <i/>
        <sz val="6"/>
        <color theme="0"/>
        <rFont val="Calibri"/>
        <family val="2"/>
      </rPr>
      <t>represented</t>
    </r>
  </si>
  <si>
    <r>
      <t xml:space="preserve">FY2022
</t>
    </r>
    <r>
      <rPr>
        <i/>
        <sz val="6"/>
        <color theme="0"/>
        <rFont val="Calibri"/>
        <family val="2"/>
      </rPr>
      <t>represented</t>
    </r>
  </si>
  <si>
    <r>
      <t xml:space="preserve">2H22
</t>
    </r>
    <r>
      <rPr>
        <i/>
        <sz val="6"/>
        <color theme="0"/>
        <rFont val="Calibri"/>
        <family val="2"/>
      </rPr>
      <t>represented</t>
    </r>
  </si>
  <si>
    <t>Foreign currency (gains) / losses</t>
  </si>
  <si>
    <r>
      <rPr>
        <b/>
        <sz val="6"/>
        <rFont val="Calibri"/>
        <family val="2"/>
      </rPr>
      <t>Recurring and Non-Recurring Revenues:</t>
    </r>
    <r>
      <rPr>
        <sz val="6"/>
        <rFont val="Calibri"/>
        <family val="2"/>
      </rPr>
      <t xml:space="preserve"> Recurring revenue is the portion of revenues that are expected to give rise to recurring cash receipts that will continue until the service is cancelled. Unlike non-recurring revenues, these revenues are predictable, stable and can be expected to occur at regular intervals going forward with a relatively high degree of certainty. This classification of revenue is also expected to help investors understand the nature of Vista Group’s revenue.</t>
    </r>
  </si>
  <si>
    <t>New Segmental Reporting Data Sheet (2020-2025)</t>
  </si>
  <si>
    <t>Site Count</t>
  </si>
  <si>
    <t>DIRECT</t>
  </si>
  <si>
    <t>Opening Balance - Direct</t>
  </si>
  <si>
    <t>New Sites - Direct</t>
  </si>
  <si>
    <t>Closures/Losses - Direct</t>
  </si>
  <si>
    <t>Site Count - Direct</t>
  </si>
  <si>
    <t>VEEZI</t>
  </si>
  <si>
    <t>Opening Balance - Veezi</t>
  </si>
  <si>
    <t>New Sites - Veezi</t>
  </si>
  <si>
    <t>Closures/Losses - Veezi</t>
  </si>
  <si>
    <t>Site Count - Veezi</t>
  </si>
  <si>
    <t>Vista Cloud Site Count</t>
  </si>
  <si>
    <t>Site Count - Vista Cloud</t>
  </si>
  <si>
    <r>
      <rPr>
        <b/>
        <sz val="8"/>
        <color theme="0"/>
        <rFont val="Calibri"/>
        <family val="2"/>
      </rPr>
      <t>FY2020</t>
    </r>
    <r>
      <rPr>
        <i/>
        <sz val="6"/>
        <color theme="0"/>
        <rFont val="Calibri"/>
        <family val="2"/>
      </rPr>
      <t xml:space="preserve">
Billed sites restated</t>
    </r>
  </si>
  <si>
    <r>
      <rPr>
        <b/>
        <sz val="8"/>
        <color theme="0"/>
        <rFont val="Calibri"/>
        <family val="2"/>
      </rPr>
      <t>1H20</t>
    </r>
    <r>
      <rPr>
        <i/>
        <sz val="6"/>
        <color theme="0"/>
        <rFont val="Calibri"/>
        <family val="2"/>
      </rPr>
      <t xml:space="preserve">
Billed sites restated</t>
    </r>
  </si>
  <si>
    <r>
      <rPr>
        <b/>
        <sz val="8"/>
        <color theme="0"/>
        <rFont val="Calibri"/>
        <family val="2"/>
      </rPr>
      <t>2H20</t>
    </r>
    <r>
      <rPr>
        <i/>
        <sz val="6"/>
        <color theme="0"/>
        <rFont val="Calibri"/>
        <family val="2"/>
      </rPr>
      <t xml:space="preserve">
Billed sites restated</t>
    </r>
  </si>
  <si>
    <t>Net deferred implementation costs</t>
  </si>
  <si>
    <t>Site Count - Digital Solutions</t>
  </si>
  <si>
    <t>Site Count - Vista Cloud Platform</t>
  </si>
  <si>
    <t>Site information is based on management estimates, with market data being less available post-pandemic. New sites, closures and losses are aggregated when the split is not known or includes seasonal client changes. ​</t>
  </si>
  <si>
    <r>
      <rPr>
        <b/>
        <sz val="6"/>
        <rFont val="Calibri"/>
        <family val="2"/>
      </rPr>
      <t xml:space="preserve">Cash EBITDA: </t>
    </r>
    <r>
      <rPr>
        <sz val="6"/>
        <rFont val="Calibri"/>
        <family val="2"/>
      </rPr>
      <t>is a non-GAAP measure which is defined as EBITDA plus share-based payments expense (an IFRS-based non-cash expense), less capitalised development costs, net deferred implementation costs and lease payments.</t>
    </r>
  </si>
  <si>
    <r>
      <rPr>
        <b/>
        <sz val="6"/>
        <rFont val="Calibri"/>
        <family val="2"/>
      </rPr>
      <t xml:space="preserve">EBITDA: </t>
    </r>
    <r>
      <rPr>
        <sz val="6"/>
        <rFont val="Calibri"/>
        <family val="2"/>
      </rPr>
      <t>is a non-GAAP financial measure that the CODM uses to evaluate the financial performance of Vista Group and its operating segments, because it closely correlates to operating cashflows, and therefore is considered useful to investors. It is defined as earnings before net finance costs, income tax, depreciation, amortisation, “other gains and losses” and share of equity accounted results from associates. A reconciliation is provided on the income statement.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</si>
</sst>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0.0,,\);\-"/>
    <numFmt numFmtId="165" formatCode="#,##0\ ;\(#,##0\);\-"/>
  </numFmts>
  <fonts count="27" x14ac:knownFonts="1">
    <font>
      <sz val="11"/>
      <color theme="1"/>
      <name val="Aptos Narrow"/>
      <family val="2"/>
      <scheme val="minor"/>
    </font>
    <font>
      <sz val="11"/>
      <color theme="1"/>
      <name val="Aptos Narrow"/>
      <family val="2"/>
      <scheme val="minor"/>
    </font>
    <font>
      <sz val="12"/>
      <color theme="1"/>
      <name val="Aptos Narrow"/>
      <family val="2"/>
      <scheme val="minor"/>
    </font>
    <font>
      <i/>
      <sz val="10"/>
      <color theme="3"/>
      <name val="Calibri"/>
      <family val="2"/>
    </font>
    <font>
      <sz val="12"/>
      <color theme="0"/>
      <name val="Calibri"/>
      <family val="2"/>
    </font>
    <font>
      <sz val="11"/>
      <color theme="3"/>
      <name val="Calibri"/>
      <family val="2"/>
    </font>
    <font>
      <sz val="12"/>
      <color theme="3"/>
      <name val="Calibri"/>
      <family val="2"/>
    </font>
    <font>
      <i/>
      <sz val="7"/>
      <color theme="3"/>
      <name val="Calibri"/>
      <family val="2"/>
    </font>
    <font>
      <b/>
      <i/>
      <sz val="7"/>
      <color theme="3"/>
      <name val="Calibri"/>
      <family val="2"/>
    </font>
    <font>
      <sz val="8"/>
      <color theme="3"/>
      <name val="Calibri"/>
      <family val="2"/>
    </font>
    <font>
      <b/>
      <sz val="8"/>
      <color theme="0"/>
      <name val="Calibri"/>
      <family val="2"/>
    </font>
    <font>
      <sz val="8"/>
      <color theme="0"/>
      <name val="Calibri"/>
      <family val="2"/>
    </font>
    <font>
      <b/>
      <sz val="8"/>
      <color theme="3"/>
      <name val="Calibri"/>
      <family val="2"/>
    </font>
    <font>
      <i/>
      <sz val="8"/>
      <color theme="3"/>
      <name val="Calibri"/>
      <family val="2"/>
    </font>
    <font>
      <i/>
      <sz val="6"/>
      <color theme="0"/>
      <name val="Calibri"/>
      <family val="2"/>
    </font>
    <font>
      <i/>
      <sz val="6"/>
      <color theme="3"/>
      <name val="Calibri"/>
      <family val="2"/>
    </font>
    <font>
      <sz val="6"/>
      <color theme="3"/>
      <name val="Calibri"/>
      <family val="2"/>
    </font>
    <font>
      <sz val="8"/>
      <name val="Calibri"/>
      <family val="2"/>
    </font>
    <font>
      <b/>
      <sz val="8"/>
      <name val="Calibri"/>
      <family val="2"/>
    </font>
    <font>
      <b/>
      <u/>
      <sz val="8"/>
      <name val="Calibri"/>
      <family val="2"/>
    </font>
    <font>
      <i/>
      <sz val="6"/>
      <name val="Calibri"/>
      <family val="2"/>
    </font>
    <font>
      <sz val="6"/>
      <name val="Calibri"/>
      <family val="2"/>
    </font>
    <font>
      <b/>
      <sz val="6"/>
      <name val="Calibri"/>
      <family val="2"/>
    </font>
    <font>
      <b/>
      <sz val="16"/>
      <color theme="3"/>
      <name val="Calibri"/>
      <family val="2"/>
    </font>
    <font>
      <i/>
      <sz val="11"/>
      <color theme="3"/>
      <name val="Calibri"/>
      <family val="2"/>
    </font>
    <font>
      <i/>
      <u/>
      <sz val="11"/>
      <color theme="3"/>
      <name val="Calibri"/>
      <family val="2"/>
    </font>
    <font>
      <b/>
      <i/>
      <sz val="6"/>
      <color theme="0"/>
      <name val="Calibri"/>
      <family val="2"/>
    </font>
  </fonts>
  <fills count="6">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89999084444715716"/>
        <bgColor indexed="64"/>
      </patternFill>
    </fill>
    <fill>
      <patternFill patternType="solid">
        <fgColor theme="0" tint="-4.9989318521683403E-2"/>
        <bgColor indexed="64"/>
      </patternFill>
    </fill>
  </fills>
  <borders count="12">
    <border>
      <left/>
      <right/>
      <top/>
      <bottom/>
      <diagonal/>
    </border>
    <border>
      <left/>
      <right/>
      <top/>
      <bottom style="thick">
        <color rgb="FF002060"/>
      </bottom>
      <diagonal/>
    </border>
    <border>
      <left/>
      <right/>
      <top style="thin">
        <color theme="3"/>
      </top>
      <bottom/>
      <diagonal/>
    </border>
    <border>
      <left/>
      <right/>
      <top style="thin">
        <color indexed="64"/>
      </top>
      <bottom style="medium">
        <color indexed="64"/>
      </bottom>
      <diagonal/>
    </border>
    <border>
      <left/>
      <right/>
      <top style="thin">
        <color indexed="64"/>
      </top>
      <bottom/>
      <diagonal/>
    </border>
    <border>
      <left/>
      <right/>
      <top style="thick">
        <color rgb="FF002060"/>
      </top>
      <bottom/>
      <diagonal/>
    </border>
    <border>
      <left/>
      <right/>
      <top/>
      <bottom style="thin">
        <color rgb="FF002060"/>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cellStyleXfs>
  <cellXfs count="97">
    <xf numFmtId="0" fontId="0" fillId="0" borderId="0" xfId="0"/>
    <xf numFmtId="0" fontId="3" fillId="2" borderId="0" xfId="0" applyFont="1" applyFill="1"/>
    <xf numFmtId="0" fontId="4" fillId="3" borderId="0" xfId="0" applyFont="1" applyFill="1"/>
    <xf numFmtId="0" fontId="5" fillId="2" borderId="0" xfId="0" applyFont="1" applyFill="1"/>
    <xf numFmtId="0" fontId="5" fillId="0" borderId="0" xfId="0" applyFont="1"/>
    <xf numFmtId="0" fontId="6" fillId="2" borderId="0" xfId="0" applyFont="1" applyFill="1"/>
    <xf numFmtId="0" fontId="6" fillId="0" borderId="0" xfId="0" applyFont="1"/>
    <xf numFmtId="0" fontId="4" fillId="2" borderId="0" xfId="0" applyFont="1" applyFill="1"/>
    <xf numFmtId="0" fontId="9" fillId="2" borderId="0" xfId="0" applyFont="1" applyFill="1"/>
    <xf numFmtId="0" fontId="9" fillId="0" borderId="0" xfId="0" applyFont="1"/>
    <xf numFmtId="0" fontId="10" fillId="3" borderId="1" xfId="3" quotePrefix="1" applyFont="1" applyFill="1" applyBorder="1" applyAlignment="1">
      <alignment horizontal="left" wrapText="1"/>
    </xf>
    <xf numFmtId="0" fontId="10" fillId="3" borderId="1" xfId="3" applyFont="1" applyFill="1" applyBorder="1" applyAlignment="1">
      <alignment horizontal="right" wrapText="1"/>
    </xf>
    <xf numFmtId="0" fontId="11" fillId="2" borderId="0" xfId="0" applyFont="1" applyFill="1"/>
    <xf numFmtId="0" fontId="11" fillId="0" borderId="0" xfId="0" applyFont="1"/>
    <xf numFmtId="0" fontId="9" fillId="2" borderId="0" xfId="3" applyFont="1" applyFill="1" applyAlignment="1">
      <alignment vertical="center" wrapText="1"/>
    </xf>
    <xf numFmtId="164" fontId="9" fillId="2" borderId="0" xfId="3" applyNumberFormat="1" applyFont="1" applyFill="1" applyAlignment="1">
      <alignment horizontal="right" vertical="center" wrapText="1"/>
    </xf>
    <xf numFmtId="0" fontId="12" fillId="2" borderId="2" xfId="3" applyFont="1" applyFill="1" applyBorder="1" applyAlignment="1">
      <alignment vertical="center" wrapText="1"/>
    </xf>
    <xf numFmtId="164" fontId="12" fillId="2" borderId="2" xfId="3" applyNumberFormat="1" applyFont="1" applyFill="1" applyBorder="1" applyAlignment="1">
      <alignment horizontal="right" vertical="center" wrapText="1"/>
    </xf>
    <xf numFmtId="0" fontId="13" fillId="2" borderId="0" xfId="3" applyFont="1" applyFill="1" applyAlignment="1">
      <alignment vertical="top" wrapText="1"/>
    </xf>
    <xf numFmtId="0" fontId="12" fillId="2" borderId="3" xfId="3" applyFont="1" applyFill="1" applyBorder="1" applyAlignment="1">
      <alignment vertical="center" wrapText="1"/>
    </xf>
    <xf numFmtId="164" fontId="12" fillId="2" borderId="3" xfId="3" applyNumberFormat="1" applyFont="1" applyFill="1" applyBorder="1" applyAlignment="1">
      <alignment horizontal="right" vertical="center" wrapText="1"/>
    </xf>
    <xf numFmtId="43" fontId="13" fillId="2" borderId="0" xfId="1" applyFont="1" applyFill="1" applyAlignment="1">
      <alignment vertical="top" wrapText="1"/>
    </xf>
    <xf numFmtId="164" fontId="12" fillId="2" borderId="0" xfId="3" applyNumberFormat="1" applyFont="1" applyFill="1" applyAlignment="1">
      <alignment horizontal="right" vertical="center" wrapText="1"/>
    </xf>
    <xf numFmtId="0" fontId="12" fillId="2" borderId="0" xfId="3" quotePrefix="1" applyFont="1" applyFill="1" applyAlignment="1">
      <alignment horizontal="left" wrapText="1"/>
    </xf>
    <xf numFmtId="0" fontId="12" fillId="2" borderId="0" xfId="3" applyFont="1" applyFill="1" applyAlignment="1">
      <alignment horizontal="right" wrapText="1"/>
    </xf>
    <xf numFmtId="0" fontId="12" fillId="2" borderId="0" xfId="3" applyFont="1" applyFill="1" applyAlignment="1">
      <alignment vertical="center" wrapText="1"/>
    </xf>
    <xf numFmtId="0" fontId="12" fillId="2" borderId="4" xfId="3" applyFont="1" applyFill="1" applyBorder="1" applyAlignment="1">
      <alignment vertical="center" wrapText="1"/>
    </xf>
    <xf numFmtId="164" fontId="12" fillId="2" borderId="4" xfId="3" applyNumberFormat="1" applyFont="1" applyFill="1" applyBorder="1" applyAlignment="1">
      <alignment horizontal="right" vertical="center" wrapText="1"/>
    </xf>
    <xf numFmtId="0" fontId="12" fillId="2" borderId="5" xfId="3" applyFont="1" applyFill="1" applyBorder="1" applyAlignment="1">
      <alignment vertical="center" wrapText="1"/>
    </xf>
    <xf numFmtId="0" fontId="12" fillId="2" borderId="0" xfId="0" applyFont="1" applyFill="1"/>
    <xf numFmtId="0" fontId="12" fillId="0" borderId="0" xfId="0" applyFont="1"/>
    <xf numFmtId="0" fontId="9" fillId="2" borderId="6" xfId="3" applyFont="1" applyFill="1" applyBorder="1" applyAlignment="1">
      <alignment vertical="center" wrapText="1"/>
    </xf>
    <xf numFmtId="0" fontId="12" fillId="2" borderId="0" xfId="3" applyFont="1" applyFill="1" applyAlignment="1">
      <alignment wrapText="1"/>
    </xf>
    <xf numFmtId="0" fontId="9" fillId="2" borderId="0" xfId="0" applyFont="1" applyFill="1" applyAlignment="1">
      <alignment vertical="center" wrapText="1"/>
    </xf>
    <xf numFmtId="0" fontId="9" fillId="2" borderId="0" xfId="3" applyFont="1" applyFill="1" applyAlignment="1">
      <alignment wrapText="1"/>
    </xf>
    <xf numFmtId="0" fontId="9" fillId="2" borderId="0" xfId="0" quotePrefix="1" applyFont="1" applyFill="1" applyAlignment="1">
      <alignment vertical="center" wrapText="1"/>
    </xf>
    <xf numFmtId="0" fontId="12" fillId="2" borderId="7" xfId="3" applyFont="1" applyFill="1" applyBorder="1" applyAlignment="1">
      <alignment vertical="center" wrapText="1"/>
    </xf>
    <xf numFmtId="164" fontId="9" fillId="4" borderId="0" xfId="3" applyNumberFormat="1" applyFont="1" applyFill="1" applyAlignment="1">
      <alignment horizontal="right" vertical="center" wrapText="1"/>
    </xf>
    <xf numFmtId="164" fontId="12" fillId="4" borderId="2" xfId="3" applyNumberFormat="1" applyFont="1" applyFill="1" applyBorder="1" applyAlignment="1">
      <alignment horizontal="right" vertical="center" wrapText="1"/>
    </xf>
    <xf numFmtId="164" fontId="12" fillId="4" borderId="3" xfId="3" applyNumberFormat="1" applyFont="1" applyFill="1" applyBorder="1" applyAlignment="1">
      <alignment horizontal="right" vertical="center" wrapText="1"/>
    </xf>
    <xf numFmtId="164" fontId="12" fillId="4" borderId="0" xfId="3" applyNumberFormat="1" applyFont="1" applyFill="1" applyAlignment="1">
      <alignment horizontal="right" vertical="center" wrapText="1"/>
    </xf>
    <xf numFmtId="164" fontId="12" fillId="4" borderId="4" xfId="3" applyNumberFormat="1" applyFont="1" applyFill="1" applyBorder="1" applyAlignment="1">
      <alignment horizontal="right" vertical="center" wrapText="1"/>
    </xf>
    <xf numFmtId="0" fontId="12" fillId="4" borderId="0" xfId="0" applyFont="1" applyFill="1"/>
    <xf numFmtId="0" fontId="9" fillId="4" borderId="5" xfId="3" applyFont="1" applyFill="1" applyBorder="1" applyAlignment="1">
      <alignment horizontal="right" vertical="center" wrapText="1"/>
    </xf>
    <xf numFmtId="0" fontId="15" fillId="2" borderId="0" xfId="3" applyFont="1" applyFill="1" applyAlignment="1">
      <alignment vertical="top" wrapText="1"/>
    </xf>
    <xf numFmtId="9" fontId="15" fillId="4" borderId="0" xfId="2" applyFont="1" applyFill="1" applyAlignment="1">
      <alignment vertical="top" wrapText="1"/>
    </xf>
    <xf numFmtId="9" fontId="15" fillId="2" borderId="0" xfId="2" applyFont="1" applyFill="1" applyAlignment="1">
      <alignment vertical="top" wrapText="1"/>
    </xf>
    <xf numFmtId="0" fontId="16" fillId="2" borderId="0" xfId="0" applyFont="1" applyFill="1"/>
    <xf numFmtId="0" fontId="16" fillId="0" borderId="0" xfId="0" applyFont="1"/>
    <xf numFmtId="0" fontId="17" fillId="2" borderId="0" xfId="0" applyFont="1" applyFill="1"/>
    <xf numFmtId="0" fontId="17" fillId="0" borderId="0" xfId="0" applyFont="1"/>
    <xf numFmtId="0" fontId="21" fillId="2" borderId="0" xfId="0" applyFont="1" applyFill="1"/>
    <xf numFmtId="0" fontId="17" fillId="2" borderId="0" xfId="0" applyFont="1" applyFill="1" applyAlignment="1">
      <alignment vertical="top"/>
    </xf>
    <xf numFmtId="0" fontId="19" fillId="2" borderId="0" xfId="0" applyFont="1" applyFill="1" applyAlignment="1">
      <alignment vertical="top"/>
    </xf>
    <xf numFmtId="0" fontId="17" fillId="0" borderId="0" xfId="0" applyFont="1" applyAlignment="1">
      <alignment vertical="top"/>
    </xf>
    <xf numFmtId="0" fontId="23" fillId="2" borderId="0" xfId="0" applyFont="1" applyFill="1"/>
    <xf numFmtId="0" fontId="24" fillId="2" borderId="0" xfId="0" applyFont="1" applyFill="1"/>
    <xf numFmtId="0" fontId="10" fillId="3" borderId="1" xfId="3" quotePrefix="1" applyFont="1" applyFill="1" applyBorder="1" applyAlignment="1">
      <alignment horizontal="left" vertical="top" wrapText="1"/>
    </xf>
    <xf numFmtId="0" fontId="10" fillId="3" borderId="1" xfId="3" applyFont="1" applyFill="1" applyBorder="1" applyAlignment="1">
      <alignment horizontal="right" vertical="top" wrapText="1"/>
    </xf>
    <xf numFmtId="0" fontId="11" fillId="2" borderId="0" xfId="0" applyFont="1" applyFill="1" applyAlignment="1">
      <alignment vertical="top"/>
    </xf>
    <xf numFmtId="0" fontId="4" fillId="3" borderId="0" xfId="0" applyFont="1" applyFill="1" applyAlignment="1">
      <alignment vertical="top"/>
    </xf>
    <xf numFmtId="0" fontId="9" fillId="0" borderId="0" xfId="0" applyFont="1" applyAlignment="1">
      <alignment vertical="top"/>
    </xf>
    <xf numFmtId="0" fontId="12" fillId="2" borderId="5" xfId="0" applyFont="1" applyFill="1" applyBorder="1" applyAlignment="1">
      <alignment vertical="center" wrapText="1"/>
    </xf>
    <xf numFmtId="0" fontId="13" fillId="2" borderId="0" xfId="0" applyFont="1" applyFill="1" applyAlignment="1">
      <alignment wrapText="1"/>
    </xf>
    <xf numFmtId="164" fontId="13" fillId="2" borderId="0" xfId="3" applyNumberFormat="1" applyFont="1" applyFill="1" applyAlignment="1">
      <alignment horizontal="right" vertical="center" wrapText="1"/>
    </xf>
    <xf numFmtId="164" fontId="13" fillId="4" borderId="0" xfId="3" applyNumberFormat="1" applyFont="1" applyFill="1" applyAlignment="1">
      <alignment horizontal="right" vertical="center" wrapText="1"/>
    </xf>
    <xf numFmtId="0" fontId="13" fillId="2" borderId="0" xfId="0" applyFont="1" applyFill="1"/>
    <xf numFmtId="0" fontId="13" fillId="0" borderId="0" xfId="0" applyFont="1"/>
    <xf numFmtId="0" fontId="21" fillId="2" borderId="0" xfId="0" applyFont="1" applyFill="1" applyAlignment="1">
      <alignment horizontal="left" wrapText="1"/>
    </xf>
    <xf numFmtId="0" fontId="9" fillId="2" borderId="0" xfId="0" applyFont="1" applyFill="1" applyAlignment="1">
      <alignment vertical="center"/>
    </xf>
    <xf numFmtId="0" fontId="9" fillId="2" borderId="0" xfId="3" applyFont="1" applyFill="1" applyAlignment="1">
      <alignment vertical="center"/>
    </xf>
    <xf numFmtId="165" fontId="9" fillId="2" borderId="0" xfId="3" applyNumberFormat="1" applyFont="1" applyFill="1" applyAlignment="1">
      <alignment horizontal="right" vertical="center" wrapText="1"/>
    </xf>
    <xf numFmtId="165" fontId="9" fillId="4" borderId="0" xfId="3" applyNumberFormat="1" applyFont="1" applyFill="1" applyAlignment="1">
      <alignment horizontal="right" vertical="center" wrapText="1"/>
    </xf>
    <xf numFmtId="165" fontId="12" fillId="2" borderId="3" xfId="1" applyNumberFormat="1" applyFont="1" applyFill="1" applyBorder="1" applyAlignment="1">
      <alignment horizontal="right" vertical="center" wrapText="1"/>
    </xf>
    <xf numFmtId="165" fontId="12" fillId="4" borderId="3" xfId="1" applyNumberFormat="1" applyFont="1" applyFill="1" applyBorder="1" applyAlignment="1">
      <alignment horizontal="right" vertical="center" wrapText="1"/>
    </xf>
    <xf numFmtId="3" fontId="12" fillId="2" borderId="0" xfId="1" applyNumberFormat="1" applyFont="1" applyFill="1" applyBorder="1" applyAlignment="1">
      <alignment horizontal="right" vertical="center" wrapText="1"/>
    </xf>
    <xf numFmtId="3" fontId="9" fillId="2" borderId="0" xfId="1" applyNumberFormat="1" applyFont="1" applyFill="1" applyAlignment="1">
      <alignment horizontal="right" vertical="center" wrapText="1"/>
    </xf>
    <xf numFmtId="165" fontId="12" fillId="2" borderId="0" xfId="1" applyNumberFormat="1" applyFont="1" applyFill="1" applyBorder="1" applyAlignment="1">
      <alignment horizontal="right" vertical="center" wrapText="1"/>
    </xf>
    <xf numFmtId="0" fontId="10" fillId="3" borderId="1" xfId="3" quotePrefix="1" applyFont="1" applyFill="1" applyBorder="1" applyAlignment="1">
      <alignment vertical="top" wrapText="1"/>
    </xf>
    <xf numFmtId="0" fontId="10" fillId="3" borderId="0" xfId="3" quotePrefix="1" applyFont="1" applyFill="1" applyAlignment="1">
      <alignment horizontal="left" vertical="top" wrapText="1"/>
    </xf>
    <xf numFmtId="0" fontId="11" fillId="3" borderId="0" xfId="0" applyFont="1" applyFill="1" applyAlignment="1">
      <alignment vertical="top"/>
    </xf>
    <xf numFmtId="0" fontId="10" fillId="3" borderId="0" xfId="3" applyFont="1" applyFill="1" applyAlignment="1">
      <alignment horizontal="right" vertical="top" wrapText="1"/>
    </xf>
    <xf numFmtId="0" fontId="9" fillId="2" borderId="0" xfId="0" applyFont="1" applyFill="1" applyAlignment="1">
      <alignment vertical="top"/>
    </xf>
    <xf numFmtId="3" fontId="14" fillId="3" borderId="1" xfId="3" applyNumberFormat="1" applyFont="1" applyFill="1" applyBorder="1" applyAlignment="1">
      <alignment horizontal="right" vertical="top" wrapText="1"/>
    </xf>
    <xf numFmtId="0" fontId="26" fillId="3" borderId="1" xfId="3" applyFont="1" applyFill="1" applyBorder="1" applyAlignment="1">
      <alignment horizontal="right" vertical="top" wrapText="1"/>
    </xf>
    <xf numFmtId="0" fontId="15" fillId="2" borderId="0" xfId="0" applyFont="1" applyFill="1" applyAlignment="1">
      <alignment vertical="top"/>
    </xf>
    <xf numFmtId="3" fontId="10" fillId="3" borderId="1" xfId="3" applyNumberFormat="1" applyFont="1" applyFill="1" applyBorder="1" applyAlignment="1">
      <alignment horizontal="right" vertical="top" wrapText="1"/>
    </xf>
    <xf numFmtId="3" fontId="11" fillId="3" borderId="1" xfId="3" applyNumberFormat="1" applyFont="1" applyFill="1" applyBorder="1" applyAlignment="1">
      <alignment horizontal="right" vertical="top" wrapText="1"/>
    </xf>
    <xf numFmtId="164" fontId="9" fillId="0" borderId="0" xfId="0" applyNumberFormat="1" applyFont="1"/>
    <xf numFmtId="0" fontId="21" fillId="2" borderId="0" xfId="0" applyFont="1" applyFill="1" applyAlignment="1">
      <alignment horizontal="left" wrapText="1"/>
    </xf>
    <xf numFmtId="0" fontId="4" fillId="3" borderId="0" xfId="0" applyFont="1" applyFill="1" applyAlignment="1">
      <alignment horizontal="center" vertical="center" textRotation="90"/>
    </xf>
    <xf numFmtId="0" fontId="7" fillId="5" borderId="8" xfId="0" applyFont="1" applyFill="1" applyBorder="1" applyAlignment="1">
      <alignment horizontal="left" vertical="top" wrapText="1"/>
    </xf>
    <xf numFmtId="0" fontId="7" fillId="5" borderId="9" xfId="0" applyFont="1" applyFill="1" applyBorder="1" applyAlignment="1">
      <alignment horizontal="left" vertical="top" wrapText="1"/>
    </xf>
    <xf numFmtId="0" fontId="7" fillId="5" borderId="10" xfId="0" applyFont="1" applyFill="1" applyBorder="1" applyAlignment="1">
      <alignment horizontal="left" vertical="top" wrapText="1"/>
    </xf>
    <xf numFmtId="0" fontId="9" fillId="2" borderId="0" xfId="3" applyFont="1" applyFill="1" applyBorder="1" applyAlignment="1">
      <alignment vertical="center"/>
    </xf>
    <xf numFmtId="0" fontId="9" fillId="2" borderId="0" xfId="3" applyFont="1" applyFill="1" applyBorder="1" applyAlignment="1">
      <alignment vertical="center" wrapText="1"/>
    </xf>
    <xf numFmtId="0" fontId="9" fillId="2" borderId="11" xfId="3" applyFont="1" applyFill="1" applyBorder="1" applyAlignment="1">
      <alignment vertical="center" wrapText="1"/>
    </xf>
  </cellXfs>
  <cellStyles count="4">
    <cellStyle name="Comma" xfId="1" builtinId="3"/>
    <cellStyle name="Normal" xfId="0" builtinId="0"/>
    <cellStyle name="Normal 2" xfId="3" xr:uid="{0BBDDA00-AC0C-42ED-8261-F677B5857607}"/>
    <cellStyle name="Percent" xfId="2" builtinId="5"/>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eetMetadata" Target="metadata.xml"/><Relationship Id="rId10" Type="http://schemas.openxmlformats.org/officeDocument/2006/relationships/customXml" Target="../customXml/item4.xml"/><Relationship Id="rId4" Type="http://schemas.openxmlformats.org/officeDocument/2006/relationships/sharedStrings" Target="sharedString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19</xdr:col>
      <xdr:colOff>146399</xdr:colOff>
      <xdr:row>0</xdr:row>
      <xdr:rowOff>49378</xdr:rowOff>
    </xdr:from>
    <xdr:to>
      <xdr:col>21</xdr:col>
      <xdr:colOff>434227</xdr:colOff>
      <xdr:row>1</xdr:row>
      <xdr:rowOff>218495</xdr:rowOff>
    </xdr:to>
    <xdr:pic>
      <xdr:nvPicPr>
        <xdr:cNvPr id="2" name="Picture 1" descr="A blue text on a black background&#10;&#10;Description automatically generated with medium confidence">
          <a:extLst>
            <a:ext uri="{FF2B5EF4-FFF2-40B4-BE49-F238E27FC236}">
              <a16:creationId xmlns:a16="http://schemas.microsoft.com/office/drawing/2014/main" id="{CDFD5EAD-561D-4D4D-96D7-7BBC20034E2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91764" y="49378"/>
          <a:ext cx="1284290" cy="43288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59CDD9-32A5-48CD-A105-C0512A749292}">
  <sheetPr>
    <pageSetUpPr fitToPage="1"/>
  </sheetPr>
  <dimension ref="A1:AL335"/>
  <sheetViews>
    <sheetView showGridLines="0" tabSelected="1" zoomScale="145" zoomScaleNormal="145" workbookViewId="0">
      <selection activeCell="B7" sqref="B7"/>
    </sheetView>
  </sheetViews>
  <sheetFormatPr defaultColWidth="9.140625" defaultRowHeight="15.75" outlineLevelRow="1" outlineLevelCol="1" x14ac:dyDescent="0.25"/>
  <cols>
    <col min="1" max="1" width="4.5703125" style="6" customWidth="1"/>
    <col min="2" max="2" width="29.140625" style="4" customWidth="1"/>
    <col min="3" max="5" width="7.42578125" style="4" customWidth="1"/>
    <col min="6" max="7" width="7.42578125" style="3" customWidth="1"/>
    <col min="8" max="11" width="7.42578125" style="3" hidden="1" customWidth="1" outlineLevel="1"/>
    <col min="12" max="12" width="1.7109375" style="3" customWidth="1" collapsed="1"/>
    <col min="13" max="13" width="7.42578125" style="3" customWidth="1"/>
    <col min="14" max="23" width="7.42578125" style="4" customWidth="1"/>
    <col min="24" max="30" width="7.28515625" style="4" hidden="1" customWidth="1" outlineLevel="1"/>
    <col min="31" max="31" width="36.140625" style="4" bestFit="1" customWidth="1" collapsed="1"/>
    <col min="32" max="16384" width="9.140625" style="4"/>
  </cols>
  <sheetData>
    <row r="1" spans="1:30" ht="21" x14ac:dyDescent="0.35">
      <c r="A1" s="55" t="s">
        <v>0</v>
      </c>
      <c r="B1" s="3"/>
      <c r="C1" s="3"/>
      <c r="D1" s="3"/>
      <c r="E1" s="3"/>
      <c r="N1" s="3"/>
      <c r="O1" s="3"/>
      <c r="P1" s="3"/>
      <c r="Q1" s="3"/>
      <c r="R1" s="3"/>
      <c r="S1" s="3"/>
      <c r="T1" s="3"/>
      <c r="U1" s="3"/>
      <c r="V1" s="3"/>
      <c r="W1" s="3"/>
    </row>
    <row r="2" spans="1:30" ht="21" x14ac:dyDescent="0.35">
      <c r="A2" s="55" t="s">
        <v>210</v>
      </c>
      <c r="B2" s="3"/>
      <c r="C2" s="3"/>
      <c r="D2" s="3"/>
      <c r="E2" s="3"/>
      <c r="N2" s="3"/>
      <c r="O2" s="3"/>
      <c r="P2" s="3"/>
      <c r="Q2" s="3"/>
      <c r="R2" s="3"/>
      <c r="S2" s="3"/>
      <c r="T2" s="3"/>
      <c r="U2" s="3"/>
      <c r="V2" s="3"/>
      <c r="W2" s="3"/>
    </row>
    <row r="3" spans="1:30" ht="15" x14ac:dyDescent="0.25">
      <c r="A3" s="56" t="s">
        <v>1</v>
      </c>
      <c r="B3" s="3"/>
      <c r="C3" s="3"/>
      <c r="D3" s="3"/>
      <c r="E3" s="3"/>
      <c r="N3" s="3"/>
      <c r="O3" s="3"/>
      <c r="P3" s="3"/>
      <c r="Q3" s="3"/>
      <c r="R3" s="3"/>
      <c r="S3" s="3"/>
      <c r="T3" s="3"/>
      <c r="U3" s="3"/>
      <c r="V3" s="3"/>
      <c r="W3" s="3"/>
    </row>
    <row r="4" spans="1:30" ht="15" x14ac:dyDescent="0.25">
      <c r="A4" s="56" t="s">
        <v>2</v>
      </c>
      <c r="B4" s="3"/>
      <c r="C4" s="3"/>
      <c r="D4" s="3"/>
      <c r="E4" s="3"/>
      <c r="N4" s="3"/>
      <c r="O4" s="3"/>
      <c r="P4" s="3"/>
      <c r="Q4" s="3"/>
      <c r="R4" s="3"/>
      <c r="S4" s="3"/>
      <c r="T4" s="3"/>
      <c r="U4" s="3"/>
      <c r="V4" s="3"/>
      <c r="W4" s="3"/>
    </row>
    <row r="5" spans="1:30" thickBot="1" x14ac:dyDescent="0.3">
      <c r="A5" s="1"/>
      <c r="B5" s="3"/>
      <c r="C5" s="3"/>
      <c r="D5" s="3"/>
      <c r="E5" s="3"/>
      <c r="N5" s="3"/>
      <c r="O5" s="3"/>
      <c r="P5" s="3"/>
      <c r="Q5" s="3"/>
      <c r="R5" s="3"/>
      <c r="S5" s="3"/>
      <c r="T5" s="3"/>
      <c r="U5" s="3"/>
      <c r="V5" s="3"/>
      <c r="W5" s="3"/>
    </row>
    <row r="6" spans="1:30" ht="87" customHeight="1" thickBot="1" x14ac:dyDescent="0.3">
      <c r="A6" s="91" t="s">
        <v>3</v>
      </c>
      <c r="B6" s="92"/>
      <c r="C6" s="92"/>
      <c r="D6" s="92"/>
      <c r="E6" s="92"/>
      <c r="F6" s="92"/>
      <c r="G6" s="92"/>
      <c r="H6" s="92"/>
      <c r="I6" s="92"/>
      <c r="J6" s="92"/>
      <c r="K6" s="92"/>
      <c r="L6" s="92"/>
      <c r="M6" s="92"/>
      <c r="N6" s="92"/>
      <c r="O6" s="92"/>
      <c r="P6" s="92"/>
      <c r="Q6" s="92"/>
      <c r="R6" s="92"/>
      <c r="S6" s="92"/>
      <c r="T6" s="92"/>
      <c r="U6" s="92"/>
      <c r="V6" s="92"/>
      <c r="W6" s="93"/>
    </row>
    <row r="7" spans="1:30" x14ac:dyDescent="0.25">
      <c r="A7" s="5"/>
      <c r="B7" s="3"/>
      <c r="C7" s="3"/>
      <c r="D7" s="3"/>
      <c r="E7" s="3"/>
      <c r="N7" s="3"/>
      <c r="O7" s="3"/>
      <c r="P7" s="3"/>
      <c r="Q7" s="3"/>
      <c r="R7" s="3"/>
      <c r="S7" s="3"/>
      <c r="T7" s="3"/>
      <c r="U7" s="3"/>
      <c r="V7" s="3"/>
      <c r="W7" s="3"/>
    </row>
    <row r="8" spans="1:30" s="13" customFormat="1" ht="16.5" thickBot="1" x14ac:dyDescent="0.3">
      <c r="A8" s="2"/>
      <c r="B8" s="10" t="s">
        <v>4</v>
      </c>
      <c r="C8" s="11" t="s">
        <v>5</v>
      </c>
      <c r="D8" s="11" t="s">
        <v>6</v>
      </c>
      <c r="E8" s="11" t="s">
        <v>7</v>
      </c>
      <c r="F8" s="11" t="s">
        <v>8</v>
      </c>
      <c r="G8" s="11" t="s">
        <v>9</v>
      </c>
      <c r="H8" s="11" t="s">
        <v>10</v>
      </c>
      <c r="I8" s="11" t="s">
        <v>11</v>
      </c>
      <c r="J8" s="11" t="s">
        <v>12</v>
      </c>
      <c r="K8" s="11" t="s">
        <v>13</v>
      </c>
      <c r="L8" s="12"/>
      <c r="M8" s="11" t="s">
        <v>14</v>
      </c>
      <c r="N8" s="11" t="s">
        <v>15</v>
      </c>
      <c r="O8" s="11" t="s">
        <v>16</v>
      </c>
      <c r="P8" s="11" t="s">
        <v>17</v>
      </c>
      <c r="Q8" s="11" t="s">
        <v>18</v>
      </c>
      <c r="R8" s="11" t="s">
        <v>19</v>
      </c>
      <c r="S8" s="11" t="s">
        <v>20</v>
      </c>
      <c r="T8" s="11" t="s">
        <v>21</v>
      </c>
      <c r="U8" s="11" t="s">
        <v>22</v>
      </c>
      <c r="V8" s="11" t="s">
        <v>182</v>
      </c>
      <c r="W8" s="11" t="s">
        <v>183</v>
      </c>
      <c r="X8" s="11" t="s">
        <v>184</v>
      </c>
      <c r="Y8" s="11" t="s">
        <v>185</v>
      </c>
      <c r="Z8" s="11" t="s">
        <v>186</v>
      </c>
      <c r="AA8" s="11" t="s">
        <v>187</v>
      </c>
      <c r="AB8" s="11" t="s">
        <v>188</v>
      </c>
      <c r="AC8" s="11" t="s">
        <v>189</v>
      </c>
      <c r="AD8" s="11" t="s">
        <v>190</v>
      </c>
    </row>
    <row r="9" spans="1:30" s="9" customFormat="1" ht="12" customHeight="1" thickTop="1" x14ac:dyDescent="0.2">
      <c r="A9" s="90" t="s">
        <v>23</v>
      </c>
      <c r="B9" s="14" t="s">
        <v>24</v>
      </c>
      <c r="C9" s="15">
        <v>16400000</v>
      </c>
      <c r="D9" s="15">
        <v>19900000</v>
      </c>
      <c r="E9" s="15">
        <v>27100000</v>
      </c>
      <c r="F9" s="15">
        <v>35500000</v>
      </c>
      <c r="G9" s="37">
        <v>43600000</v>
      </c>
      <c r="H9" s="15"/>
      <c r="I9" s="15"/>
      <c r="J9" s="15"/>
      <c r="K9" s="15"/>
      <c r="L9" s="8"/>
      <c r="M9" s="15">
        <v>7900000</v>
      </c>
      <c r="N9" s="15">
        <f t="shared" ref="N9:N10" si="0">ROUND(C9,-5)-ROUND(M9,-5)</f>
        <v>8500000</v>
      </c>
      <c r="O9" s="15">
        <v>9000000</v>
      </c>
      <c r="P9" s="15">
        <f t="shared" ref="P9:P10" si="1">ROUND(D9,-5)-ROUND(O9,-5)</f>
        <v>10900000</v>
      </c>
      <c r="Q9" s="15">
        <v>12600000</v>
      </c>
      <c r="R9" s="15">
        <f t="shared" ref="R9:R10" si="2">ROUND(E9,-5)-ROUND(Q9,-5)</f>
        <v>14500000</v>
      </c>
      <c r="S9" s="15">
        <v>16200000</v>
      </c>
      <c r="T9" s="15">
        <f t="shared" ref="T9:T10" si="3">ROUND(F9,-5)-ROUND(S9,-5)</f>
        <v>19300000</v>
      </c>
      <c r="U9" s="15">
        <v>19500000</v>
      </c>
      <c r="V9" s="15">
        <f>G9-U9</f>
        <v>24100000</v>
      </c>
      <c r="W9" s="37">
        <v>25100000</v>
      </c>
      <c r="X9" s="15"/>
      <c r="Y9" s="15"/>
      <c r="Z9" s="15"/>
      <c r="AA9" s="15"/>
      <c r="AB9" s="15"/>
      <c r="AC9" s="15"/>
      <c r="AD9" s="15"/>
    </row>
    <row r="10" spans="1:30" s="9" customFormat="1" ht="12" customHeight="1" x14ac:dyDescent="0.2">
      <c r="A10" s="90"/>
      <c r="B10" s="14" t="s">
        <v>25</v>
      </c>
      <c r="C10" s="15">
        <f>33800000</f>
        <v>33800000</v>
      </c>
      <c r="D10" s="15">
        <f>44700000</f>
        <v>44700000</v>
      </c>
      <c r="E10" s="15">
        <f>62400000</f>
        <v>62400000</v>
      </c>
      <c r="F10" s="15">
        <f>64300000</f>
        <v>64300000</v>
      </c>
      <c r="G10" s="37">
        <v>64500000</v>
      </c>
      <c r="H10" s="15"/>
      <c r="I10" s="15"/>
      <c r="J10" s="15"/>
      <c r="K10" s="15"/>
      <c r="L10" s="8"/>
      <c r="M10" s="15">
        <f>17300000</f>
        <v>17300000</v>
      </c>
      <c r="N10" s="15">
        <f t="shared" si="0"/>
        <v>16500000</v>
      </c>
      <c r="O10" s="15">
        <f>21500000</f>
        <v>21500000</v>
      </c>
      <c r="P10" s="15">
        <f t="shared" si="1"/>
        <v>23200000</v>
      </c>
      <c r="Q10" s="15">
        <f>30200000</f>
        <v>30200000</v>
      </c>
      <c r="R10" s="15">
        <f t="shared" si="2"/>
        <v>32200000</v>
      </c>
      <c r="S10" s="15">
        <f>32600000</f>
        <v>32600000</v>
      </c>
      <c r="T10" s="15">
        <f t="shared" si="3"/>
        <v>31700000</v>
      </c>
      <c r="U10" s="15">
        <v>31400000</v>
      </c>
      <c r="V10" s="15">
        <f>G10-U10</f>
        <v>33100000</v>
      </c>
      <c r="W10" s="37">
        <v>31300000</v>
      </c>
      <c r="X10" s="15"/>
      <c r="Y10" s="15"/>
      <c r="Z10" s="15"/>
      <c r="AA10" s="15"/>
      <c r="AB10" s="15"/>
      <c r="AC10" s="15"/>
      <c r="AD10" s="15"/>
    </row>
    <row r="11" spans="1:30" s="9" customFormat="1" ht="12" customHeight="1" x14ac:dyDescent="0.2">
      <c r="A11" s="90"/>
      <c r="B11" s="16" t="s">
        <v>26</v>
      </c>
      <c r="C11" s="17">
        <f t="shared" ref="C11:K11" si="4">SUM(C9:C10)</f>
        <v>50200000</v>
      </c>
      <c r="D11" s="17">
        <f t="shared" si="4"/>
        <v>64600000</v>
      </c>
      <c r="E11" s="17">
        <f t="shared" si="4"/>
        <v>89500000</v>
      </c>
      <c r="F11" s="17">
        <f t="shared" si="4"/>
        <v>99800000</v>
      </c>
      <c r="G11" s="38">
        <f t="shared" si="4"/>
        <v>108100000</v>
      </c>
      <c r="H11" s="17">
        <f t="shared" si="4"/>
        <v>0</v>
      </c>
      <c r="I11" s="17">
        <f t="shared" si="4"/>
        <v>0</v>
      </c>
      <c r="J11" s="17">
        <f t="shared" si="4"/>
        <v>0</v>
      </c>
      <c r="K11" s="17">
        <f t="shared" si="4"/>
        <v>0</v>
      </c>
      <c r="L11" s="8"/>
      <c r="M11" s="17">
        <f t="shared" ref="M11:V11" si="5">SUM(M9:M10)</f>
        <v>25200000</v>
      </c>
      <c r="N11" s="17">
        <f t="shared" si="5"/>
        <v>25000000</v>
      </c>
      <c r="O11" s="17">
        <f t="shared" si="5"/>
        <v>30500000</v>
      </c>
      <c r="P11" s="17">
        <f t="shared" si="5"/>
        <v>34100000</v>
      </c>
      <c r="Q11" s="17">
        <f t="shared" si="5"/>
        <v>42800000</v>
      </c>
      <c r="R11" s="17">
        <f t="shared" si="5"/>
        <v>46700000</v>
      </c>
      <c r="S11" s="17">
        <f t="shared" si="5"/>
        <v>48800000</v>
      </c>
      <c r="T11" s="17">
        <f t="shared" si="5"/>
        <v>51000000</v>
      </c>
      <c r="U11" s="17">
        <f t="shared" si="5"/>
        <v>50900000</v>
      </c>
      <c r="V11" s="17">
        <f t="shared" si="5"/>
        <v>57200000</v>
      </c>
      <c r="W11" s="38">
        <f t="shared" ref="W11:AD11" si="6">SUM(W9:W10)</f>
        <v>56400000</v>
      </c>
      <c r="X11" s="17">
        <f t="shared" si="6"/>
        <v>0</v>
      </c>
      <c r="Y11" s="17">
        <f t="shared" si="6"/>
        <v>0</v>
      </c>
      <c r="Z11" s="17">
        <f t="shared" si="6"/>
        <v>0</v>
      </c>
      <c r="AA11" s="17">
        <f t="shared" si="6"/>
        <v>0</v>
      </c>
      <c r="AB11" s="17">
        <f t="shared" si="6"/>
        <v>0</v>
      </c>
      <c r="AC11" s="17">
        <f t="shared" si="6"/>
        <v>0</v>
      </c>
      <c r="AD11" s="17">
        <f t="shared" si="6"/>
        <v>0</v>
      </c>
    </row>
    <row r="12" spans="1:30" s="9" customFormat="1" ht="12" customHeight="1" x14ac:dyDescent="0.2">
      <c r="A12" s="90"/>
      <c r="B12" s="14" t="s">
        <v>27</v>
      </c>
      <c r="C12" s="15">
        <v>14900000</v>
      </c>
      <c r="D12" s="15">
        <v>11800000</v>
      </c>
      <c r="E12" s="15">
        <v>11700000</v>
      </c>
      <c r="F12" s="15">
        <v>10700000</v>
      </c>
      <c r="G12" s="37">
        <v>9700000</v>
      </c>
      <c r="H12" s="15"/>
      <c r="I12" s="15"/>
      <c r="J12" s="15"/>
      <c r="K12" s="15"/>
      <c r="L12" s="8"/>
      <c r="M12" s="15">
        <v>7400000</v>
      </c>
      <c r="N12" s="15">
        <f t="shared" ref="N12" si="7">ROUND(C12,-5)-ROUND(M12,-5)</f>
        <v>7500000</v>
      </c>
      <c r="O12" s="15">
        <v>5900000</v>
      </c>
      <c r="P12" s="15">
        <f t="shared" ref="P12" si="8">ROUND(D12,-5)-ROUND(O12,-5)</f>
        <v>5900000</v>
      </c>
      <c r="Q12" s="15">
        <v>4400000</v>
      </c>
      <c r="R12" s="15">
        <f t="shared" ref="R12" si="9">ROUND(E12,-5)-ROUND(Q12,-5)</f>
        <v>7300000</v>
      </c>
      <c r="S12" s="15">
        <v>5100000</v>
      </c>
      <c r="T12" s="15">
        <f t="shared" ref="T12" si="10">ROUND(F12,-5)-ROUND(S12,-5)</f>
        <v>5600000</v>
      </c>
      <c r="U12" s="15">
        <v>3600000</v>
      </c>
      <c r="V12" s="15">
        <f t="shared" ref="V12:V13" si="11">G12-U12</f>
        <v>6100000</v>
      </c>
      <c r="W12" s="37">
        <v>3000000</v>
      </c>
      <c r="X12" s="15"/>
      <c r="Y12" s="15"/>
      <c r="Z12" s="15"/>
      <c r="AA12" s="15"/>
      <c r="AB12" s="15"/>
      <c r="AC12" s="15"/>
      <c r="AD12" s="15"/>
    </row>
    <row r="13" spans="1:30" s="9" customFormat="1" ht="12" customHeight="1" x14ac:dyDescent="0.2">
      <c r="A13" s="90"/>
      <c r="B13" s="14" t="s">
        <v>28</v>
      </c>
      <c r="C13" s="15">
        <f>+ROUND(C78,-5)</f>
        <v>3300000</v>
      </c>
      <c r="D13" s="15">
        <f t="shared" ref="D13:F13" si="12">+ROUND(D78,-5)</f>
        <v>1500000</v>
      </c>
      <c r="E13" s="15">
        <f t="shared" si="12"/>
        <v>6200000</v>
      </c>
      <c r="F13" s="15">
        <f t="shared" si="12"/>
        <v>3700000</v>
      </c>
      <c r="G13" s="37">
        <v>2000000</v>
      </c>
      <c r="H13" s="15"/>
      <c r="I13" s="15"/>
      <c r="J13" s="15"/>
      <c r="K13" s="15"/>
      <c r="L13" s="8"/>
      <c r="M13" s="15">
        <f>ROUND(M78,-5)</f>
        <v>2500000</v>
      </c>
      <c r="N13" s="15">
        <f>ROUND(C13,-5)-ROUND(M13,-5)</f>
        <v>800000</v>
      </c>
      <c r="O13" s="15">
        <f>+ROUND(O78,-5)</f>
        <v>600000</v>
      </c>
      <c r="P13" s="15">
        <f>ROUND(D13,-5)-ROUND(O13,-5)</f>
        <v>900000</v>
      </c>
      <c r="Q13" s="15">
        <f>+ROUND(Q78,-5)</f>
        <v>2900000</v>
      </c>
      <c r="R13" s="15">
        <f>ROUND(E13,-5)-ROUND(Q13,-5)</f>
        <v>3300000</v>
      </c>
      <c r="S13" s="15">
        <f>+ROUND(S78,-5)</f>
        <v>1600000</v>
      </c>
      <c r="T13" s="15">
        <f>ROUND(F13,-5)-ROUND(S13,-5)</f>
        <v>2100000</v>
      </c>
      <c r="U13" s="15">
        <v>900000</v>
      </c>
      <c r="V13" s="15">
        <f t="shared" si="11"/>
        <v>1100000</v>
      </c>
      <c r="W13" s="37">
        <v>1100000</v>
      </c>
      <c r="X13" s="15"/>
      <c r="Y13" s="15"/>
      <c r="Z13" s="15"/>
      <c r="AA13" s="15"/>
      <c r="AB13" s="15"/>
      <c r="AC13" s="15"/>
      <c r="AD13" s="15"/>
    </row>
    <row r="14" spans="1:30" s="9" customFormat="1" ht="12" customHeight="1" x14ac:dyDescent="0.2">
      <c r="A14" s="90"/>
      <c r="B14" s="16" t="s">
        <v>29</v>
      </c>
      <c r="C14" s="17">
        <f>SUM(C11:C13)</f>
        <v>68400000</v>
      </c>
      <c r="D14" s="17">
        <f t="shared" ref="D14:K14" si="13">SUM(D11:D13)</f>
        <v>77900000</v>
      </c>
      <c r="E14" s="17">
        <f t="shared" si="13"/>
        <v>107400000</v>
      </c>
      <c r="F14" s="17">
        <f t="shared" si="13"/>
        <v>114200000</v>
      </c>
      <c r="G14" s="38">
        <f t="shared" si="13"/>
        <v>119800000</v>
      </c>
      <c r="H14" s="17">
        <f t="shared" si="13"/>
        <v>0</v>
      </c>
      <c r="I14" s="17">
        <f t="shared" si="13"/>
        <v>0</v>
      </c>
      <c r="J14" s="17">
        <f t="shared" si="13"/>
        <v>0</v>
      </c>
      <c r="K14" s="17">
        <f t="shared" si="13"/>
        <v>0</v>
      </c>
      <c r="L14" s="8"/>
      <c r="M14" s="17">
        <f t="shared" ref="M14:T14" si="14">SUM(M11:M13)</f>
        <v>35100000</v>
      </c>
      <c r="N14" s="17">
        <f t="shared" si="14"/>
        <v>33300000</v>
      </c>
      <c r="O14" s="17">
        <f t="shared" si="14"/>
        <v>37000000</v>
      </c>
      <c r="P14" s="17">
        <f t="shared" si="14"/>
        <v>40900000</v>
      </c>
      <c r="Q14" s="17">
        <f t="shared" si="14"/>
        <v>50100000</v>
      </c>
      <c r="R14" s="17">
        <f t="shared" si="14"/>
        <v>57300000</v>
      </c>
      <c r="S14" s="17">
        <f t="shared" si="14"/>
        <v>55500000</v>
      </c>
      <c r="T14" s="17">
        <f t="shared" si="14"/>
        <v>58700000</v>
      </c>
      <c r="U14" s="17">
        <f>SUM(U11:U13)</f>
        <v>55400000</v>
      </c>
      <c r="V14" s="17">
        <f>SUM(V11:V13)</f>
        <v>64400000</v>
      </c>
      <c r="W14" s="38">
        <f>SUM(W11:W13)</f>
        <v>60500000</v>
      </c>
      <c r="X14" s="17">
        <f t="shared" ref="X14:AD14" si="15">SUM(X11:X13)</f>
        <v>0</v>
      </c>
      <c r="Y14" s="17">
        <f t="shared" si="15"/>
        <v>0</v>
      </c>
      <c r="Z14" s="17">
        <f t="shared" si="15"/>
        <v>0</v>
      </c>
      <c r="AA14" s="17">
        <f t="shared" si="15"/>
        <v>0</v>
      </c>
      <c r="AB14" s="17">
        <f t="shared" si="15"/>
        <v>0</v>
      </c>
      <c r="AC14" s="17">
        <f t="shared" si="15"/>
        <v>0</v>
      </c>
      <c r="AD14" s="17">
        <f t="shared" si="15"/>
        <v>0</v>
      </c>
    </row>
    <row r="15" spans="1:30" s="9" customFormat="1" ht="12" customHeight="1" x14ac:dyDescent="0.2">
      <c r="A15" s="90"/>
      <c r="B15" s="14" t="s">
        <v>30</v>
      </c>
      <c r="C15" s="15">
        <v>-26600000</v>
      </c>
      <c r="D15" s="15">
        <v>-26700000</v>
      </c>
      <c r="E15" s="15">
        <v>-35300000</v>
      </c>
      <c r="F15" s="15">
        <v>-39900000</v>
      </c>
      <c r="G15" s="37">
        <v>-50100000</v>
      </c>
      <c r="H15" s="15"/>
      <c r="I15" s="15"/>
      <c r="J15" s="15"/>
      <c r="K15" s="15"/>
      <c r="L15" s="8"/>
      <c r="M15" s="15">
        <v>-12900000</v>
      </c>
      <c r="N15" s="15">
        <f t="shared" ref="N15" si="16">ROUND(C15,-5)-ROUND(M15,-5)</f>
        <v>-13700000</v>
      </c>
      <c r="O15" s="15">
        <v>-12500000</v>
      </c>
      <c r="P15" s="15">
        <f t="shared" ref="P15" si="17">ROUND(D15,-5)-ROUND(O15,-5)</f>
        <v>-14200000</v>
      </c>
      <c r="Q15" s="15">
        <v>-16500000</v>
      </c>
      <c r="R15" s="15">
        <f t="shared" ref="R15" si="18">ROUND(E15,-5)-ROUND(Q15,-5)</f>
        <v>-18800000</v>
      </c>
      <c r="S15" s="15">
        <v>-19800000</v>
      </c>
      <c r="T15" s="15">
        <f t="shared" ref="T15" si="19">ROUND(F15,-5)-ROUND(S15,-5)</f>
        <v>-20100000</v>
      </c>
      <c r="U15" s="15">
        <v>-23900000</v>
      </c>
      <c r="V15" s="15">
        <f>G15-U15</f>
        <v>-26200000</v>
      </c>
      <c r="W15" s="37">
        <v>-26900000</v>
      </c>
      <c r="X15" s="15"/>
      <c r="Y15" s="15"/>
      <c r="Z15" s="15"/>
      <c r="AA15" s="15"/>
      <c r="AB15" s="15"/>
      <c r="AC15" s="15"/>
      <c r="AD15" s="15"/>
    </row>
    <row r="16" spans="1:30" s="9" customFormat="1" ht="12" customHeight="1" x14ac:dyDescent="0.2">
      <c r="A16" s="90"/>
      <c r="B16" s="14" t="s">
        <v>31</v>
      </c>
      <c r="C16" s="15">
        <v>-3000000</v>
      </c>
      <c r="D16" s="15">
        <v>-1300000</v>
      </c>
      <c r="E16" s="15">
        <v>-4700000</v>
      </c>
      <c r="F16" s="15">
        <v>-2600000</v>
      </c>
      <c r="G16" s="37">
        <v>-1300000</v>
      </c>
      <c r="H16" s="15"/>
      <c r="I16" s="15"/>
      <c r="J16" s="15"/>
      <c r="K16" s="15"/>
      <c r="L16" s="8"/>
      <c r="M16" s="15">
        <v>-2100000</v>
      </c>
      <c r="N16" s="15">
        <f>ROUND(C16,-5)-ROUND(M16,-5)</f>
        <v>-900000</v>
      </c>
      <c r="O16" s="15">
        <v>-500000</v>
      </c>
      <c r="P16" s="15">
        <f>ROUND(D16,-5)-ROUND(O16,-5)</f>
        <v>-800000</v>
      </c>
      <c r="Q16" s="15">
        <v>-2400000</v>
      </c>
      <c r="R16" s="15">
        <f>ROUND(E16,-5)-ROUND(Q16,-5)</f>
        <v>-2300000</v>
      </c>
      <c r="S16" s="15">
        <v>-1100000</v>
      </c>
      <c r="T16" s="15">
        <f>ROUND(F16,-5)-ROUND(S16,-5)</f>
        <v>-1500000</v>
      </c>
      <c r="U16" s="15">
        <v>-500000</v>
      </c>
      <c r="V16" s="15">
        <f>G16-U16</f>
        <v>-800000</v>
      </c>
      <c r="W16" s="37">
        <v>-900000</v>
      </c>
      <c r="X16" s="15"/>
      <c r="Y16" s="15"/>
      <c r="Z16" s="15"/>
      <c r="AA16" s="15"/>
      <c r="AB16" s="15"/>
      <c r="AC16" s="15"/>
      <c r="AD16" s="15"/>
    </row>
    <row r="17" spans="1:30" s="9" customFormat="1" ht="12" customHeight="1" x14ac:dyDescent="0.2">
      <c r="A17" s="90"/>
      <c r="B17" s="16" t="s">
        <v>32</v>
      </c>
      <c r="C17" s="17">
        <f>SUM(C14:C16)</f>
        <v>38800000</v>
      </c>
      <c r="D17" s="17">
        <f t="shared" ref="D17:K17" si="20">SUM(D14:D16)</f>
        <v>49900000</v>
      </c>
      <c r="E17" s="17">
        <f t="shared" si="20"/>
        <v>67400000</v>
      </c>
      <c r="F17" s="17">
        <f t="shared" si="20"/>
        <v>71700000</v>
      </c>
      <c r="G17" s="38">
        <f t="shared" si="20"/>
        <v>68400000</v>
      </c>
      <c r="H17" s="17">
        <f t="shared" si="20"/>
        <v>0</v>
      </c>
      <c r="I17" s="17">
        <f t="shared" si="20"/>
        <v>0</v>
      </c>
      <c r="J17" s="17">
        <f t="shared" si="20"/>
        <v>0</v>
      </c>
      <c r="K17" s="17">
        <f t="shared" si="20"/>
        <v>0</v>
      </c>
      <c r="L17" s="8"/>
      <c r="M17" s="17">
        <f t="shared" ref="M17:V17" si="21">SUM(M14:M16)</f>
        <v>20100000</v>
      </c>
      <c r="N17" s="17">
        <f t="shared" si="21"/>
        <v>18700000</v>
      </c>
      <c r="O17" s="17">
        <f t="shared" si="21"/>
        <v>24000000</v>
      </c>
      <c r="P17" s="17">
        <f t="shared" si="21"/>
        <v>25900000</v>
      </c>
      <c r="Q17" s="17">
        <f t="shared" si="21"/>
        <v>31200000</v>
      </c>
      <c r="R17" s="17">
        <f t="shared" si="21"/>
        <v>36200000</v>
      </c>
      <c r="S17" s="17">
        <f t="shared" si="21"/>
        <v>34600000</v>
      </c>
      <c r="T17" s="17">
        <f t="shared" si="21"/>
        <v>37100000</v>
      </c>
      <c r="U17" s="17">
        <f t="shared" si="21"/>
        <v>31000000</v>
      </c>
      <c r="V17" s="17">
        <f t="shared" si="21"/>
        <v>37400000</v>
      </c>
      <c r="W17" s="38">
        <f t="shared" ref="W17:AD17" si="22">SUM(W14:W16)</f>
        <v>32700000</v>
      </c>
      <c r="X17" s="17">
        <f t="shared" si="22"/>
        <v>0</v>
      </c>
      <c r="Y17" s="17">
        <f t="shared" si="22"/>
        <v>0</v>
      </c>
      <c r="Z17" s="17">
        <f t="shared" si="22"/>
        <v>0</v>
      </c>
      <c r="AA17" s="17">
        <f t="shared" si="22"/>
        <v>0</v>
      </c>
      <c r="AB17" s="17">
        <f t="shared" si="22"/>
        <v>0</v>
      </c>
      <c r="AC17" s="17">
        <f t="shared" si="22"/>
        <v>0</v>
      </c>
      <c r="AD17" s="17">
        <f t="shared" si="22"/>
        <v>0</v>
      </c>
    </row>
    <row r="18" spans="1:30" s="48" customFormat="1" ht="8.25" x14ac:dyDescent="0.15">
      <c r="A18" s="90"/>
      <c r="B18" s="44" t="s">
        <v>33</v>
      </c>
      <c r="C18" s="46">
        <f>+C17/C14</f>
        <v>0.56725146198830412</v>
      </c>
      <c r="D18" s="46">
        <f t="shared" ref="D18:F18" si="23">+D17/D14</f>
        <v>0.64056482670089854</v>
      </c>
      <c r="E18" s="46">
        <f t="shared" si="23"/>
        <v>0.62756052141526997</v>
      </c>
      <c r="F18" s="46">
        <f t="shared" si="23"/>
        <v>0.62784588441331002</v>
      </c>
      <c r="G18" s="45">
        <f t="shared" ref="G18" si="24">+G17/G14</f>
        <v>0.57095158597662776</v>
      </c>
      <c r="H18" s="46"/>
      <c r="I18" s="46"/>
      <c r="J18" s="46"/>
      <c r="K18" s="46"/>
      <c r="L18" s="47"/>
      <c r="M18" s="46">
        <f t="shared" ref="M18:T18" si="25">+M17/M14</f>
        <v>0.57264957264957261</v>
      </c>
      <c r="N18" s="46">
        <f t="shared" si="25"/>
        <v>0.56156156156156156</v>
      </c>
      <c r="O18" s="46">
        <f t="shared" si="25"/>
        <v>0.64864864864864868</v>
      </c>
      <c r="P18" s="46">
        <f t="shared" si="25"/>
        <v>0.63325183374083127</v>
      </c>
      <c r="Q18" s="46">
        <f t="shared" si="25"/>
        <v>0.6227544910179641</v>
      </c>
      <c r="R18" s="46">
        <f t="shared" si="25"/>
        <v>0.63176265270506105</v>
      </c>
      <c r="S18" s="46">
        <f t="shared" si="25"/>
        <v>0.62342342342342338</v>
      </c>
      <c r="T18" s="46">
        <f t="shared" si="25"/>
        <v>0.63202725724020448</v>
      </c>
      <c r="U18" s="46">
        <f t="shared" ref="U18:V18" si="26">+U17/U14</f>
        <v>0.55956678700361007</v>
      </c>
      <c r="V18" s="46">
        <f t="shared" si="26"/>
        <v>0.58074534161490687</v>
      </c>
      <c r="W18" s="45">
        <f t="shared" ref="W18" si="27">+W17/W14</f>
        <v>0.54049586776859504</v>
      </c>
      <c r="X18" s="46"/>
      <c r="Y18" s="46"/>
      <c r="Z18" s="46"/>
      <c r="AA18" s="46"/>
      <c r="AB18" s="46"/>
      <c r="AC18" s="46"/>
      <c r="AD18" s="46"/>
    </row>
    <row r="19" spans="1:30" s="48" customFormat="1" ht="8.25" x14ac:dyDescent="0.15">
      <c r="A19" s="90"/>
      <c r="B19" s="44" t="s">
        <v>34</v>
      </c>
      <c r="C19" s="46">
        <f>+(C17-C16-C13)/(C14-C13)</f>
        <v>0.59139784946236562</v>
      </c>
      <c r="D19" s="46">
        <f t="shared" ref="D19:T19" si="28">+(D17-D16-D13)/(D14-D13)</f>
        <v>0.65052356020942403</v>
      </c>
      <c r="E19" s="46">
        <f t="shared" si="28"/>
        <v>0.65118577075098816</v>
      </c>
      <c r="F19" s="46">
        <f t="shared" si="28"/>
        <v>0.63891402714932122</v>
      </c>
      <c r="G19" s="45">
        <f t="shared" ref="G19" si="29">+(G17-G16-G13)/(G14-G13)</f>
        <v>0.5747028862478778</v>
      </c>
      <c r="H19" s="46"/>
      <c r="I19" s="46"/>
      <c r="J19" s="46"/>
      <c r="K19" s="46"/>
      <c r="L19" s="47"/>
      <c r="M19" s="46">
        <f t="shared" si="28"/>
        <v>0.60429447852760731</v>
      </c>
      <c r="N19" s="46">
        <f t="shared" si="28"/>
        <v>0.57846153846153847</v>
      </c>
      <c r="O19" s="46">
        <f t="shared" si="28"/>
        <v>0.65659340659340659</v>
      </c>
      <c r="P19" s="46">
        <f t="shared" si="28"/>
        <v>0.64500000000000002</v>
      </c>
      <c r="Q19" s="46">
        <f t="shared" si="28"/>
        <v>0.65042372881355937</v>
      </c>
      <c r="R19" s="46">
        <f t="shared" si="28"/>
        <v>0.6518518518518519</v>
      </c>
      <c r="S19" s="46">
        <f t="shared" si="28"/>
        <v>0.63265306122448983</v>
      </c>
      <c r="T19" s="46">
        <f t="shared" si="28"/>
        <v>0.64487632508833925</v>
      </c>
      <c r="U19" s="46">
        <f t="shared" ref="U19:V19" si="30">+(U17-U16-U13)/(U14-U13)</f>
        <v>0.56146788990825691</v>
      </c>
      <c r="V19" s="46">
        <f t="shared" si="30"/>
        <v>0.58609794628751977</v>
      </c>
      <c r="W19" s="45">
        <f t="shared" ref="W19" si="31">+(W17-W16-W13)/(W14-W13)</f>
        <v>0.54713804713804715</v>
      </c>
      <c r="X19" s="46"/>
      <c r="Y19" s="46"/>
      <c r="Z19" s="46"/>
      <c r="AA19" s="46"/>
      <c r="AB19" s="46"/>
      <c r="AC19" s="46"/>
      <c r="AD19" s="46"/>
    </row>
    <row r="20" spans="1:30" s="9" customFormat="1" ht="12" customHeight="1" x14ac:dyDescent="0.2">
      <c r="A20" s="90"/>
      <c r="B20" s="14" t="s">
        <v>35</v>
      </c>
      <c r="C20" s="15">
        <v>-8300000</v>
      </c>
      <c r="D20" s="15">
        <v>-7300000</v>
      </c>
      <c r="E20" s="15">
        <v>-11400000</v>
      </c>
      <c r="F20" s="15">
        <v>-12400000</v>
      </c>
      <c r="G20" s="37">
        <v>-5700000</v>
      </c>
      <c r="H20" s="15"/>
      <c r="I20" s="15"/>
      <c r="J20" s="15"/>
      <c r="K20" s="15"/>
      <c r="L20" s="8"/>
      <c r="M20" s="15">
        <v>-4400000</v>
      </c>
      <c r="N20" s="15">
        <f t="shared" ref="N20:N21" si="32">ROUND(C20,-5)-ROUND(M20,-5)</f>
        <v>-3900000</v>
      </c>
      <c r="O20" s="15">
        <v>-3200000</v>
      </c>
      <c r="P20" s="15">
        <f t="shared" ref="P20:P21" si="33">ROUND(D20,-5)-ROUND(O20,-5)</f>
        <v>-4100000</v>
      </c>
      <c r="Q20" s="15">
        <v>-5300000</v>
      </c>
      <c r="R20" s="15">
        <f t="shared" ref="R20:R21" si="34">ROUND(E20,-5)-ROUND(Q20,-5)</f>
        <v>-6100000</v>
      </c>
      <c r="S20" s="15">
        <v>-6200000</v>
      </c>
      <c r="T20" s="15">
        <f t="shared" ref="T20:T21" si="35">ROUND(F20,-5)-ROUND(S20,-5)</f>
        <v>-6200000</v>
      </c>
      <c r="U20" s="15">
        <v>-2900000</v>
      </c>
      <c r="V20" s="15">
        <f>G20-U20</f>
        <v>-2800000</v>
      </c>
      <c r="W20" s="37">
        <v>-3400000</v>
      </c>
      <c r="X20" s="15"/>
      <c r="Y20" s="15"/>
      <c r="Z20" s="15"/>
      <c r="AA20" s="15"/>
      <c r="AB20" s="15"/>
      <c r="AC20" s="15"/>
      <c r="AD20" s="15"/>
    </row>
    <row r="21" spans="1:30" s="9" customFormat="1" ht="12" customHeight="1" x14ac:dyDescent="0.2">
      <c r="A21" s="90"/>
      <c r="B21" s="14" t="s">
        <v>36</v>
      </c>
      <c r="C21" s="15">
        <v>-15300000</v>
      </c>
      <c r="D21" s="15">
        <v>-18900000</v>
      </c>
      <c r="E21" s="15">
        <v>-23300000</v>
      </c>
      <c r="F21" s="15">
        <v>-23000000</v>
      </c>
      <c r="G21" s="37">
        <v>-22500000</v>
      </c>
      <c r="H21" s="15"/>
      <c r="I21" s="15"/>
      <c r="J21" s="15"/>
      <c r="K21" s="15"/>
      <c r="L21" s="8"/>
      <c r="M21" s="15">
        <v>-7700000</v>
      </c>
      <c r="N21" s="15">
        <f t="shared" si="32"/>
        <v>-7600000</v>
      </c>
      <c r="O21" s="15">
        <v>-8500000</v>
      </c>
      <c r="P21" s="15">
        <f t="shared" si="33"/>
        <v>-10400000</v>
      </c>
      <c r="Q21" s="15">
        <v>-10500000</v>
      </c>
      <c r="R21" s="15">
        <f t="shared" si="34"/>
        <v>-12800000</v>
      </c>
      <c r="S21" s="15">
        <v>-11900000</v>
      </c>
      <c r="T21" s="15">
        <f t="shared" si="35"/>
        <v>-11100000</v>
      </c>
      <c r="U21" s="15">
        <v>-11000000</v>
      </c>
      <c r="V21" s="15">
        <f>G21-U21</f>
        <v>-11500000</v>
      </c>
      <c r="W21" s="37">
        <v>-12100000</v>
      </c>
      <c r="X21" s="15"/>
      <c r="Y21" s="15"/>
      <c r="Z21" s="15"/>
      <c r="AA21" s="15"/>
      <c r="AB21" s="15"/>
      <c r="AC21" s="15"/>
      <c r="AD21" s="15"/>
    </row>
    <row r="22" spans="1:30" s="9" customFormat="1" ht="12" customHeight="1" thickBot="1" x14ac:dyDescent="0.25">
      <c r="A22" s="90"/>
      <c r="B22" s="19" t="s">
        <v>37</v>
      </c>
      <c r="C22" s="20">
        <f>+C17+C20+C21</f>
        <v>15200000</v>
      </c>
      <c r="D22" s="20">
        <f t="shared" ref="D22:K22" si="36">+D17+D20+D21</f>
        <v>23700000</v>
      </c>
      <c r="E22" s="20">
        <f t="shared" si="36"/>
        <v>32700000</v>
      </c>
      <c r="F22" s="20">
        <f t="shared" si="36"/>
        <v>36300000</v>
      </c>
      <c r="G22" s="39">
        <f t="shared" si="36"/>
        <v>40200000</v>
      </c>
      <c r="H22" s="20">
        <f t="shared" si="36"/>
        <v>0</v>
      </c>
      <c r="I22" s="20">
        <f t="shared" si="36"/>
        <v>0</v>
      </c>
      <c r="J22" s="20">
        <f t="shared" si="36"/>
        <v>0</v>
      </c>
      <c r="K22" s="20">
        <f t="shared" si="36"/>
        <v>0</v>
      </c>
      <c r="L22" s="8"/>
      <c r="M22" s="20">
        <f t="shared" ref="M22:T22" si="37">+M17+M20+M21</f>
        <v>8000000</v>
      </c>
      <c r="N22" s="20">
        <f t="shared" si="37"/>
        <v>7200000</v>
      </c>
      <c r="O22" s="20">
        <f t="shared" si="37"/>
        <v>12300000</v>
      </c>
      <c r="P22" s="20">
        <f t="shared" si="37"/>
        <v>11400000</v>
      </c>
      <c r="Q22" s="20">
        <f t="shared" si="37"/>
        <v>15400000</v>
      </c>
      <c r="R22" s="20">
        <f t="shared" si="37"/>
        <v>17300000</v>
      </c>
      <c r="S22" s="20">
        <f t="shared" si="37"/>
        <v>16500000</v>
      </c>
      <c r="T22" s="20">
        <f t="shared" si="37"/>
        <v>19800000</v>
      </c>
      <c r="U22" s="20">
        <f t="shared" ref="U22:V22" si="38">+U17+U20+U21</f>
        <v>17100000</v>
      </c>
      <c r="V22" s="20">
        <f t="shared" si="38"/>
        <v>23100000</v>
      </c>
      <c r="W22" s="39">
        <f t="shared" ref="W22:AD22" si="39">+W17+W20+W21</f>
        <v>17200000</v>
      </c>
      <c r="X22" s="20">
        <f t="shared" si="39"/>
        <v>0</v>
      </c>
      <c r="Y22" s="20">
        <f t="shared" si="39"/>
        <v>0</v>
      </c>
      <c r="Z22" s="20">
        <f t="shared" si="39"/>
        <v>0</v>
      </c>
      <c r="AA22" s="20">
        <f t="shared" si="39"/>
        <v>0</v>
      </c>
      <c r="AB22" s="20">
        <f t="shared" si="39"/>
        <v>0</v>
      </c>
      <c r="AC22" s="20">
        <f t="shared" si="39"/>
        <v>0</v>
      </c>
      <c r="AD22" s="20">
        <f t="shared" si="39"/>
        <v>0</v>
      </c>
    </row>
    <row r="23" spans="1:30" s="48" customFormat="1" ht="8.25" x14ac:dyDescent="0.15">
      <c r="A23" s="90"/>
      <c r="B23" s="44" t="s">
        <v>38</v>
      </c>
      <c r="C23" s="46">
        <f>+C22/C14</f>
        <v>0.22222222222222221</v>
      </c>
      <c r="D23" s="46">
        <f t="shared" ref="D23:G23" si="40">+D22/D14</f>
        <v>0.30423620025673942</v>
      </c>
      <c r="E23" s="46">
        <f t="shared" si="40"/>
        <v>0.30446927374301674</v>
      </c>
      <c r="F23" s="46">
        <f t="shared" si="40"/>
        <v>0.31786339754816112</v>
      </c>
      <c r="G23" s="45">
        <f t="shared" si="40"/>
        <v>0.335559265442404</v>
      </c>
      <c r="H23" s="46"/>
      <c r="I23" s="46"/>
      <c r="J23" s="46"/>
      <c r="K23" s="46"/>
      <c r="L23" s="47"/>
      <c r="M23" s="46">
        <f t="shared" ref="M23:T23" si="41">+M22/M14</f>
        <v>0.22792022792022792</v>
      </c>
      <c r="N23" s="46">
        <f t="shared" si="41"/>
        <v>0.21621621621621623</v>
      </c>
      <c r="O23" s="46">
        <f t="shared" si="41"/>
        <v>0.33243243243243242</v>
      </c>
      <c r="P23" s="46">
        <f t="shared" si="41"/>
        <v>0.27872860635696822</v>
      </c>
      <c r="Q23" s="46">
        <f t="shared" si="41"/>
        <v>0.30738522954091818</v>
      </c>
      <c r="R23" s="46">
        <f t="shared" si="41"/>
        <v>0.30191972076788831</v>
      </c>
      <c r="S23" s="46">
        <f t="shared" si="41"/>
        <v>0.29729729729729731</v>
      </c>
      <c r="T23" s="46">
        <f t="shared" si="41"/>
        <v>0.33730834752981259</v>
      </c>
      <c r="U23" s="46">
        <f t="shared" ref="U23:W23" si="42">+U22/U14</f>
        <v>0.30866425992779783</v>
      </c>
      <c r="V23" s="46">
        <f t="shared" si="42"/>
        <v>0.35869565217391303</v>
      </c>
      <c r="W23" s="45">
        <f t="shared" si="42"/>
        <v>0.28429752066115704</v>
      </c>
      <c r="X23" s="46"/>
      <c r="Y23" s="46"/>
      <c r="Z23" s="46"/>
      <c r="AA23" s="46"/>
      <c r="AB23" s="46"/>
      <c r="AC23" s="46"/>
      <c r="AD23" s="46"/>
    </row>
    <row r="24" spans="1:30" s="9" customFormat="1" ht="12" customHeight="1" x14ac:dyDescent="0.25">
      <c r="A24" s="7"/>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row>
    <row r="25" spans="1:30" s="13" customFormat="1" ht="16.5" thickBot="1" x14ac:dyDescent="0.3">
      <c r="A25" s="2"/>
      <c r="B25" s="10" t="s">
        <v>39</v>
      </c>
      <c r="C25" s="11" t="s">
        <v>5</v>
      </c>
      <c r="D25" s="11" t="s">
        <v>6</v>
      </c>
      <c r="E25" s="11" t="s">
        <v>7</v>
      </c>
      <c r="F25" s="11" t="s">
        <v>8</v>
      </c>
      <c r="G25" s="11" t="s">
        <v>9</v>
      </c>
      <c r="H25" s="11" t="s">
        <v>10</v>
      </c>
      <c r="I25" s="11" t="s">
        <v>11</v>
      </c>
      <c r="J25" s="11" t="s">
        <v>12</v>
      </c>
      <c r="K25" s="11" t="s">
        <v>13</v>
      </c>
      <c r="L25" s="12"/>
      <c r="M25" s="11" t="s">
        <v>14</v>
      </c>
      <c r="N25" s="11" t="s">
        <v>15</v>
      </c>
      <c r="O25" s="11" t="s">
        <v>16</v>
      </c>
      <c r="P25" s="11" t="s">
        <v>17</v>
      </c>
      <c r="Q25" s="11" t="s">
        <v>18</v>
      </c>
      <c r="R25" s="11" t="s">
        <v>19</v>
      </c>
      <c r="S25" s="11" t="s">
        <v>20</v>
      </c>
      <c r="T25" s="11" t="s">
        <v>21</v>
      </c>
      <c r="U25" s="11" t="s">
        <v>22</v>
      </c>
      <c r="V25" s="11" t="s">
        <v>182</v>
      </c>
      <c r="W25" s="11" t="s">
        <v>183</v>
      </c>
      <c r="X25" s="11" t="s">
        <v>184</v>
      </c>
      <c r="Y25" s="11" t="s">
        <v>185</v>
      </c>
      <c r="Z25" s="11" t="s">
        <v>186</v>
      </c>
      <c r="AA25" s="11" t="s">
        <v>187</v>
      </c>
      <c r="AB25" s="11" t="s">
        <v>188</v>
      </c>
      <c r="AC25" s="11" t="s">
        <v>189</v>
      </c>
      <c r="AD25" s="11" t="s">
        <v>190</v>
      </c>
    </row>
    <row r="26" spans="1:30" s="9" customFormat="1" ht="12" customHeight="1" thickTop="1" x14ac:dyDescent="0.2">
      <c r="A26" s="90" t="s">
        <v>40</v>
      </c>
      <c r="B26" s="14" t="s">
        <v>24</v>
      </c>
      <c r="C26" s="15">
        <v>7500000</v>
      </c>
      <c r="D26" s="15">
        <v>7900000</v>
      </c>
      <c r="E26" s="15">
        <v>11300000</v>
      </c>
      <c r="F26" s="15">
        <v>10400000</v>
      </c>
      <c r="G26" s="37">
        <v>12100000</v>
      </c>
      <c r="H26" s="15"/>
      <c r="I26" s="15"/>
      <c r="J26" s="15"/>
      <c r="K26" s="15"/>
      <c r="L26" s="8"/>
      <c r="M26" s="15">
        <v>3600000</v>
      </c>
      <c r="N26" s="15">
        <f t="shared" ref="N26:N27" si="43">ROUND(C26,-5)-ROUND(M26,-5)</f>
        <v>3900000</v>
      </c>
      <c r="O26" s="15">
        <v>3100000</v>
      </c>
      <c r="P26" s="15">
        <f t="shared" ref="P26:P27" si="44">ROUND(D26,-5)-ROUND(O26,-5)</f>
        <v>4800000</v>
      </c>
      <c r="Q26" s="15">
        <v>5400000</v>
      </c>
      <c r="R26" s="15">
        <f t="shared" ref="R26:R27" si="45">ROUND(E26,-5)-ROUND(Q26,-5)</f>
        <v>5900000</v>
      </c>
      <c r="S26" s="15">
        <v>4900000</v>
      </c>
      <c r="T26" s="15">
        <f t="shared" ref="T26:T27" si="46">ROUND(F26,-5)-ROUND(S26,-5)</f>
        <v>5500000</v>
      </c>
      <c r="U26" s="15">
        <v>5900000</v>
      </c>
      <c r="V26" s="15">
        <f t="shared" ref="V26:V27" si="47">G26-U26</f>
        <v>6200000</v>
      </c>
      <c r="W26" s="37">
        <v>6500000</v>
      </c>
      <c r="X26" s="15"/>
      <c r="Y26" s="15"/>
      <c r="Z26" s="15"/>
      <c r="AA26" s="15"/>
      <c r="AB26" s="15"/>
      <c r="AC26" s="15"/>
      <c r="AD26" s="15"/>
    </row>
    <row r="27" spans="1:30" s="9" customFormat="1" ht="12" customHeight="1" x14ac:dyDescent="0.2">
      <c r="A27" s="90"/>
      <c r="B27" s="14" t="s">
        <v>25</v>
      </c>
      <c r="C27" s="15">
        <f>7800000</f>
        <v>7800000</v>
      </c>
      <c r="D27" s="15">
        <f>8900000</f>
        <v>8900000</v>
      </c>
      <c r="E27" s="15">
        <f>11500000</f>
        <v>11500000</v>
      </c>
      <c r="F27" s="15">
        <f>13800000</f>
        <v>13800000</v>
      </c>
      <c r="G27" s="37">
        <v>14400000</v>
      </c>
      <c r="H27" s="15"/>
      <c r="I27" s="15"/>
      <c r="J27" s="15"/>
      <c r="K27" s="15"/>
      <c r="L27" s="8"/>
      <c r="M27" s="15">
        <f>4100000</f>
        <v>4100000</v>
      </c>
      <c r="N27" s="15">
        <f t="shared" si="43"/>
        <v>3700000</v>
      </c>
      <c r="O27" s="15">
        <f>3700000</f>
        <v>3700000</v>
      </c>
      <c r="P27" s="15">
        <f t="shared" si="44"/>
        <v>5200000</v>
      </c>
      <c r="Q27" s="15">
        <f>5300000</f>
        <v>5300000</v>
      </c>
      <c r="R27" s="15">
        <f t="shared" si="45"/>
        <v>6200000</v>
      </c>
      <c r="S27" s="15">
        <f>6800000</f>
        <v>6800000</v>
      </c>
      <c r="T27" s="15">
        <f t="shared" si="46"/>
        <v>7000000</v>
      </c>
      <c r="U27" s="15">
        <v>6600000</v>
      </c>
      <c r="V27" s="15">
        <f t="shared" si="47"/>
        <v>7800000</v>
      </c>
      <c r="W27" s="37">
        <v>7500000</v>
      </c>
      <c r="X27" s="15"/>
      <c r="Y27" s="15"/>
      <c r="Z27" s="15"/>
      <c r="AA27" s="15"/>
      <c r="AB27" s="15"/>
      <c r="AC27" s="15"/>
      <c r="AD27" s="15"/>
    </row>
    <row r="28" spans="1:30" s="9" customFormat="1" ht="12" customHeight="1" x14ac:dyDescent="0.2">
      <c r="A28" s="90"/>
      <c r="B28" s="16" t="s">
        <v>26</v>
      </c>
      <c r="C28" s="17">
        <f t="shared" ref="C28:K28" si="48">SUM(C26:C27)</f>
        <v>15300000</v>
      </c>
      <c r="D28" s="17">
        <f t="shared" si="48"/>
        <v>16800000</v>
      </c>
      <c r="E28" s="17">
        <f t="shared" si="48"/>
        <v>22800000</v>
      </c>
      <c r="F28" s="17">
        <f t="shared" si="48"/>
        <v>24200000</v>
      </c>
      <c r="G28" s="38">
        <f t="shared" si="48"/>
        <v>26500000</v>
      </c>
      <c r="H28" s="17">
        <f t="shared" si="48"/>
        <v>0</v>
      </c>
      <c r="I28" s="17">
        <f t="shared" si="48"/>
        <v>0</v>
      </c>
      <c r="J28" s="17">
        <f t="shared" si="48"/>
        <v>0</v>
      </c>
      <c r="K28" s="17">
        <f t="shared" si="48"/>
        <v>0</v>
      </c>
      <c r="L28" s="8"/>
      <c r="M28" s="17">
        <f t="shared" ref="M28:U28" si="49">SUM(M26:M27)</f>
        <v>7700000</v>
      </c>
      <c r="N28" s="17">
        <f t="shared" si="49"/>
        <v>7600000</v>
      </c>
      <c r="O28" s="17">
        <f t="shared" si="49"/>
        <v>6800000</v>
      </c>
      <c r="P28" s="17">
        <f t="shared" si="49"/>
        <v>10000000</v>
      </c>
      <c r="Q28" s="17">
        <f t="shared" si="49"/>
        <v>10700000</v>
      </c>
      <c r="R28" s="17">
        <f t="shared" si="49"/>
        <v>12100000</v>
      </c>
      <c r="S28" s="17">
        <f t="shared" si="49"/>
        <v>11700000</v>
      </c>
      <c r="T28" s="17">
        <f t="shared" si="49"/>
        <v>12500000</v>
      </c>
      <c r="U28" s="17">
        <f t="shared" si="49"/>
        <v>12500000</v>
      </c>
      <c r="V28" s="17">
        <f t="shared" ref="V28:W28" si="50">SUM(V26:V27)</f>
        <v>14000000</v>
      </c>
      <c r="W28" s="38">
        <f t="shared" si="50"/>
        <v>14000000</v>
      </c>
      <c r="X28" s="17">
        <f t="shared" ref="X28:AD28" si="51">SUM(X26:X27)</f>
        <v>0</v>
      </c>
      <c r="Y28" s="17">
        <f t="shared" si="51"/>
        <v>0</v>
      </c>
      <c r="Z28" s="17">
        <f t="shared" si="51"/>
        <v>0</v>
      </c>
      <c r="AA28" s="17">
        <f t="shared" si="51"/>
        <v>0</v>
      </c>
      <c r="AB28" s="17">
        <f t="shared" si="51"/>
        <v>0</v>
      </c>
      <c r="AC28" s="17">
        <f t="shared" si="51"/>
        <v>0</v>
      </c>
      <c r="AD28" s="17">
        <f t="shared" si="51"/>
        <v>0</v>
      </c>
    </row>
    <row r="29" spans="1:30" s="9" customFormat="1" ht="12" customHeight="1" x14ac:dyDescent="0.2">
      <c r="A29" s="90"/>
      <c r="B29" s="14" t="s">
        <v>27</v>
      </c>
      <c r="C29" s="15">
        <v>3800000</v>
      </c>
      <c r="D29" s="15">
        <v>3400000</v>
      </c>
      <c r="E29" s="15">
        <v>4900000</v>
      </c>
      <c r="F29" s="15">
        <v>4600000</v>
      </c>
      <c r="G29" s="37">
        <v>3700000</v>
      </c>
      <c r="H29" s="15"/>
      <c r="I29" s="15"/>
      <c r="J29" s="15"/>
      <c r="K29" s="15"/>
      <c r="L29" s="8"/>
      <c r="M29" s="15">
        <v>2000000</v>
      </c>
      <c r="N29" s="15">
        <f>ROUND(C29,-5)-ROUND(M29,-5)</f>
        <v>1800000</v>
      </c>
      <c r="O29" s="15">
        <v>1100000</v>
      </c>
      <c r="P29" s="15">
        <f>ROUND(D29,-5)-ROUND(O29,-5)</f>
        <v>2300000</v>
      </c>
      <c r="Q29" s="15">
        <v>1600000</v>
      </c>
      <c r="R29" s="15">
        <f>ROUND(E29,-5)-ROUND(Q29,-5)</f>
        <v>3300000</v>
      </c>
      <c r="S29" s="15">
        <v>2500000</v>
      </c>
      <c r="T29" s="15">
        <f>ROUND(F29,-5)-ROUND(S29,-5)</f>
        <v>2100000</v>
      </c>
      <c r="U29" s="15">
        <v>1700000</v>
      </c>
      <c r="V29" s="15">
        <f>G29-U29</f>
        <v>2000000</v>
      </c>
      <c r="W29" s="37">
        <v>2500000</v>
      </c>
      <c r="X29" s="15"/>
      <c r="Y29" s="15"/>
      <c r="Z29" s="15"/>
      <c r="AA29" s="15"/>
      <c r="AB29" s="15"/>
      <c r="AC29" s="15"/>
      <c r="AD29" s="15"/>
    </row>
    <row r="30" spans="1:30" s="9" customFormat="1" ht="12" hidden="1" customHeight="1" outlineLevel="1" x14ac:dyDescent="0.2">
      <c r="A30" s="90"/>
      <c r="B30" s="14" t="s">
        <v>28</v>
      </c>
      <c r="C30" s="15">
        <v>0</v>
      </c>
      <c r="D30" s="15">
        <v>0</v>
      </c>
      <c r="E30" s="15">
        <v>0</v>
      </c>
      <c r="F30" s="15">
        <v>0</v>
      </c>
      <c r="G30" s="37">
        <v>0</v>
      </c>
      <c r="H30" s="15"/>
      <c r="I30" s="15"/>
      <c r="J30" s="15"/>
      <c r="K30" s="15"/>
      <c r="L30" s="8"/>
      <c r="M30" s="15">
        <v>0</v>
      </c>
      <c r="N30" s="15">
        <v>0</v>
      </c>
      <c r="O30" s="15">
        <v>0</v>
      </c>
      <c r="P30" s="15">
        <v>0</v>
      </c>
      <c r="Q30" s="15">
        <v>0</v>
      </c>
      <c r="R30" s="15">
        <v>0</v>
      </c>
      <c r="S30" s="15">
        <v>0</v>
      </c>
      <c r="T30" s="15">
        <v>0</v>
      </c>
      <c r="U30" s="15">
        <v>0</v>
      </c>
      <c r="V30" s="15">
        <f>G30-U30</f>
        <v>0</v>
      </c>
      <c r="W30" s="37">
        <v>0</v>
      </c>
      <c r="X30" s="15"/>
      <c r="Y30" s="15"/>
      <c r="Z30" s="15"/>
      <c r="AA30" s="15"/>
      <c r="AB30" s="15"/>
      <c r="AC30" s="15"/>
      <c r="AD30" s="15"/>
    </row>
    <row r="31" spans="1:30" s="9" customFormat="1" ht="12" customHeight="1" collapsed="1" x14ac:dyDescent="0.2">
      <c r="A31" s="90"/>
      <c r="B31" s="16" t="s">
        <v>29</v>
      </c>
      <c r="C31" s="17">
        <f>+C28+C29</f>
        <v>19100000</v>
      </c>
      <c r="D31" s="17">
        <f>+D28+D29</f>
        <v>20200000</v>
      </c>
      <c r="E31" s="17">
        <f>+E28+E29</f>
        <v>27700000</v>
      </c>
      <c r="F31" s="17">
        <f>+F28+F29</f>
        <v>28800000</v>
      </c>
      <c r="G31" s="38">
        <f t="shared" ref="G31:K31" si="52">+G28+G29</f>
        <v>30200000</v>
      </c>
      <c r="H31" s="17">
        <f t="shared" si="52"/>
        <v>0</v>
      </c>
      <c r="I31" s="17">
        <f t="shared" si="52"/>
        <v>0</v>
      </c>
      <c r="J31" s="17">
        <f t="shared" si="52"/>
        <v>0</v>
      </c>
      <c r="K31" s="17">
        <f t="shared" si="52"/>
        <v>0</v>
      </c>
      <c r="L31" s="8"/>
      <c r="M31" s="17">
        <f t="shared" ref="M31:U31" si="53">+M28+M29</f>
        <v>9700000</v>
      </c>
      <c r="N31" s="17">
        <f t="shared" si="53"/>
        <v>9400000</v>
      </c>
      <c r="O31" s="17">
        <f t="shared" si="53"/>
        <v>7900000</v>
      </c>
      <c r="P31" s="17">
        <f t="shared" si="53"/>
        <v>12300000</v>
      </c>
      <c r="Q31" s="17">
        <f t="shared" si="53"/>
        <v>12300000</v>
      </c>
      <c r="R31" s="17">
        <f t="shared" si="53"/>
        <v>15400000</v>
      </c>
      <c r="S31" s="17">
        <f t="shared" si="53"/>
        <v>14200000</v>
      </c>
      <c r="T31" s="17">
        <f t="shared" si="53"/>
        <v>14600000</v>
      </c>
      <c r="U31" s="17">
        <f t="shared" si="53"/>
        <v>14200000</v>
      </c>
      <c r="V31" s="17">
        <f t="shared" ref="V31:W31" si="54">+V28+V29</f>
        <v>16000000</v>
      </c>
      <c r="W31" s="38">
        <f t="shared" si="54"/>
        <v>16500000</v>
      </c>
      <c r="X31" s="17">
        <f t="shared" ref="X31:AD31" si="55">+X28+X29</f>
        <v>0</v>
      </c>
      <c r="Y31" s="17">
        <f t="shared" si="55"/>
        <v>0</v>
      </c>
      <c r="Z31" s="17">
        <f t="shared" si="55"/>
        <v>0</v>
      </c>
      <c r="AA31" s="17">
        <f t="shared" si="55"/>
        <v>0</v>
      </c>
      <c r="AB31" s="17">
        <f t="shared" si="55"/>
        <v>0</v>
      </c>
      <c r="AC31" s="17">
        <f t="shared" si="55"/>
        <v>0</v>
      </c>
      <c r="AD31" s="17">
        <f t="shared" si="55"/>
        <v>0</v>
      </c>
    </row>
    <row r="32" spans="1:30" s="9" customFormat="1" ht="12" customHeight="1" x14ac:dyDescent="0.2">
      <c r="A32" s="90"/>
      <c r="B32" s="14" t="s">
        <v>30</v>
      </c>
      <c r="C32" s="15">
        <v>-7900000</v>
      </c>
      <c r="D32" s="15">
        <v>-8400000</v>
      </c>
      <c r="E32" s="15">
        <v>-10600000</v>
      </c>
      <c r="F32" s="15">
        <v>-10800000</v>
      </c>
      <c r="G32" s="37">
        <v>-8900000</v>
      </c>
      <c r="H32" s="15"/>
      <c r="I32" s="15"/>
      <c r="J32" s="15"/>
      <c r="K32" s="15"/>
      <c r="L32" s="8"/>
      <c r="M32" s="15">
        <v>-4000000</v>
      </c>
      <c r="N32" s="15">
        <f t="shared" ref="N32:N33" si="56">ROUND(C32,-5)-ROUND(M32,-5)</f>
        <v>-3900000</v>
      </c>
      <c r="O32" s="15">
        <v>-3800000</v>
      </c>
      <c r="P32" s="15">
        <f t="shared" ref="P32:P33" si="57">ROUND(D32,-5)-ROUND(O32,-5)</f>
        <v>-4600000</v>
      </c>
      <c r="Q32" s="15">
        <v>-5100000</v>
      </c>
      <c r="R32" s="15">
        <f t="shared" ref="R32:R33" si="58">ROUND(E32,-5)-ROUND(Q32,-5)</f>
        <v>-5500000</v>
      </c>
      <c r="S32" s="15">
        <v>-5500000</v>
      </c>
      <c r="T32" s="15">
        <f t="shared" ref="T32:T33" si="59">ROUND(F32,-5)-ROUND(S32,-5)</f>
        <v>-5300000</v>
      </c>
      <c r="U32" s="15">
        <v>-4500000</v>
      </c>
      <c r="V32" s="15">
        <f>G32-U32</f>
        <v>-4400000</v>
      </c>
      <c r="W32" s="37">
        <v>-5200000</v>
      </c>
      <c r="X32" s="15"/>
      <c r="Y32" s="15"/>
      <c r="Z32" s="15"/>
      <c r="AA32" s="15"/>
      <c r="AB32" s="15"/>
      <c r="AC32" s="15"/>
      <c r="AD32" s="15"/>
    </row>
    <row r="33" spans="1:30" s="9" customFormat="1" ht="12" hidden="1" customHeight="1" outlineLevel="1" x14ac:dyDescent="0.2">
      <c r="A33" s="90"/>
      <c r="B33" s="14" t="s">
        <v>31</v>
      </c>
      <c r="C33" s="15">
        <v>0</v>
      </c>
      <c r="D33" s="15">
        <v>0</v>
      </c>
      <c r="E33" s="15">
        <v>0</v>
      </c>
      <c r="F33" s="15">
        <v>0</v>
      </c>
      <c r="G33" s="37">
        <v>0</v>
      </c>
      <c r="H33" s="15"/>
      <c r="I33" s="15"/>
      <c r="J33" s="15"/>
      <c r="K33" s="15"/>
      <c r="L33" s="8"/>
      <c r="M33" s="15">
        <v>0</v>
      </c>
      <c r="N33" s="15">
        <f t="shared" si="56"/>
        <v>0</v>
      </c>
      <c r="O33" s="15">
        <v>0</v>
      </c>
      <c r="P33" s="15">
        <f t="shared" si="57"/>
        <v>0</v>
      </c>
      <c r="Q33" s="15">
        <v>0</v>
      </c>
      <c r="R33" s="15">
        <f t="shared" si="58"/>
        <v>0</v>
      </c>
      <c r="S33" s="15">
        <v>0</v>
      </c>
      <c r="T33" s="15">
        <f t="shared" si="59"/>
        <v>0</v>
      </c>
      <c r="U33" s="15">
        <v>0</v>
      </c>
      <c r="V33" s="15">
        <f>G33-U33</f>
        <v>0</v>
      </c>
      <c r="W33" s="37">
        <v>0</v>
      </c>
      <c r="X33" s="15"/>
      <c r="Y33" s="15"/>
      <c r="Z33" s="15"/>
      <c r="AA33" s="15"/>
      <c r="AB33" s="15"/>
      <c r="AC33" s="15"/>
      <c r="AD33" s="15"/>
    </row>
    <row r="34" spans="1:30" s="9" customFormat="1" ht="12" customHeight="1" collapsed="1" x14ac:dyDescent="0.2">
      <c r="A34" s="90"/>
      <c r="B34" s="16" t="s">
        <v>32</v>
      </c>
      <c r="C34" s="17">
        <f>+C31+C32+C33</f>
        <v>11200000</v>
      </c>
      <c r="D34" s="17">
        <f>+D31+D32+D33</f>
        <v>11800000</v>
      </c>
      <c r="E34" s="17">
        <f>+E31+E32+E33</f>
        <v>17100000</v>
      </c>
      <c r="F34" s="17">
        <f>+F31+F32+F33</f>
        <v>18000000</v>
      </c>
      <c r="G34" s="38">
        <f>+G31+G32+G33</f>
        <v>21300000</v>
      </c>
      <c r="H34" s="17">
        <f t="shared" ref="H34:K34" si="60">+H31+H32+H33</f>
        <v>0</v>
      </c>
      <c r="I34" s="17">
        <f t="shared" si="60"/>
        <v>0</v>
      </c>
      <c r="J34" s="17">
        <f t="shared" si="60"/>
        <v>0</v>
      </c>
      <c r="K34" s="17">
        <f t="shared" si="60"/>
        <v>0</v>
      </c>
      <c r="L34" s="8"/>
      <c r="M34" s="17">
        <f t="shared" ref="M34:T34" si="61">+M31+M32+M33</f>
        <v>5700000</v>
      </c>
      <c r="N34" s="17">
        <f t="shared" si="61"/>
        <v>5500000</v>
      </c>
      <c r="O34" s="17">
        <f t="shared" si="61"/>
        <v>4100000</v>
      </c>
      <c r="P34" s="17">
        <f t="shared" si="61"/>
        <v>7700000</v>
      </c>
      <c r="Q34" s="17">
        <f t="shared" si="61"/>
        <v>7200000</v>
      </c>
      <c r="R34" s="17">
        <f t="shared" si="61"/>
        <v>9900000</v>
      </c>
      <c r="S34" s="17">
        <f t="shared" si="61"/>
        <v>8700000</v>
      </c>
      <c r="T34" s="17">
        <f t="shared" si="61"/>
        <v>9300000</v>
      </c>
      <c r="U34" s="17">
        <f t="shared" ref="U34:W34" si="62">+U31+U32+U33</f>
        <v>9700000</v>
      </c>
      <c r="V34" s="17">
        <f t="shared" si="62"/>
        <v>11600000</v>
      </c>
      <c r="W34" s="38">
        <f t="shared" si="62"/>
        <v>11300000</v>
      </c>
      <c r="X34" s="17">
        <f t="shared" ref="X34:AD34" si="63">+X31+X32+X33</f>
        <v>0</v>
      </c>
      <c r="Y34" s="17">
        <f t="shared" si="63"/>
        <v>0</v>
      </c>
      <c r="Z34" s="17">
        <f t="shared" si="63"/>
        <v>0</v>
      </c>
      <c r="AA34" s="17">
        <f t="shared" si="63"/>
        <v>0</v>
      </c>
      <c r="AB34" s="17">
        <f t="shared" si="63"/>
        <v>0</v>
      </c>
      <c r="AC34" s="17">
        <f t="shared" si="63"/>
        <v>0</v>
      </c>
      <c r="AD34" s="17">
        <f t="shared" si="63"/>
        <v>0</v>
      </c>
    </row>
    <row r="35" spans="1:30" s="48" customFormat="1" ht="8.25" x14ac:dyDescent="0.15">
      <c r="A35" s="90"/>
      <c r="B35" s="44" t="s">
        <v>33</v>
      </c>
      <c r="C35" s="46">
        <f>+C34/C31</f>
        <v>0.58638743455497377</v>
      </c>
      <c r="D35" s="46">
        <f>+D34/D31</f>
        <v>0.58415841584158412</v>
      </c>
      <c r="E35" s="46">
        <f>+E34/E31</f>
        <v>0.61732851985559567</v>
      </c>
      <c r="F35" s="46">
        <f>+F34/F31</f>
        <v>0.625</v>
      </c>
      <c r="G35" s="45">
        <f t="shared" ref="G35" si="64">+G34/G31</f>
        <v>0.70529801324503316</v>
      </c>
      <c r="H35" s="46"/>
      <c r="I35" s="46"/>
      <c r="J35" s="46"/>
      <c r="K35" s="46"/>
      <c r="L35" s="47"/>
      <c r="M35" s="46">
        <f t="shared" ref="M35:T35" si="65">+M34/M31</f>
        <v>0.58762886597938147</v>
      </c>
      <c r="N35" s="46">
        <f t="shared" si="65"/>
        <v>0.58510638297872342</v>
      </c>
      <c r="O35" s="46">
        <f t="shared" si="65"/>
        <v>0.51898734177215189</v>
      </c>
      <c r="P35" s="46">
        <f t="shared" si="65"/>
        <v>0.62601626016260159</v>
      </c>
      <c r="Q35" s="46">
        <f t="shared" si="65"/>
        <v>0.58536585365853655</v>
      </c>
      <c r="R35" s="46">
        <f t="shared" si="65"/>
        <v>0.6428571428571429</v>
      </c>
      <c r="S35" s="46">
        <f t="shared" si="65"/>
        <v>0.61267605633802813</v>
      </c>
      <c r="T35" s="46">
        <f t="shared" si="65"/>
        <v>0.63698630136986301</v>
      </c>
      <c r="U35" s="46">
        <f t="shared" ref="U35:V35" si="66">+U34/U31</f>
        <v>0.68309859154929575</v>
      </c>
      <c r="V35" s="46">
        <f t="shared" si="66"/>
        <v>0.72499999999999998</v>
      </c>
      <c r="W35" s="45">
        <f t="shared" ref="W35" si="67">+W34/W31</f>
        <v>0.68484848484848482</v>
      </c>
      <c r="X35" s="46"/>
      <c r="Y35" s="46"/>
      <c r="Z35" s="46"/>
      <c r="AA35" s="46"/>
      <c r="AB35" s="46"/>
      <c r="AC35" s="46"/>
      <c r="AD35" s="46"/>
    </row>
    <row r="36" spans="1:30" s="48" customFormat="1" ht="8.25" x14ac:dyDescent="0.15">
      <c r="A36" s="90"/>
      <c r="B36" s="44" t="s">
        <v>34</v>
      </c>
      <c r="C36" s="46">
        <f>+(C34-C33-C30)/(C31-C30)</f>
        <v>0.58638743455497377</v>
      </c>
      <c r="D36" s="46">
        <f t="shared" ref="D36:T36" si="68">+(D34-D33-D30)/(D31-D30)</f>
        <v>0.58415841584158412</v>
      </c>
      <c r="E36" s="46">
        <f t="shared" si="68"/>
        <v>0.61732851985559567</v>
      </c>
      <c r="F36" s="46">
        <f t="shared" si="68"/>
        <v>0.625</v>
      </c>
      <c r="G36" s="45">
        <f t="shared" ref="G36" si="69">+(G34-G33-G30)/(G31-G30)</f>
        <v>0.70529801324503316</v>
      </c>
      <c r="H36" s="46"/>
      <c r="I36" s="46"/>
      <c r="J36" s="46"/>
      <c r="K36" s="46"/>
      <c r="L36" s="47"/>
      <c r="M36" s="46">
        <f t="shared" si="68"/>
        <v>0.58762886597938147</v>
      </c>
      <c r="N36" s="46">
        <f t="shared" si="68"/>
        <v>0.58510638297872342</v>
      </c>
      <c r="O36" s="46">
        <f t="shared" si="68"/>
        <v>0.51898734177215189</v>
      </c>
      <c r="P36" s="46">
        <f t="shared" si="68"/>
        <v>0.62601626016260159</v>
      </c>
      <c r="Q36" s="46">
        <f t="shared" si="68"/>
        <v>0.58536585365853655</v>
      </c>
      <c r="R36" s="46">
        <f t="shared" si="68"/>
        <v>0.6428571428571429</v>
      </c>
      <c r="S36" s="46">
        <f t="shared" si="68"/>
        <v>0.61267605633802813</v>
      </c>
      <c r="T36" s="46">
        <f t="shared" si="68"/>
        <v>0.63698630136986301</v>
      </c>
      <c r="U36" s="46">
        <f t="shared" ref="U36:V36" si="70">+(U34-U33-U30)/(U31-U30)</f>
        <v>0.68309859154929575</v>
      </c>
      <c r="V36" s="46">
        <f t="shared" si="70"/>
        <v>0.72499999999999998</v>
      </c>
      <c r="W36" s="45">
        <f t="shared" ref="W36" si="71">+(W34-W33-W30)/(W31-W30)</f>
        <v>0.68484848484848482</v>
      </c>
      <c r="X36" s="46"/>
      <c r="Y36" s="46"/>
      <c r="Z36" s="46"/>
      <c r="AA36" s="46"/>
      <c r="AB36" s="46"/>
      <c r="AC36" s="46"/>
      <c r="AD36" s="46"/>
    </row>
    <row r="37" spans="1:30" s="9" customFormat="1" ht="12" customHeight="1" x14ac:dyDescent="0.2">
      <c r="A37" s="90"/>
      <c r="B37" s="14" t="s">
        <v>35</v>
      </c>
      <c r="C37" s="15">
        <v>-1500000</v>
      </c>
      <c r="D37" s="15">
        <v>-2000000</v>
      </c>
      <c r="E37" s="15">
        <v>-2900000</v>
      </c>
      <c r="F37" s="15">
        <v>-2900000</v>
      </c>
      <c r="G37" s="37">
        <v>-4100000</v>
      </c>
      <c r="H37" s="15"/>
      <c r="I37" s="15"/>
      <c r="J37" s="15"/>
      <c r="K37" s="15"/>
      <c r="L37" s="8"/>
      <c r="M37" s="15">
        <v>-700000</v>
      </c>
      <c r="N37" s="15">
        <f t="shared" ref="N37:N38" si="72">ROUND(C37,-5)-ROUND(M37,-5)</f>
        <v>-800000</v>
      </c>
      <c r="O37" s="15">
        <v>-1000000</v>
      </c>
      <c r="P37" s="15">
        <f t="shared" ref="P37:P38" si="73">ROUND(D37,-5)-ROUND(O37,-5)</f>
        <v>-1000000</v>
      </c>
      <c r="Q37" s="15">
        <v>-1500000</v>
      </c>
      <c r="R37" s="15">
        <f t="shared" ref="R37:R38" si="74">ROUND(E37,-5)-ROUND(Q37,-5)</f>
        <v>-1400000</v>
      </c>
      <c r="S37" s="15">
        <v>-1500000</v>
      </c>
      <c r="T37" s="15">
        <f t="shared" ref="T37:T38" si="75">ROUND(F37,-5)-ROUND(S37,-5)</f>
        <v>-1400000</v>
      </c>
      <c r="U37" s="15">
        <v>-2000000</v>
      </c>
      <c r="V37" s="15">
        <f>G37-U37</f>
        <v>-2100000</v>
      </c>
      <c r="W37" s="37">
        <v>-2200000</v>
      </c>
      <c r="X37" s="15"/>
      <c r="Y37" s="15"/>
      <c r="Z37" s="15"/>
      <c r="AA37" s="15"/>
      <c r="AB37" s="15"/>
      <c r="AC37" s="15"/>
      <c r="AD37" s="15"/>
    </row>
    <row r="38" spans="1:30" s="9" customFormat="1" ht="12" customHeight="1" x14ac:dyDescent="0.2">
      <c r="A38" s="90"/>
      <c r="B38" s="14" t="s">
        <v>36</v>
      </c>
      <c r="C38" s="15">
        <v>-3500000</v>
      </c>
      <c r="D38" s="15">
        <v>-3400000</v>
      </c>
      <c r="E38" s="15">
        <v>-4300000</v>
      </c>
      <c r="F38" s="15">
        <v>-5400000</v>
      </c>
      <c r="G38" s="37">
        <v>-5200000</v>
      </c>
      <c r="H38" s="15"/>
      <c r="I38" s="15"/>
      <c r="J38" s="15"/>
      <c r="K38" s="15"/>
      <c r="L38" s="8"/>
      <c r="M38" s="15">
        <v>-1900000</v>
      </c>
      <c r="N38" s="15">
        <f t="shared" si="72"/>
        <v>-1600000</v>
      </c>
      <c r="O38" s="15">
        <v>-1800000</v>
      </c>
      <c r="P38" s="15">
        <f t="shared" si="73"/>
        <v>-1600000</v>
      </c>
      <c r="Q38" s="15">
        <v>-2100000</v>
      </c>
      <c r="R38" s="15">
        <f t="shared" si="74"/>
        <v>-2200000</v>
      </c>
      <c r="S38" s="15">
        <v>-2700000</v>
      </c>
      <c r="T38" s="15">
        <f t="shared" si="75"/>
        <v>-2700000</v>
      </c>
      <c r="U38" s="15">
        <v>-2200000</v>
      </c>
      <c r="V38" s="15">
        <f>G38-U38</f>
        <v>-3000000</v>
      </c>
      <c r="W38" s="37">
        <v>-2400000</v>
      </c>
      <c r="X38" s="15"/>
      <c r="Y38" s="15"/>
      <c r="Z38" s="15"/>
      <c r="AA38" s="15"/>
      <c r="AB38" s="15"/>
      <c r="AC38" s="15"/>
      <c r="AD38" s="15"/>
    </row>
    <row r="39" spans="1:30" s="9" customFormat="1" ht="12" customHeight="1" thickBot="1" x14ac:dyDescent="0.25">
      <c r="A39" s="90"/>
      <c r="B39" s="19" t="s">
        <v>37</v>
      </c>
      <c r="C39" s="20">
        <f>+C34+C37+C38</f>
        <v>6200000</v>
      </c>
      <c r="D39" s="20">
        <f>+D34+D37+D38</f>
        <v>6400000</v>
      </c>
      <c r="E39" s="20">
        <f>+E34+E37+E38</f>
        <v>9900000</v>
      </c>
      <c r="F39" s="20">
        <f>+F34+F37+F38</f>
        <v>9700000</v>
      </c>
      <c r="G39" s="39">
        <f>+G34+G37+G38</f>
        <v>12000000</v>
      </c>
      <c r="H39" s="20">
        <f t="shared" ref="H39:K39" si="76">+H34+H37+H38</f>
        <v>0</v>
      </c>
      <c r="I39" s="20">
        <f t="shared" si="76"/>
        <v>0</v>
      </c>
      <c r="J39" s="20">
        <f t="shared" si="76"/>
        <v>0</v>
      </c>
      <c r="K39" s="20">
        <f t="shared" si="76"/>
        <v>0</v>
      </c>
      <c r="L39" s="8"/>
      <c r="M39" s="20">
        <f t="shared" ref="M39:T39" si="77">+M34+M37+M38</f>
        <v>3100000</v>
      </c>
      <c r="N39" s="20">
        <f t="shared" si="77"/>
        <v>3100000</v>
      </c>
      <c r="O39" s="20">
        <f t="shared" si="77"/>
        <v>1300000</v>
      </c>
      <c r="P39" s="20">
        <f t="shared" si="77"/>
        <v>5100000</v>
      </c>
      <c r="Q39" s="20">
        <f t="shared" si="77"/>
        <v>3600000</v>
      </c>
      <c r="R39" s="20">
        <f t="shared" si="77"/>
        <v>6300000</v>
      </c>
      <c r="S39" s="20">
        <f t="shared" si="77"/>
        <v>4500000</v>
      </c>
      <c r="T39" s="20">
        <f t="shared" si="77"/>
        <v>5200000</v>
      </c>
      <c r="U39" s="20">
        <f t="shared" ref="U39:W39" si="78">+U34+U37+U38</f>
        <v>5500000</v>
      </c>
      <c r="V39" s="20">
        <f t="shared" si="78"/>
        <v>6500000</v>
      </c>
      <c r="W39" s="39">
        <f t="shared" si="78"/>
        <v>6700000</v>
      </c>
      <c r="X39" s="20">
        <f t="shared" ref="X39:AD39" si="79">+X34+X37+X38</f>
        <v>0</v>
      </c>
      <c r="Y39" s="20">
        <f t="shared" si="79"/>
        <v>0</v>
      </c>
      <c r="Z39" s="20">
        <f t="shared" si="79"/>
        <v>0</v>
      </c>
      <c r="AA39" s="20">
        <f t="shared" si="79"/>
        <v>0</v>
      </c>
      <c r="AB39" s="20">
        <f t="shared" si="79"/>
        <v>0</v>
      </c>
      <c r="AC39" s="20">
        <f t="shared" si="79"/>
        <v>0</v>
      </c>
      <c r="AD39" s="20">
        <f t="shared" si="79"/>
        <v>0</v>
      </c>
    </row>
    <row r="40" spans="1:30" s="48" customFormat="1" ht="8.25" x14ac:dyDescent="0.15">
      <c r="A40" s="90"/>
      <c r="B40" s="44" t="s">
        <v>38</v>
      </c>
      <c r="C40" s="46">
        <f>+C39/C31</f>
        <v>0.32460732984293195</v>
      </c>
      <c r="D40" s="46">
        <f>+D39/D31</f>
        <v>0.31683168316831684</v>
      </c>
      <c r="E40" s="46">
        <f>+E39/E31</f>
        <v>0.35740072202166068</v>
      </c>
      <c r="F40" s="46">
        <f>+F39/F31</f>
        <v>0.33680555555555558</v>
      </c>
      <c r="G40" s="45">
        <f t="shared" ref="G40" si="80">+G39/G31</f>
        <v>0.39735099337748342</v>
      </c>
      <c r="H40" s="46"/>
      <c r="I40" s="46"/>
      <c r="J40" s="46"/>
      <c r="K40" s="46"/>
      <c r="L40" s="47"/>
      <c r="M40" s="46">
        <f t="shared" ref="M40:T40" si="81">+M39/M31</f>
        <v>0.31958762886597936</v>
      </c>
      <c r="N40" s="46">
        <f t="shared" si="81"/>
        <v>0.32978723404255317</v>
      </c>
      <c r="O40" s="46">
        <f t="shared" si="81"/>
        <v>0.16455696202531644</v>
      </c>
      <c r="P40" s="46">
        <f t="shared" si="81"/>
        <v>0.41463414634146339</v>
      </c>
      <c r="Q40" s="46">
        <f t="shared" si="81"/>
        <v>0.29268292682926828</v>
      </c>
      <c r="R40" s="46">
        <f t="shared" si="81"/>
        <v>0.40909090909090912</v>
      </c>
      <c r="S40" s="46">
        <f t="shared" si="81"/>
        <v>0.31690140845070425</v>
      </c>
      <c r="T40" s="46">
        <f t="shared" si="81"/>
        <v>0.35616438356164382</v>
      </c>
      <c r="U40" s="46">
        <f t="shared" ref="U40:W40" si="82">+U39/U31</f>
        <v>0.38732394366197181</v>
      </c>
      <c r="V40" s="46">
        <f t="shared" si="82"/>
        <v>0.40625</v>
      </c>
      <c r="W40" s="45">
        <f t="shared" si="82"/>
        <v>0.40606060606060607</v>
      </c>
      <c r="X40" s="46"/>
      <c r="Y40" s="46"/>
      <c r="Z40" s="46"/>
      <c r="AA40" s="46"/>
      <c r="AB40" s="46"/>
      <c r="AC40" s="46"/>
      <c r="AD40" s="46"/>
    </row>
    <row r="41" spans="1:30" s="8" customFormat="1" ht="12" customHeight="1" x14ac:dyDescent="0.25">
      <c r="A41" s="7"/>
    </row>
    <row r="42" spans="1:30" s="13" customFormat="1" ht="16.5" thickBot="1" x14ac:dyDescent="0.3">
      <c r="A42" s="2"/>
      <c r="B42" s="10" t="s">
        <v>41</v>
      </c>
      <c r="C42" s="11" t="s">
        <v>5</v>
      </c>
      <c r="D42" s="11" t="s">
        <v>6</v>
      </c>
      <c r="E42" s="11" t="s">
        <v>7</v>
      </c>
      <c r="F42" s="11" t="s">
        <v>8</v>
      </c>
      <c r="G42" s="11" t="s">
        <v>9</v>
      </c>
      <c r="H42" s="11" t="s">
        <v>10</v>
      </c>
      <c r="I42" s="11" t="s">
        <v>11</v>
      </c>
      <c r="J42" s="11" t="s">
        <v>12</v>
      </c>
      <c r="K42" s="11" t="s">
        <v>13</v>
      </c>
      <c r="L42" s="12"/>
      <c r="M42" s="11" t="s">
        <v>14</v>
      </c>
      <c r="N42" s="11" t="s">
        <v>15</v>
      </c>
      <c r="O42" s="11" t="s">
        <v>16</v>
      </c>
      <c r="P42" s="11" t="s">
        <v>17</v>
      </c>
      <c r="Q42" s="11" t="s">
        <v>18</v>
      </c>
      <c r="R42" s="11" t="s">
        <v>19</v>
      </c>
      <c r="S42" s="11" t="s">
        <v>20</v>
      </c>
      <c r="T42" s="11" t="s">
        <v>21</v>
      </c>
      <c r="U42" s="11" t="s">
        <v>22</v>
      </c>
      <c r="V42" s="11" t="s">
        <v>182</v>
      </c>
      <c r="W42" s="11" t="s">
        <v>183</v>
      </c>
      <c r="X42" s="11" t="s">
        <v>184</v>
      </c>
      <c r="Y42" s="11" t="s">
        <v>185</v>
      </c>
      <c r="Z42" s="11" t="s">
        <v>186</v>
      </c>
      <c r="AA42" s="11" t="s">
        <v>187</v>
      </c>
      <c r="AB42" s="11" t="s">
        <v>188</v>
      </c>
      <c r="AC42" s="11" t="s">
        <v>189</v>
      </c>
      <c r="AD42" s="11" t="s">
        <v>190</v>
      </c>
    </row>
    <row r="43" spans="1:30" s="9" customFormat="1" ht="12" customHeight="1" thickTop="1" x14ac:dyDescent="0.2">
      <c r="A43" s="90" t="s">
        <v>0</v>
      </c>
      <c r="B43" s="14" t="s">
        <v>24</v>
      </c>
      <c r="C43" s="15">
        <f t="shared" ref="C43:G46" si="83">+C9+C26</f>
        <v>23900000</v>
      </c>
      <c r="D43" s="15">
        <f t="shared" si="83"/>
        <v>27800000</v>
      </c>
      <c r="E43" s="15">
        <f t="shared" si="83"/>
        <v>38400000</v>
      </c>
      <c r="F43" s="15">
        <f t="shared" si="83"/>
        <v>45900000</v>
      </c>
      <c r="G43" s="37">
        <f t="shared" si="83"/>
        <v>55700000</v>
      </c>
      <c r="H43" s="15"/>
      <c r="I43" s="15"/>
      <c r="J43" s="15"/>
      <c r="K43" s="15"/>
      <c r="L43" s="8"/>
      <c r="M43" s="15">
        <f>+M9+M26</f>
        <v>11500000</v>
      </c>
      <c r="N43" s="15">
        <f t="shared" ref="N43:N44" si="84">ROUND(C43,-5)-ROUND(M43,-5)</f>
        <v>12400000</v>
      </c>
      <c r="O43" s="15">
        <f>+O9+O26</f>
        <v>12100000</v>
      </c>
      <c r="P43" s="15">
        <f t="shared" ref="P43:P44" si="85">ROUND(D43,-5)-ROUND(O43,-5)</f>
        <v>15700000</v>
      </c>
      <c r="Q43" s="15">
        <f>+Q9+Q26</f>
        <v>18000000</v>
      </c>
      <c r="R43" s="15">
        <f t="shared" ref="R43:R44" si="86">ROUND(E43,-5)-ROUND(Q43,-5)</f>
        <v>20400000</v>
      </c>
      <c r="S43" s="15">
        <f>+S9+S26</f>
        <v>21100000</v>
      </c>
      <c r="T43" s="15">
        <f t="shared" ref="T43:T44" si="87">ROUND(F43,-5)-ROUND(S43,-5)</f>
        <v>24800000</v>
      </c>
      <c r="U43" s="15">
        <f t="shared" ref="U43:AD43" si="88">+ROUND(U9,-5)+ROUND(U26,-5)</f>
        <v>25400000</v>
      </c>
      <c r="V43" s="15">
        <f t="shared" si="88"/>
        <v>30300000</v>
      </c>
      <c r="W43" s="37">
        <f t="shared" si="88"/>
        <v>31600000</v>
      </c>
      <c r="X43" s="15">
        <f t="shared" si="88"/>
        <v>0</v>
      </c>
      <c r="Y43" s="15">
        <f t="shared" si="88"/>
        <v>0</v>
      </c>
      <c r="Z43" s="15">
        <f t="shared" si="88"/>
        <v>0</v>
      </c>
      <c r="AA43" s="15">
        <f t="shared" si="88"/>
        <v>0</v>
      </c>
      <c r="AB43" s="15">
        <f t="shared" si="88"/>
        <v>0</v>
      </c>
      <c r="AC43" s="15">
        <f t="shared" si="88"/>
        <v>0</v>
      </c>
      <c r="AD43" s="15">
        <f t="shared" si="88"/>
        <v>0</v>
      </c>
    </row>
    <row r="44" spans="1:30" s="9" customFormat="1" ht="12" customHeight="1" x14ac:dyDescent="0.2">
      <c r="A44" s="90"/>
      <c r="B44" s="14" t="s">
        <v>25</v>
      </c>
      <c r="C44" s="15">
        <f t="shared" si="83"/>
        <v>41600000</v>
      </c>
      <c r="D44" s="15">
        <f t="shared" si="83"/>
        <v>53600000</v>
      </c>
      <c r="E44" s="15">
        <f t="shared" si="83"/>
        <v>73900000</v>
      </c>
      <c r="F44" s="15">
        <f t="shared" si="83"/>
        <v>78100000</v>
      </c>
      <c r="G44" s="37">
        <f t="shared" si="83"/>
        <v>78900000</v>
      </c>
      <c r="H44" s="15"/>
      <c r="I44" s="15"/>
      <c r="J44" s="15"/>
      <c r="K44" s="15"/>
      <c r="L44" s="8"/>
      <c r="M44" s="15">
        <f>+M10+M27</f>
        <v>21400000</v>
      </c>
      <c r="N44" s="15">
        <f t="shared" si="84"/>
        <v>20200000</v>
      </c>
      <c r="O44" s="15">
        <f>+O10+O27</f>
        <v>25200000</v>
      </c>
      <c r="P44" s="15">
        <f t="shared" si="85"/>
        <v>28400000</v>
      </c>
      <c r="Q44" s="15">
        <f>+Q10+Q27</f>
        <v>35500000</v>
      </c>
      <c r="R44" s="15">
        <f t="shared" si="86"/>
        <v>38400000</v>
      </c>
      <c r="S44" s="15">
        <f>+S10+S27</f>
        <v>39400000</v>
      </c>
      <c r="T44" s="15">
        <f t="shared" si="87"/>
        <v>38700000</v>
      </c>
      <c r="U44" s="15">
        <f t="shared" ref="U44:AD44" si="89">+ROUND(U10,-5)+ROUND(U27,-5)</f>
        <v>38000000</v>
      </c>
      <c r="V44" s="15">
        <f t="shared" si="89"/>
        <v>40900000</v>
      </c>
      <c r="W44" s="37">
        <f t="shared" si="89"/>
        <v>38800000</v>
      </c>
      <c r="X44" s="15">
        <f t="shared" si="89"/>
        <v>0</v>
      </c>
      <c r="Y44" s="15">
        <f t="shared" si="89"/>
        <v>0</v>
      </c>
      <c r="Z44" s="15">
        <f t="shared" si="89"/>
        <v>0</v>
      </c>
      <c r="AA44" s="15">
        <f t="shared" si="89"/>
        <v>0</v>
      </c>
      <c r="AB44" s="15">
        <f t="shared" si="89"/>
        <v>0</v>
      </c>
      <c r="AC44" s="15">
        <f t="shared" si="89"/>
        <v>0</v>
      </c>
      <c r="AD44" s="15">
        <f t="shared" si="89"/>
        <v>0</v>
      </c>
    </row>
    <row r="45" spans="1:30" s="9" customFormat="1" ht="12" customHeight="1" x14ac:dyDescent="0.2">
      <c r="A45" s="90"/>
      <c r="B45" s="16" t="s">
        <v>26</v>
      </c>
      <c r="C45" s="17">
        <f t="shared" si="83"/>
        <v>65500000</v>
      </c>
      <c r="D45" s="17">
        <f t="shared" si="83"/>
        <v>81400000</v>
      </c>
      <c r="E45" s="17">
        <f t="shared" si="83"/>
        <v>112300000</v>
      </c>
      <c r="F45" s="17">
        <f t="shared" si="83"/>
        <v>124000000</v>
      </c>
      <c r="G45" s="38">
        <f t="shared" si="83"/>
        <v>134600000</v>
      </c>
      <c r="H45" s="17">
        <f>+H11+H28</f>
        <v>0</v>
      </c>
      <c r="I45" s="17">
        <f>+I11+I28</f>
        <v>0</v>
      </c>
      <c r="J45" s="17">
        <f>+J11+J28</f>
        <v>0</v>
      </c>
      <c r="K45" s="17">
        <f>+K11+K28</f>
        <v>0</v>
      </c>
      <c r="L45" s="8"/>
      <c r="M45" s="17">
        <f>+M11+M28</f>
        <v>32900000</v>
      </c>
      <c r="N45" s="17">
        <f t="shared" ref="N45:N51" si="90">+C45-M45</f>
        <v>32600000</v>
      </c>
      <c r="O45" s="17">
        <f>+O11+O28</f>
        <v>37300000</v>
      </c>
      <c r="P45" s="17">
        <f t="shared" ref="P45:P51" si="91">+D45-O45</f>
        <v>44100000</v>
      </c>
      <c r="Q45" s="17">
        <f>+Q11+Q28</f>
        <v>53500000</v>
      </c>
      <c r="R45" s="17">
        <f t="shared" ref="R45:R51" si="92">+E45-Q45</f>
        <v>58800000</v>
      </c>
      <c r="S45" s="17">
        <f>+S11+S28</f>
        <v>60500000</v>
      </c>
      <c r="T45" s="17">
        <f t="shared" ref="T45:T51" si="93">+F45-S45</f>
        <v>63500000</v>
      </c>
      <c r="U45" s="17">
        <f>SUM(U43:U44)</f>
        <v>63400000</v>
      </c>
      <c r="V45" s="17">
        <f>SUM(V43:V44)</f>
        <v>71200000</v>
      </c>
      <c r="W45" s="38">
        <f t="shared" ref="W45" si="94">SUM(W43:W44)</f>
        <v>70400000</v>
      </c>
      <c r="X45" s="17">
        <f t="shared" ref="X45" si="95">SUM(X43:X44)</f>
        <v>0</v>
      </c>
      <c r="Y45" s="17">
        <f t="shared" ref="Y45" si="96">SUM(Y43:Y44)</f>
        <v>0</v>
      </c>
      <c r="Z45" s="17">
        <f t="shared" ref="Z45" si="97">SUM(Z43:Z44)</f>
        <v>0</v>
      </c>
      <c r="AA45" s="17">
        <f t="shared" ref="AA45" si="98">SUM(AA43:AA44)</f>
        <v>0</v>
      </c>
      <c r="AB45" s="17">
        <f t="shared" ref="AB45" si="99">SUM(AB43:AB44)</f>
        <v>0</v>
      </c>
      <c r="AC45" s="17">
        <f t="shared" ref="AC45" si="100">SUM(AC43:AC44)</f>
        <v>0</v>
      </c>
      <c r="AD45" s="17">
        <f t="shared" ref="AD45" si="101">SUM(AD43:AD44)</f>
        <v>0</v>
      </c>
    </row>
    <row r="46" spans="1:30" s="9" customFormat="1" ht="12" customHeight="1" x14ac:dyDescent="0.2">
      <c r="A46" s="90"/>
      <c r="B46" s="14" t="s">
        <v>27</v>
      </c>
      <c r="C46" s="15">
        <f t="shared" si="83"/>
        <v>18700000</v>
      </c>
      <c r="D46" s="15">
        <f t="shared" si="83"/>
        <v>15200000</v>
      </c>
      <c r="E46" s="15">
        <f t="shared" si="83"/>
        <v>16600000</v>
      </c>
      <c r="F46" s="15">
        <f t="shared" si="83"/>
        <v>15300000</v>
      </c>
      <c r="G46" s="37">
        <f t="shared" si="83"/>
        <v>13400000</v>
      </c>
      <c r="H46" s="15"/>
      <c r="I46" s="15"/>
      <c r="J46" s="15"/>
      <c r="K46" s="15"/>
      <c r="L46" s="8"/>
      <c r="M46" s="15">
        <f>+M12+M29</f>
        <v>9400000</v>
      </c>
      <c r="N46" s="15">
        <f>ROUND(C46,-5)-ROUND(M46,-5)</f>
        <v>9300000</v>
      </c>
      <c r="O46" s="15">
        <f>+O12+O29</f>
        <v>7000000</v>
      </c>
      <c r="P46" s="15">
        <f>ROUND(D46,-5)-ROUND(O46,-5)</f>
        <v>8200000</v>
      </c>
      <c r="Q46" s="15">
        <f>+Q12+Q29</f>
        <v>6000000</v>
      </c>
      <c r="R46" s="15">
        <f>ROUND(E46,-5)-ROUND(Q46,-5)</f>
        <v>10600000</v>
      </c>
      <c r="S46" s="15">
        <f>+S12+S29</f>
        <v>7600000</v>
      </c>
      <c r="T46" s="15">
        <f>ROUND(F46,-5)-ROUND(S46,-5)</f>
        <v>7700000</v>
      </c>
      <c r="U46" s="15">
        <f t="shared" ref="U46:AD46" si="102">+ROUND(U12,-5)+ROUND(U29,-5)</f>
        <v>5300000</v>
      </c>
      <c r="V46" s="15">
        <f t="shared" si="102"/>
        <v>8100000</v>
      </c>
      <c r="W46" s="37">
        <f t="shared" si="102"/>
        <v>5500000</v>
      </c>
      <c r="X46" s="15">
        <f t="shared" si="102"/>
        <v>0</v>
      </c>
      <c r="Y46" s="15">
        <f t="shared" si="102"/>
        <v>0</v>
      </c>
      <c r="Z46" s="15">
        <f t="shared" si="102"/>
        <v>0</v>
      </c>
      <c r="AA46" s="15">
        <f t="shared" si="102"/>
        <v>0</v>
      </c>
      <c r="AB46" s="15">
        <f t="shared" si="102"/>
        <v>0</v>
      </c>
      <c r="AC46" s="15">
        <f t="shared" si="102"/>
        <v>0</v>
      </c>
      <c r="AD46" s="15">
        <f t="shared" si="102"/>
        <v>0</v>
      </c>
    </row>
    <row r="47" spans="1:30" s="9" customFormat="1" ht="12" customHeight="1" x14ac:dyDescent="0.2">
      <c r="A47" s="90"/>
      <c r="B47" s="14" t="s">
        <v>28</v>
      </c>
      <c r="C47" s="15">
        <f>+C13</f>
        <v>3300000</v>
      </c>
      <c r="D47" s="15">
        <f>+D13</f>
        <v>1500000</v>
      </c>
      <c r="E47" s="15">
        <f>+E13</f>
        <v>6200000</v>
      </c>
      <c r="F47" s="15">
        <f>+F13</f>
        <v>3700000</v>
      </c>
      <c r="G47" s="37">
        <f>+G13+G30</f>
        <v>2000000</v>
      </c>
      <c r="H47" s="15"/>
      <c r="I47" s="15"/>
      <c r="J47" s="15"/>
      <c r="K47" s="15"/>
      <c r="L47" s="8"/>
      <c r="M47" s="15">
        <f t="shared" ref="M47:T47" si="103">+M13</f>
        <v>2500000</v>
      </c>
      <c r="N47" s="15">
        <f t="shared" si="103"/>
        <v>800000</v>
      </c>
      <c r="O47" s="15">
        <f t="shared" si="103"/>
        <v>600000</v>
      </c>
      <c r="P47" s="15">
        <f t="shared" si="103"/>
        <v>900000</v>
      </c>
      <c r="Q47" s="15">
        <f t="shared" si="103"/>
        <v>2900000</v>
      </c>
      <c r="R47" s="15">
        <f t="shared" si="103"/>
        <v>3300000</v>
      </c>
      <c r="S47" s="15">
        <f t="shared" si="103"/>
        <v>1600000</v>
      </c>
      <c r="T47" s="15">
        <f t="shared" si="103"/>
        <v>2100000</v>
      </c>
      <c r="U47" s="15">
        <f t="shared" ref="U47:AD47" si="104">+ROUND(U13,-5)+ROUND(U30,-5)</f>
        <v>900000</v>
      </c>
      <c r="V47" s="15">
        <f t="shared" si="104"/>
        <v>1100000</v>
      </c>
      <c r="W47" s="37">
        <f t="shared" si="104"/>
        <v>1100000</v>
      </c>
      <c r="X47" s="15">
        <f t="shared" si="104"/>
        <v>0</v>
      </c>
      <c r="Y47" s="15">
        <f t="shared" si="104"/>
        <v>0</v>
      </c>
      <c r="Z47" s="15">
        <f t="shared" si="104"/>
        <v>0</v>
      </c>
      <c r="AA47" s="15">
        <f t="shared" si="104"/>
        <v>0</v>
      </c>
      <c r="AB47" s="15">
        <f t="shared" si="104"/>
        <v>0</v>
      </c>
      <c r="AC47" s="15">
        <f t="shared" si="104"/>
        <v>0</v>
      </c>
      <c r="AD47" s="15">
        <f t="shared" si="104"/>
        <v>0</v>
      </c>
    </row>
    <row r="48" spans="1:30" s="9" customFormat="1" ht="12" customHeight="1" x14ac:dyDescent="0.2">
      <c r="A48" s="90"/>
      <c r="B48" s="16" t="s">
        <v>29</v>
      </c>
      <c r="C48" s="17">
        <f t="shared" ref="C48:F51" si="105">+C14+C31</f>
        <v>87500000</v>
      </c>
      <c r="D48" s="17">
        <f t="shared" si="105"/>
        <v>98100000</v>
      </c>
      <c r="E48" s="17">
        <f t="shared" si="105"/>
        <v>135100000</v>
      </c>
      <c r="F48" s="17">
        <f t="shared" si="105"/>
        <v>143000000</v>
      </c>
      <c r="G48" s="38">
        <f>+G14+G31</f>
        <v>150000000</v>
      </c>
      <c r="H48" s="17">
        <f>+H14+H31</f>
        <v>0</v>
      </c>
      <c r="I48" s="17">
        <f>+I14+I31</f>
        <v>0</v>
      </c>
      <c r="J48" s="17">
        <f>+J14+J31</f>
        <v>0</v>
      </c>
      <c r="K48" s="17">
        <f>+K14+K31</f>
        <v>0</v>
      </c>
      <c r="L48" s="8"/>
      <c r="M48" s="17">
        <f>+M14+M31</f>
        <v>44800000</v>
      </c>
      <c r="N48" s="17">
        <f t="shared" si="90"/>
        <v>42700000</v>
      </c>
      <c r="O48" s="17">
        <f>+O14+O31</f>
        <v>44900000</v>
      </c>
      <c r="P48" s="17">
        <f t="shared" si="91"/>
        <v>53200000</v>
      </c>
      <c r="Q48" s="17">
        <f>+Q14+Q31</f>
        <v>62400000</v>
      </c>
      <c r="R48" s="17">
        <f t="shared" si="92"/>
        <v>72700000</v>
      </c>
      <c r="S48" s="17">
        <f>+S14+S31</f>
        <v>69700000</v>
      </c>
      <c r="T48" s="17">
        <f t="shared" si="93"/>
        <v>73300000</v>
      </c>
      <c r="U48" s="17">
        <f>SUM(U45:U47)</f>
        <v>69600000</v>
      </c>
      <c r="V48" s="17">
        <f>SUM(V45:V47)</f>
        <v>80400000</v>
      </c>
      <c r="W48" s="38">
        <f t="shared" ref="W48" si="106">SUM(W45:W47)</f>
        <v>77000000</v>
      </c>
      <c r="X48" s="17">
        <f t="shared" ref="X48" si="107">SUM(X45:X47)</f>
        <v>0</v>
      </c>
      <c r="Y48" s="17">
        <f t="shared" ref="Y48" si="108">SUM(Y45:Y47)</f>
        <v>0</v>
      </c>
      <c r="Z48" s="17">
        <f t="shared" ref="Z48" si="109">SUM(Z45:Z47)</f>
        <v>0</v>
      </c>
      <c r="AA48" s="17">
        <f t="shared" ref="AA48" si="110">SUM(AA45:AA47)</f>
        <v>0</v>
      </c>
      <c r="AB48" s="17">
        <f t="shared" ref="AB48" si="111">SUM(AB45:AB47)</f>
        <v>0</v>
      </c>
      <c r="AC48" s="17">
        <f t="shared" ref="AC48" si="112">SUM(AC45:AC47)</f>
        <v>0</v>
      </c>
      <c r="AD48" s="17">
        <f t="shared" ref="AD48" si="113">SUM(AD45:AD47)</f>
        <v>0</v>
      </c>
    </row>
    <row r="49" spans="1:38" s="9" customFormat="1" ht="12" customHeight="1" x14ac:dyDescent="0.2">
      <c r="A49" s="90"/>
      <c r="B49" s="14" t="s">
        <v>30</v>
      </c>
      <c r="C49" s="15">
        <f t="shared" si="105"/>
        <v>-34500000</v>
      </c>
      <c r="D49" s="15">
        <f t="shared" si="105"/>
        <v>-35100000</v>
      </c>
      <c r="E49" s="15">
        <f t="shared" si="105"/>
        <v>-45900000</v>
      </c>
      <c r="F49" s="15">
        <f t="shared" si="105"/>
        <v>-50700000</v>
      </c>
      <c r="G49" s="37">
        <f>+G15+G32</f>
        <v>-59000000</v>
      </c>
      <c r="H49" s="15"/>
      <c r="I49" s="15"/>
      <c r="J49" s="15"/>
      <c r="K49" s="15"/>
      <c r="L49" s="8"/>
      <c r="M49" s="15">
        <f>+M15+M32</f>
        <v>-16900000</v>
      </c>
      <c r="N49" s="15">
        <f t="shared" ref="N49:N50" si="114">ROUND(C49,-5)-ROUND(M49,-5)</f>
        <v>-17600000</v>
      </c>
      <c r="O49" s="15">
        <f>+O15+O32</f>
        <v>-16300000</v>
      </c>
      <c r="P49" s="15">
        <f t="shared" ref="P49:P50" si="115">ROUND(D49,-5)-ROUND(O49,-5)</f>
        <v>-18800000</v>
      </c>
      <c r="Q49" s="15">
        <f>+Q15+Q32</f>
        <v>-21600000</v>
      </c>
      <c r="R49" s="15">
        <f t="shared" ref="R49:R50" si="116">ROUND(E49,-5)-ROUND(Q49,-5)</f>
        <v>-24300000</v>
      </c>
      <c r="S49" s="15">
        <f>+S15+S32</f>
        <v>-25300000</v>
      </c>
      <c r="T49" s="15">
        <f t="shared" ref="T49:T50" si="117">ROUND(F49,-5)-ROUND(S49,-5)</f>
        <v>-25400000</v>
      </c>
      <c r="U49" s="15">
        <f t="shared" ref="U49:AD49" si="118">+ROUND(U15,-5)+ROUND(U32,-5)</f>
        <v>-28400000</v>
      </c>
      <c r="V49" s="15">
        <f t="shared" si="118"/>
        <v>-30600000</v>
      </c>
      <c r="W49" s="37">
        <f t="shared" si="118"/>
        <v>-32100000</v>
      </c>
      <c r="X49" s="15">
        <f t="shared" si="118"/>
        <v>0</v>
      </c>
      <c r="Y49" s="15">
        <f t="shared" si="118"/>
        <v>0</v>
      </c>
      <c r="Z49" s="15">
        <f t="shared" si="118"/>
        <v>0</v>
      </c>
      <c r="AA49" s="15">
        <f t="shared" si="118"/>
        <v>0</v>
      </c>
      <c r="AB49" s="15">
        <f t="shared" si="118"/>
        <v>0</v>
      </c>
      <c r="AC49" s="15">
        <f t="shared" si="118"/>
        <v>0</v>
      </c>
      <c r="AD49" s="15">
        <f t="shared" si="118"/>
        <v>0</v>
      </c>
    </row>
    <row r="50" spans="1:38" s="9" customFormat="1" ht="12" customHeight="1" x14ac:dyDescent="0.2">
      <c r="A50" s="90"/>
      <c r="B50" s="14" t="s">
        <v>31</v>
      </c>
      <c r="C50" s="15">
        <f t="shared" si="105"/>
        <v>-3000000</v>
      </c>
      <c r="D50" s="15">
        <f t="shared" si="105"/>
        <v>-1300000</v>
      </c>
      <c r="E50" s="15">
        <f t="shared" si="105"/>
        <v>-4700000</v>
      </c>
      <c r="F50" s="15">
        <f t="shared" si="105"/>
        <v>-2600000</v>
      </c>
      <c r="G50" s="37">
        <f>+G16+G33</f>
        <v>-1300000</v>
      </c>
      <c r="H50" s="15"/>
      <c r="I50" s="15"/>
      <c r="J50" s="15"/>
      <c r="K50" s="15"/>
      <c r="L50" s="8"/>
      <c r="M50" s="15">
        <f>+M16+M33</f>
        <v>-2100000</v>
      </c>
      <c r="N50" s="15">
        <f t="shared" si="114"/>
        <v>-900000</v>
      </c>
      <c r="O50" s="15">
        <f>+O16+O33</f>
        <v>-500000</v>
      </c>
      <c r="P50" s="15">
        <f t="shared" si="115"/>
        <v>-800000</v>
      </c>
      <c r="Q50" s="15">
        <f>+Q16+Q33</f>
        <v>-2400000</v>
      </c>
      <c r="R50" s="15">
        <f t="shared" si="116"/>
        <v>-2300000</v>
      </c>
      <c r="S50" s="15">
        <f>+S16+S33</f>
        <v>-1100000</v>
      </c>
      <c r="T50" s="15">
        <f t="shared" si="117"/>
        <v>-1500000</v>
      </c>
      <c r="U50" s="15">
        <f t="shared" ref="U50:AD50" si="119">+ROUND(U16,-5)+ROUND(U33,-5)</f>
        <v>-500000</v>
      </c>
      <c r="V50" s="15">
        <f t="shared" si="119"/>
        <v>-800000</v>
      </c>
      <c r="W50" s="37">
        <f t="shared" si="119"/>
        <v>-900000</v>
      </c>
      <c r="X50" s="15">
        <f t="shared" si="119"/>
        <v>0</v>
      </c>
      <c r="Y50" s="15">
        <f t="shared" si="119"/>
        <v>0</v>
      </c>
      <c r="Z50" s="15">
        <f t="shared" si="119"/>
        <v>0</v>
      </c>
      <c r="AA50" s="15">
        <f t="shared" si="119"/>
        <v>0</v>
      </c>
      <c r="AB50" s="15">
        <f t="shared" si="119"/>
        <v>0</v>
      </c>
      <c r="AC50" s="15">
        <f t="shared" si="119"/>
        <v>0</v>
      </c>
      <c r="AD50" s="15">
        <f t="shared" si="119"/>
        <v>0</v>
      </c>
    </row>
    <row r="51" spans="1:38" s="9" customFormat="1" ht="12" customHeight="1" x14ac:dyDescent="0.2">
      <c r="A51" s="90"/>
      <c r="B51" s="16" t="s">
        <v>32</v>
      </c>
      <c r="C51" s="17">
        <f t="shared" si="105"/>
        <v>50000000</v>
      </c>
      <c r="D51" s="17">
        <f t="shared" si="105"/>
        <v>61700000</v>
      </c>
      <c r="E51" s="17">
        <f t="shared" si="105"/>
        <v>84500000</v>
      </c>
      <c r="F51" s="17">
        <f t="shared" si="105"/>
        <v>89700000</v>
      </c>
      <c r="G51" s="38">
        <f>+G17+G34</f>
        <v>89700000</v>
      </c>
      <c r="H51" s="17">
        <f>+H17+H34</f>
        <v>0</v>
      </c>
      <c r="I51" s="17">
        <f>+I17+I34</f>
        <v>0</v>
      </c>
      <c r="J51" s="17">
        <f>+J17+J34</f>
        <v>0</v>
      </c>
      <c r="K51" s="17">
        <f>+K17+K34</f>
        <v>0</v>
      </c>
      <c r="L51" s="8"/>
      <c r="M51" s="17">
        <f>+M17+M34</f>
        <v>25800000</v>
      </c>
      <c r="N51" s="17">
        <f t="shared" si="90"/>
        <v>24200000</v>
      </c>
      <c r="O51" s="17">
        <f>+O17+O34</f>
        <v>28100000</v>
      </c>
      <c r="P51" s="17">
        <f t="shared" si="91"/>
        <v>33600000</v>
      </c>
      <c r="Q51" s="17">
        <f>+Q17+Q34</f>
        <v>38400000</v>
      </c>
      <c r="R51" s="17">
        <f t="shared" si="92"/>
        <v>46100000</v>
      </c>
      <c r="S51" s="17">
        <f>+S17+S34</f>
        <v>43300000</v>
      </c>
      <c r="T51" s="17">
        <f t="shared" si="93"/>
        <v>46400000</v>
      </c>
      <c r="U51" s="17">
        <f>SUM(U48:U50)</f>
        <v>40700000</v>
      </c>
      <c r="V51" s="17">
        <f t="shared" ref="V51:W51" si="120">SUM(V48:V50)</f>
        <v>49000000</v>
      </c>
      <c r="W51" s="38">
        <f t="shared" si="120"/>
        <v>44000000</v>
      </c>
      <c r="X51" s="17">
        <f t="shared" ref="X51" si="121">SUM(X48:X50)</f>
        <v>0</v>
      </c>
      <c r="Y51" s="17">
        <f t="shared" ref="Y51" si="122">SUM(Y48:Y50)</f>
        <v>0</v>
      </c>
      <c r="Z51" s="17">
        <f t="shared" ref="Z51" si="123">SUM(Z48:Z50)</f>
        <v>0</v>
      </c>
      <c r="AA51" s="17">
        <f t="shared" ref="AA51" si="124">SUM(AA48:AA50)</f>
        <v>0</v>
      </c>
      <c r="AB51" s="17">
        <f t="shared" ref="AB51" si="125">SUM(AB48:AB50)</f>
        <v>0</v>
      </c>
      <c r="AC51" s="17">
        <f t="shared" ref="AC51" si="126">SUM(AC48:AC50)</f>
        <v>0</v>
      </c>
      <c r="AD51" s="17">
        <f t="shared" ref="AD51" si="127">SUM(AD48:AD50)</f>
        <v>0</v>
      </c>
    </row>
    <row r="52" spans="1:38" s="48" customFormat="1" ht="8.25" x14ac:dyDescent="0.15">
      <c r="A52" s="90"/>
      <c r="B52" s="44" t="s">
        <v>33</v>
      </c>
      <c r="C52" s="46">
        <f t="shared" ref="C52" si="128">+C51/C48</f>
        <v>0.5714285714285714</v>
      </c>
      <c r="D52" s="46">
        <f>+D51/D48</f>
        <v>0.62895005096839962</v>
      </c>
      <c r="E52" s="46">
        <f>+E51/E48</f>
        <v>0.62546262028127309</v>
      </c>
      <c r="F52" s="46">
        <f>+F51/F48</f>
        <v>0.62727272727272732</v>
      </c>
      <c r="G52" s="45">
        <f t="shared" ref="G52" si="129">+G51/G48</f>
        <v>0.59799999999999998</v>
      </c>
      <c r="H52" s="46"/>
      <c r="I52" s="46"/>
      <c r="J52" s="46"/>
      <c r="K52" s="46"/>
      <c r="L52" s="47"/>
      <c r="M52" s="46">
        <f t="shared" ref="M52:T52" si="130">+M51/M48</f>
        <v>0.5758928571428571</v>
      </c>
      <c r="N52" s="46">
        <f t="shared" si="130"/>
        <v>0.56674473067915687</v>
      </c>
      <c r="O52" s="46">
        <f t="shared" si="130"/>
        <v>0.62583518930957682</v>
      </c>
      <c r="P52" s="46">
        <f t="shared" si="130"/>
        <v>0.63157894736842102</v>
      </c>
      <c r="Q52" s="46">
        <f t="shared" si="130"/>
        <v>0.61538461538461542</v>
      </c>
      <c r="R52" s="46">
        <f t="shared" si="130"/>
        <v>0.63411279229711137</v>
      </c>
      <c r="S52" s="46">
        <f t="shared" si="130"/>
        <v>0.62123385939741749</v>
      </c>
      <c r="T52" s="46">
        <f t="shared" si="130"/>
        <v>0.63301500682128242</v>
      </c>
      <c r="U52" s="46">
        <f t="shared" ref="U52:V52" si="131">+U51/U48</f>
        <v>0.58477011494252873</v>
      </c>
      <c r="V52" s="46">
        <f t="shared" si="131"/>
        <v>0.60945273631840791</v>
      </c>
      <c r="W52" s="45">
        <f t="shared" ref="W52" si="132">+W51/W48</f>
        <v>0.5714285714285714</v>
      </c>
      <c r="X52" s="46"/>
      <c r="Y52" s="46"/>
      <c r="Z52" s="46"/>
      <c r="AA52" s="46"/>
      <c r="AB52" s="46"/>
      <c r="AC52" s="46"/>
      <c r="AD52" s="46"/>
    </row>
    <row r="53" spans="1:38" s="48" customFormat="1" ht="8.25" x14ac:dyDescent="0.15">
      <c r="A53" s="90"/>
      <c r="B53" s="44" t="s">
        <v>34</v>
      </c>
      <c r="C53" s="46">
        <f>+(C51-C50-C47)/(C48-C47)</f>
        <v>0.59026128266033251</v>
      </c>
      <c r="D53" s="46">
        <f t="shared" ref="D53:U53" si="133">+(D51-D50-D47)/(D48-D47)</f>
        <v>0.63664596273291929</v>
      </c>
      <c r="E53" s="46">
        <f t="shared" si="133"/>
        <v>0.64391000775795193</v>
      </c>
      <c r="F53" s="46">
        <f t="shared" si="133"/>
        <v>0.63603732950466618</v>
      </c>
      <c r="G53" s="45">
        <f t="shared" ref="G53" si="134">+(G51-G50-G47)/(G48-G47)</f>
        <v>0.60135135135135132</v>
      </c>
      <c r="H53" s="46"/>
      <c r="I53" s="46"/>
      <c r="J53" s="46"/>
      <c r="K53" s="46"/>
      <c r="L53" s="47"/>
      <c r="M53" s="46">
        <f t="shared" si="133"/>
        <v>0.60047281323877066</v>
      </c>
      <c r="N53" s="46">
        <f t="shared" si="133"/>
        <v>0.57995226730310268</v>
      </c>
      <c r="O53" s="46">
        <f t="shared" si="133"/>
        <v>0.6320541760722348</v>
      </c>
      <c r="P53" s="46">
        <f t="shared" si="133"/>
        <v>0.64053537284894835</v>
      </c>
      <c r="Q53" s="46">
        <f t="shared" si="133"/>
        <v>0.63697478991596634</v>
      </c>
      <c r="R53" s="46">
        <f t="shared" si="133"/>
        <v>0.64985590778097979</v>
      </c>
      <c r="S53" s="46">
        <f t="shared" si="133"/>
        <v>0.62848751835535976</v>
      </c>
      <c r="T53" s="46">
        <f t="shared" si="133"/>
        <v>0.6432584269662921</v>
      </c>
      <c r="U53" s="46">
        <f t="shared" si="133"/>
        <v>0.58660844250363897</v>
      </c>
      <c r="V53" s="46">
        <f t="shared" ref="V53:W53" si="135">+(V51-V50-V47)/(V48-V47)</f>
        <v>0.61412358133669609</v>
      </c>
      <c r="W53" s="45">
        <f t="shared" si="135"/>
        <v>0.57707509881422925</v>
      </c>
      <c r="X53" s="46"/>
      <c r="Y53" s="46"/>
      <c r="Z53" s="46"/>
      <c r="AA53" s="46"/>
      <c r="AB53" s="46"/>
      <c r="AC53" s="46"/>
      <c r="AD53" s="46"/>
    </row>
    <row r="54" spans="1:38" s="9" customFormat="1" ht="12" customHeight="1" x14ac:dyDescent="0.2">
      <c r="A54" s="90"/>
      <c r="B54" s="14" t="s">
        <v>35</v>
      </c>
      <c r="C54" s="15">
        <f t="shared" ref="C54:G56" si="136">+C20+C37</f>
        <v>-9800000</v>
      </c>
      <c r="D54" s="15">
        <f t="shared" si="136"/>
        <v>-9300000</v>
      </c>
      <c r="E54" s="15">
        <f t="shared" si="136"/>
        <v>-14300000</v>
      </c>
      <c r="F54" s="15">
        <f t="shared" si="136"/>
        <v>-15300000</v>
      </c>
      <c r="G54" s="37">
        <f t="shared" si="136"/>
        <v>-9800000</v>
      </c>
      <c r="H54" s="15"/>
      <c r="I54" s="15"/>
      <c r="J54" s="15"/>
      <c r="K54" s="15"/>
      <c r="L54" s="8"/>
      <c r="M54" s="15">
        <f>+M20+M37</f>
        <v>-5100000</v>
      </c>
      <c r="N54" s="15">
        <f t="shared" ref="N54:N55" si="137">ROUND(C54,-5)-ROUND(M54,-5)</f>
        <v>-4700000</v>
      </c>
      <c r="O54" s="15">
        <f>+O20+O37</f>
        <v>-4200000</v>
      </c>
      <c r="P54" s="15">
        <f t="shared" ref="P54:P55" si="138">ROUND(D54,-5)-ROUND(O54,-5)</f>
        <v>-5100000</v>
      </c>
      <c r="Q54" s="15">
        <f>+Q20+Q37</f>
        <v>-6800000</v>
      </c>
      <c r="R54" s="15">
        <f t="shared" ref="R54:R55" si="139">ROUND(E54,-5)-ROUND(Q54,-5)</f>
        <v>-7500000</v>
      </c>
      <c r="S54" s="15">
        <f>+S20+S37</f>
        <v>-7700000</v>
      </c>
      <c r="T54" s="15">
        <f t="shared" ref="T54:T55" si="140">ROUND(F54,-5)-ROUND(S54,-5)</f>
        <v>-7600000</v>
      </c>
      <c r="U54" s="15">
        <f t="shared" ref="U54:AD54" si="141">+ROUND(U20,-5)+ROUND(U37,-5)</f>
        <v>-4900000</v>
      </c>
      <c r="V54" s="15">
        <f t="shared" si="141"/>
        <v>-4900000</v>
      </c>
      <c r="W54" s="37">
        <f t="shared" si="141"/>
        <v>-5600000</v>
      </c>
      <c r="X54" s="15">
        <f t="shared" si="141"/>
        <v>0</v>
      </c>
      <c r="Y54" s="15">
        <f t="shared" si="141"/>
        <v>0</v>
      </c>
      <c r="Z54" s="15">
        <f t="shared" si="141"/>
        <v>0</v>
      </c>
      <c r="AA54" s="15">
        <f t="shared" si="141"/>
        <v>0</v>
      </c>
      <c r="AB54" s="15">
        <f t="shared" si="141"/>
        <v>0</v>
      </c>
      <c r="AC54" s="15">
        <f t="shared" si="141"/>
        <v>0</v>
      </c>
      <c r="AD54" s="15">
        <f t="shared" si="141"/>
        <v>0</v>
      </c>
    </row>
    <row r="55" spans="1:38" s="9" customFormat="1" ht="12" customHeight="1" x14ac:dyDescent="0.2">
      <c r="A55" s="90"/>
      <c r="B55" s="14" t="s">
        <v>36</v>
      </c>
      <c r="C55" s="15">
        <f t="shared" si="136"/>
        <v>-18800000</v>
      </c>
      <c r="D55" s="15">
        <f t="shared" si="136"/>
        <v>-22300000</v>
      </c>
      <c r="E55" s="15">
        <f t="shared" si="136"/>
        <v>-27600000</v>
      </c>
      <c r="F55" s="15">
        <f t="shared" si="136"/>
        <v>-28400000</v>
      </c>
      <c r="G55" s="37">
        <f t="shared" si="136"/>
        <v>-27700000</v>
      </c>
      <c r="H55" s="15"/>
      <c r="I55" s="15"/>
      <c r="J55" s="15"/>
      <c r="K55" s="15"/>
      <c r="L55" s="8"/>
      <c r="M55" s="15">
        <f>+M21+M38</f>
        <v>-9600000</v>
      </c>
      <c r="N55" s="15">
        <f t="shared" si="137"/>
        <v>-9200000</v>
      </c>
      <c r="O55" s="15">
        <f>+O21+O38</f>
        <v>-10300000</v>
      </c>
      <c r="P55" s="15">
        <f t="shared" si="138"/>
        <v>-12000000</v>
      </c>
      <c r="Q55" s="15">
        <f>+Q21+Q38</f>
        <v>-12600000</v>
      </c>
      <c r="R55" s="15">
        <f t="shared" si="139"/>
        <v>-15000000</v>
      </c>
      <c r="S55" s="15">
        <f>+S21+S38</f>
        <v>-14600000</v>
      </c>
      <c r="T55" s="15">
        <f t="shared" si="140"/>
        <v>-13800000</v>
      </c>
      <c r="U55" s="15">
        <f t="shared" ref="U55:AD55" si="142">+ROUND(U21,-5)+ROUND(U38,-5)</f>
        <v>-13200000</v>
      </c>
      <c r="V55" s="15">
        <f t="shared" si="142"/>
        <v>-14500000</v>
      </c>
      <c r="W55" s="37">
        <f t="shared" si="142"/>
        <v>-14500000</v>
      </c>
      <c r="X55" s="15">
        <f t="shared" si="142"/>
        <v>0</v>
      </c>
      <c r="Y55" s="15">
        <f t="shared" si="142"/>
        <v>0</v>
      </c>
      <c r="Z55" s="15">
        <f t="shared" si="142"/>
        <v>0</v>
      </c>
      <c r="AA55" s="15">
        <f t="shared" si="142"/>
        <v>0</v>
      </c>
      <c r="AB55" s="15">
        <f t="shared" si="142"/>
        <v>0</v>
      </c>
      <c r="AC55" s="15">
        <f t="shared" si="142"/>
        <v>0</v>
      </c>
      <c r="AD55" s="15">
        <f t="shared" si="142"/>
        <v>0</v>
      </c>
    </row>
    <row r="56" spans="1:38" s="9" customFormat="1" ht="12" customHeight="1" x14ac:dyDescent="0.2">
      <c r="A56" s="90"/>
      <c r="B56" s="16" t="s">
        <v>37</v>
      </c>
      <c r="C56" s="17">
        <f t="shared" si="136"/>
        <v>21400000</v>
      </c>
      <c r="D56" s="17">
        <f t="shared" si="136"/>
        <v>30100000</v>
      </c>
      <c r="E56" s="17">
        <f t="shared" si="136"/>
        <v>42600000</v>
      </c>
      <c r="F56" s="17">
        <f t="shared" si="136"/>
        <v>46000000</v>
      </c>
      <c r="G56" s="38">
        <f t="shared" si="136"/>
        <v>52200000</v>
      </c>
      <c r="H56" s="17">
        <f>+H22+H39</f>
        <v>0</v>
      </c>
      <c r="I56" s="17">
        <f>+I22+I39</f>
        <v>0</v>
      </c>
      <c r="J56" s="17">
        <f>+J22+J39</f>
        <v>0</v>
      </c>
      <c r="K56" s="17">
        <f>+K22+K39</f>
        <v>0</v>
      </c>
      <c r="L56" s="8"/>
      <c r="M56" s="17">
        <f>+M22+M39</f>
        <v>11100000</v>
      </c>
      <c r="N56" s="17">
        <f>+C56-M56</f>
        <v>10300000</v>
      </c>
      <c r="O56" s="17">
        <f>+O22+O39</f>
        <v>13600000</v>
      </c>
      <c r="P56" s="17">
        <f>+D56-O56</f>
        <v>16500000</v>
      </c>
      <c r="Q56" s="17">
        <f>+Q22+Q39</f>
        <v>19000000</v>
      </c>
      <c r="R56" s="17">
        <f>+E56-Q56</f>
        <v>23600000</v>
      </c>
      <c r="S56" s="17">
        <f>+S22+S39</f>
        <v>21000000</v>
      </c>
      <c r="T56" s="17">
        <f>+F56-S56</f>
        <v>25000000</v>
      </c>
      <c r="U56" s="17">
        <f>SUM(U54:U55,U51)</f>
        <v>22600000</v>
      </c>
      <c r="V56" s="17">
        <f t="shared" ref="V56:W56" si="143">SUM(V54:V55,V51)</f>
        <v>29600000</v>
      </c>
      <c r="W56" s="38">
        <f t="shared" si="143"/>
        <v>23900000</v>
      </c>
      <c r="X56" s="17">
        <f t="shared" ref="X56" si="144">SUM(X54:X55,X51)</f>
        <v>0</v>
      </c>
      <c r="Y56" s="17">
        <f t="shared" ref="Y56" si="145">SUM(Y54:Y55,Y51)</f>
        <v>0</v>
      </c>
      <c r="Z56" s="17">
        <f t="shared" ref="Z56" si="146">SUM(Z54:Z55,Z51)</f>
        <v>0</v>
      </c>
      <c r="AA56" s="17">
        <f t="shared" ref="AA56" si="147">SUM(AA54:AA55,AA51)</f>
        <v>0</v>
      </c>
      <c r="AB56" s="17">
        <f t="shared" ref="AB56" si="148">SUM(AB54:AB55,AB51)</f>
        <v>0</v>
      </c>
      <c r="AC56" s="17">
        <f t="shared" ref="AC56" si="149">SUM(AC54:AC55,AC51)</f>
        <v>0</v>
      </c>
      <c r="AD56" s="17">
        <f t="shared" ref="AD56" si="150">SUM(AD54:AD55,AD51)</f>
        <v>0</v>
      </c>
    </row>
    <row r="57" spans="1:38" s="9" customFormat="1" ht="12" customHeight="1" x14ac:dyDescent="0.2">
      <c r="A57" s="90"/>
      <c r="B57" s="44" t="s">
        <v>38</v>
      </c>
      <c r="C57" s="46">
        <f t="shared" ref="C57" si="151">+C56/C48</f>
        <v>0.24457142857142858</v>
      </c>
      <c r="D57" s="46">
        <f>+D56/D48</f>
        <v>0.3068297655453619</v>
      </c>
      <c r="E57" s="46">
        <f>+E56/E48</f>
        <v>0.31532198371576609</v>
      </c>
      <c r="F57" s="46">
        <f>+F56/F48</f>
        <v>0.32167832167832167</v>
      </c>
      <c r="G57" s="45">
        <f t="shared" ref="G57" si="152">+G56/G48</f>
        <v>0.34799999999999998</v>
      </c>
      <c r="H57" s="46"/>
      <c r="I57" s="46"/>
      <c r="J57" s="46"/>
      <c r="K57" s="46"/>
      <c r="L57" s="47"/>
      <c r="M57" s="46">
        <f t="shared" ref="M57:U57" si="153">+M56/M48</f>
        <v>0.24776785714285715</v>
      </c>
      <c r="N57" s="46">
        <f t="shared" si="153"/>
        <v>0.24121779859484777</v>
      </c>
      <c r="O57" s="46">
        <f t="shared" si="153"/>
        <v>0.30289532293986637</v>
      </c>
      <c r="P57" s="46">
        <f t="shared" si="153"/>
        <v>0.31015037593984962</v>
      </c>
      <c r="Q57" s="46">
        <f t="shared" si="153"/>
        <v>0.30448717948717946</v>
      </c>
      <c r="R57" s="46">
        <f t="shared" si="153"/>
        <v>0.3246217331499312</v>
      </c>
      <c r="S57" s="46">
        <f t="shared" si="153"/>
        <v>0.30129124820659969</v>
      </c>
      <c r="T57" s="46">
        <f t="shared" si="153"/>
        <v>0.34106412005457026</v>
      </c>
      <c r="U57" s="46">
        <f t="shared" si="153"/>
        <v>0.32471264367816094</v>
      </c>
      <c r="V57" s="46">
        <f t="shared" ref="V57:W57" si="154">+V56/V48</f>
        <v>0.36815920398009949</v>
      </c>
      <c r="W57" s="45">
        <f t="shared" si="154"/>
        <v>0.31038961038961038</v>
      </c>
      <c r="X57" s="46"/>
      <c r="Y57" s="46"/>
      <c r="Z57" s="46"/>
      <c r="AA57" s="46"/>
      <c r="AB57" s="46"/>
      <c r="AC57" s="46"/>
      <c r="AD57" s="46"/>
    </row>
    <row r="58" spans="1:38" s="9" customFormat="1" ht="12" customHeight="1" x14ac:dyDescent="0.2">
      <c r="A58" s="90"/>
      <c r="B58" s="14" t="s">
        <v>42</v>
      </c>
      <c r="C58" s="15">
        <v>-33600000</v>
      </c>
      <c r="D58" s="15">
        <v>-23100000</v>
      </c>
      <c r="E58" s="15">
        <v>-32600000</v>
      </c>
      <c r="F58" s="15">
        <v>-32800000</v>
      </c>
      <c r="G58" s="37">
        <v>-28900000</v>
      </c>
      <c r="H58" s="15"/>
      <c r="I58" s="15"/>
      <c r="J58" s="15"/>
      <c r="K58" s="15"/>
      <c r="L58" s="8"/>
      <c r="M58" s="15">
        <v>-19000000</v>
      </c>
      <c r="N58" s="15">
        <f t="shared" ref="N58:N59" si="155">ROUND(C58,-5)-ROUND(M58,-5)</f>
        <v>-14600000</v>
      </c>
      <c r="O58" s="15">
        <v>-7300000</v>
      </c>
      <c r="P58" s="15">
        <f t="shared" ref="P58:P59" si="156">ROUND(D58,-5)-ROUND(O58,-5)</f>
        <v>-15800000</v>
      </c>
      <c r="Q58" s="15">
        <v>-15700000</v>
      </c>
      <c r="R58" s="15">
        <f t="shared" ref="R58:R59" si="157">ROUND(E58,-5)-ROUND(Q58,-5)</f>
        <v>-16900000</v>
      </c>
      <c r="S58" s="15">
        <v>-17600000</v>
      </c>
      <c r="T58" s="15">
        <f t="shared" ref="T58:T59" si="158">ROUND(F58,-5)-ROUND(S58,-5)</f>
        <v>-15200000</v>
      </c>
      <c r="U58" s="15">
        <v>-14600000</v>
      </c>
      <c r="V58" s="15">
        <f>G58-U58</f>
        <v>-14300000</v>
      </c>
      <c r="W58" s="37">
        <v>-14700000</v>
      </c>
      <c r="X58" s="15"/>
      <c r="Y58" s="15"/>
      <c r="Z58" s="15"/>
      <c r="AA58" s="15"/>
      <c r="AB58" s="15"/>
      <c r="AC58" s="15"/>
      <c r="AD58" s="15"/>
    </row>
    <row r="59" spans="1:38" s="9" customFormat="1" ht="12" customHeight="1" x14ac:dyDescent="0.2">
      <c r="A59" s="90"/>
      <c r="B59" s="14" t="s">
        <v>43</v>
      </c>
      <c r="C59" s="15">
        <v>800000</v>
      </c>
      <c r="D59" s="15">
        <v>-500000</v>
      </c>
      <c r="E59" s="15">
        <v>600000</v>
      </c>
      <c r="F59" s="15">
        <v>100000</v>
      </c>
      <c r="G59" s="37">
        <v>-1700000</v>
      </c>
      <c r="H59" s="15"/>
      <c r="I59" s="15"/>
      <c r="J59" s="15"/>
      <c r="K59" s="15"/>
      <c r="L59" s="8"/>
      <c r="M59" s="15">
        <v>1400000</v>
      </c>
      <c r="N59" s="15">
        <f t="shared" si="155"/>
        <v>-600000</v>
      </c>
      <c r="O59" s="15">
        <v>100000</v>
      </c>
      <c r="P59" s="15">
        <f t="shared" si="156"/>
        <v>-600000</v>
      </c>
      <c r="Q59" s="15">
        <v>-200000</v>
      </c>
      <c r="R59" s="15">
        <f t="shared" si="157"/>
        <v>800000</v>
      </c>
      <c r="S59" s="15">
        <v>-900000</v>
      </c>
      <c r="T59" s="15">
        <f t="shared" si="158"/>
        <v>1000000</v>
      </c>
      <c r="U59" s="15">
        <v>-800000</v>
      </c>
      <c r="V59" s="15">
        <f>G59-U59</f>
        <v>-900000</v>
      </c>
      <c r="W59" s="37">
        <v>800000</v>
      </c>
      <c r="X59" s="15"/>
      <c r="Y59" s="15"/>
      <c r="Z59" s="15"/>
      <c r="AA59" s="15"/>
      <c r="AB59" s="15"/>
      <c r="AC59" s="15"/>
      <c r="AD59" s="15"/>
    </row>
    <row r="60" spans="1:38" s="9" customFormat="1" ht="12" customHeight="1" x14ac:dyDescent="0.2">
      <c r="A60" s="90"/>
      <c r="B60" s="16" t="s">
        <v>44</v>
      </c>
      <c r="C60" s="17">
        <f t="shared" ref="C60:K60" si="159">+C56+C58+C59</f>
        <v>-11400000</v>
      </c>
      <c r="D60" s="17">
        <f t="shared" si="159"/>
        <v>6500000</v>
      </c>
      <c r="E60" s="17">
        <f t="shared" si="159"/>
        <v>10600000</v>
      </c>
      <c r="F60" s="17">
        <f t="shared" si="159"/>
        <v>13300000</v>
      </c>
      <c r="G60" s="38">
        <f t="shared" si="159"/>
        <v>21600000</v>
      </c>
      <c r="H60" s="17">
        <f t="shared" si="159"/>
        <v>0</v>
      </c>
      <c r="I60" s="17">
        <f t="shared" si="159"/>
        <v>0</v>
      </c>
      <c r="J60" s="17">
        <f t="shared" si="159"/>
        <v>0</v>
      </c>
      <c r="K60" s="17">
        <f t="shared" si="159"/>
        <v>0</v>
      </c>
      <c r="L60" s="8"/>
      <c r="M60" s="17">
        <f t="shared" ref="M60:AD60" si="160">+M56+M58+M59</f>
        <v>-6500000</v>
      </c>
      <c r="N60" s="17">
        <f t="shared" si="160"/>
        <v>-4900000</v>
      </c>
      <c r="O60" s="17">
        <f t="shared" si="160"/>
        <v>6400000</v>
      </c>
      <c r="P60" s="17">
        <f t="shared" si="160"/>
        <v>100000</v>
      </c>
      <c r="Q60" s="17">
        <f t="shared" si="160"/>
        <v>3100000</v>
      </c>
      <c r="R60" s="17">
        <f t="shared" si="160"/>
        <v>7500000</v>
      </c>
      <c r="S60" s="17">
        <f t="shared" si="160"/>
        <v>2500000</v>
      </c>
      <c r="T60" s="17">
        <f t="shared" si="160"/>
        <v>10800000</v>
      </c>
      <c r="U60" s="17">
        <f t="shared" si="160"/>
        <v>7200000</v>
      </c>
      <c r="V60" s="17">
        <f t="shared" si="160"/>
        <v>14400000</v>
      </c>
      <c r="W60" s="38">
        <f t="shared" si="160"/>
        <v>10000000</v>
      </c>
      <c r="X60" s="17">
        <f t="shared" si="160"/>
        <v>0</v>
      </c>
      <c r="Y60" s="17">
        <f t="shared" si="160"/>
        <v>0</v>
      </c>
      <c r="Z60" s="17">
        <f t="shared" si="160"/>
        <v>0</v>
      </c>
      <c r="AA60" s="17">
        <f t="shared" si="160"/>
        <v>0</v>
      </c>
      <c r="AB60" s="17">
        <f t="shared" si="160"/>
        <v>0</v>
      </c>
      <c r="AC60" s="17">
        <f t="shared" si="160"/>
        <v>0</v>
      </c>
      <c r="AD60" s="17">
        <f t="shared" si="160"/>
        <v>0</v>
      </c>
    </row>
    <row r="61" spans="1:38" s="48" customFormat="1" ht="12" customHeight="1" x14ac:dyDescent="0.15">
      <c r="A61" s="90"/>
      <c r="B61" s="44" t="s">
        <v>45</v>
      </c>
      <c r="C61" s="46">
        <f>+C60/C48</f>
        <v>-0.13028571428571428</v>
      </c>
      <c r="D61" s="46">
        <f>+D60/D48</f>
        <v>6.6258919469928651E-2</v>
      </c>
      <c r="E61" s="46">
        <f>+E60/E48</f>
        <v>7.8460399703923017E-2</v>
      </c>
      <c r="F61" s="46">
        <f>+F60/F48</f>
        <v>9.3006993006993013E-2</v>
      </c>
      <c r="G61" s="45">
        <f>+G60/G48</f>
        <v>0.14399999999999999</v>
      </c>
      <c r="H61" s="46"/>
      <c r="I61" s="46"/>
      <c r="J61" s="46"/>
      <c r="K61" s="46"/>
      <c r="L61" s="47"/>
      <c r="M61" s="46">
        <f t="shared" ref="M61:W61" si="161">+M60/M48</f>
        <v>-0.14508928571428573</v>
      </c>
      <c r="N61" s="46">
        <f t="shared" si="161"/>
        <v>-0.11475409836065574</v>
      </c>
      <c r="O61" s="46">
        <f t="shared" si="161"/>
        <v>0.14253897550111358</v>
      </c>
      <c r="P61" s="46">
        <f t="shared" si="161"/>
        <v>1.8796992481203006E-3</v>
      </c>
      <c r="Q61" s="46">
        <f t="shared" si="161"/>
        <v>4.9679487179487176E-2</v>
      </c>
      <c r="R61" s="46">
        <f t="shared" si="161"/>
        <v>0.1031636863823934</v>
      </c>
      <c r="S61" s="46">
        <f t="shared" si="161"/>
        <v>3.5868005738880916E-2</v>
      </c>
      <c r="T61" s="46">
        <f t="shared" si="161"/>
        <v>0.14733969986357434</v>
      </c>
      <c r="U61" s="46">
        <f t="shared" si="161"/>
        <v>0.10344827586206896</v>
      </c>
      <c r="V61" s="46">
        <f t="shared" si="161"/>
        <v>0.17910447761194029</v>
      </c>
      <c r="W61" s="45">
        <f t="shared" si="161"/>
        <v>0.12987012987012986</v>
      </c>
      <c r="X61" s="46"/>
      <c r="Y61" s="46"/>
      <c r="Z61" s="46"/>
      <c r="AA61" s="46"/>
      <c r="AB61" s="46"/>
      <c r="AC61" s="46"/>
      <c r="AD61" s="46"/>
    </row>
    <row r="62" spans="1:38" s="9" customFormat="1" ht="12" customHeight="1" x14ac:dyDescent="0.2">
      <c r="A62" s="90"/>
      <c r="B62" s="14" t="s">
        <v>46</v>
      </c>
      <c r="C62" s="15">
        <v>-7300000</v>
      </c>
      <c r="D62" s="15">
        <v>-7800000</v>
      </c>
      <c r="E62" s="15">
        <v>-11500000</v>
      </c>
      <c r="F62" s="15">
        <v>-13000000</v>
      </c>
      <c r="G62" s="37">
        <v>-14000000</v>
      </c>
      <c r="H62" s="15"/>
      <c r="I62" s="15"/>
      <c r="J62" s="15"/>
      <c r="K62" s="15"/>
      <c r="L62" s="8"/>
      <c r="M62" s="15">
        <v>-3700000</v>
      </c>
      <c r="N62" s="15">
        <f t="shared" ref="N62:N67" si="162">ROUND(C62,-5)-ROUND(M62,-5)</f>
        <v>-3600000</v>
      </c>
      <c r="O62" s="15">
        <v>-4000000</v>
      </c>
      <c r="P62" s="15">
        <f t="shared" ref="P62:P67" si="163">ROUND(D62,-5)-ROUND(O62,-5)</f>
        <v>-3800000</v>
      </c>
      <c r="Q62" s="15">
        <v>-5700000</v>
      </c>
      <c r="R62" s="15">
        <f t="shared" ref="R62:R67" si="164">ROUND(E62,-5)-ROUND(Q62,-5)</f>
        <v>-5800000</v>
      </c>
      <c r="S62" s="15">
        <v>-6600000</v>
      </c>
      <c r="T62" s="15">
        <f t="shared" ref="T62:T67" si="165">ROUND(F62,-5)-ROUND(S62,-5)</f>
        <v>-6400000</v>
      </c>
      <c r="U62" s="15">
        <v>-6700000</v>
      </c>
      <c r="V62" s="15">
        <f t="shared" ref="V62:V67" si="166">G62-U62</f>
        <v>-7300000</v>
      </c>
      <c r="W62" s="37">
        <v>-7400000</v>
      </c>
      <c r="X62" s="15"/>
      <c r="Y62" s="15"/>
      <c r="Z62" s="15"/>
      <c r="AA62" s="15"/>
      <c r="AB62" s="15"/>
      <c r="AC62" s="15"/>
      <c r="AD62" s="15"/>
      <c r="AF62" s="88"/>
      <c r="AG62" s="88"/>
      <c r="AH62" s="88"/>
      <c r="AI62" s="88"/>
      <c r="AJ62" s="88"/>
      <c r="AL62" s="88"/>
    </row>
    <row r="63" spans="1:38" s="9" customFormat="1" ht="12" customHeight="1" x14ac:dyDescent="0.2">
      <c r="A63" s="90"/>
      <c r="B63" s="14" t="s">
        <v>47</v>
      </c>
      <c r="C63" s="15">
        <v>-10400000</v>
      </c>
      <c r="D63" s="15">
        <v>-6100000</v>
      </c>
      <c r="E63" s="15">
        <v>-5700000</v>
      </c>
      <c r="F63" s="15">
        <v>-6900000</v>
      </c>
      <c r="G63" s="37">
        <v>-5800000</v>
      </c>
      <c r="H63" s="15"/>
      <c r="I63" s="15"/>
      <c r="J63" s="15"/>
      <c r="K63" s="15"/>
      <c r="L63" s="8"/>
      <c r="M63" s="15">
        <v>-4500000</v>
      </c>
      <c r="N63" s="15">
        <f t="shared" si="162"/>
        <v>-5900000</v>
      </c>
      <c r="O63" s="15">
        <v>-3400000</v>
      </c>
      <c r="P63" s="15">
        <f t="shared" si="163"/>
        <v>-2700000</v>
      </c>
      <c r="Q63" s="15">
        <v>-2700000</v>
      </c>
      <c r="R63" s="15">
        <f t="shared" si="164"/>
        <v>-3000000</v>
      </c>
      <c r="S63" s="15">
        <v>-3200000</v>
      </c>
      <c r="T63" s="15">
        <f t="shared" si="165"/>
        <v>-3700000</v>
      </c>
      <c r="U63" s="15">
        <v>-3000000</v>
      </c>
      <c r="V63" s="15">
        <f t="shared" si="166"/>
        <v>-2800000</v>
      </c>
      <c r="W63" s="37">
        <v>-2800000</v>
      </c>
      <c r="X63" s="15"/>
      <c r="Y63" s="15"/>
      <c r="Z63" s="15"/>
      <c r="AA63" s="15"/>
      <c r="AB63" s="15"/>
      <c r="AC63" s="15"/>
      <c r="AD63" s="15"/>
      <c r="AF63" s="88"/>
      <c r="AG63" s="88"/>
      <c r="AH63" s="88"/>
      <c r="AI63" s="88"/>
      <c r="AJ63" s="88"/>
      <c r="AL63" s="88"/>
    </row>
    <row r="64" spans="1:38" s="9" customFormat="1" ht="12" customHeight="1" x14ac:dyDescent="0.2">
      <c r="A64" s="90"/>
      <c r="B64" s="14" t="s">
        <v>48</v>
      </c>
      <c r="C64" s="15">
        <v>-2200000</v>
      </c>
      <c r="D64" s="15">
        <v>-2000000</v>
      </c>
      <c r="E64" s="15">
        <v>-2100000</v>
      </c>
      <c r="F64" s="15">
        <v>-2700000</v>
      </c>
      <c r="G64" s="37">
        <v>-2800000</v>
      </c>
      <c r="H64" s="15"/>
      <c r="I64" s="15"/>
      <c r="J64" s="15"/>
      <c r="K64" s="15"/>
      <c r="L64" s="8"/>
      <c r="M64" s="15">
        <v>-1200000</v>
      </c>
      <c r="N64" s="15">
        <f t="shared" si="162"/>
        <v>-1000000</v>
      </c>
      <c r="O64" s="15">
        <v>-1100000</v>
      </c>
      <c r="P64" s="15">
        <f t="shared" si="163"/>
        <v>-900000</v>
      </c>
      <c r="Q64" s="15">
        <v>-1100000</v>
      </c>
      <c r="R64" s="15">
        <f t="shared" si="164"/>
        <v>-1000000</v>
      </c>
      <c r="S64" s="15">
        <v>-1400000</v>
      </c>
      <c r="T64" s="15">
        <f t="shared" si="165"/>
        <v>-1300000</v>
      </c>
      <c r="U64" s="15">
        <v>-1300000</v>
      </c>
      <c r="V64" s="15">
        <f t="shared" si="166"/>
        <v>-1500000</v>
      </c>
      <c r="W64" s="37">
        <v>-1200000</v>
      </c>
      <c r="X64" s="15"/>
      <c r="Y64" s="15"/>
      <c r="Z64" s="15"/>
      <c r="AA64" s="15"/>
      <c r="AB64" s="15"/>
      <c r="AC64" s="15"/>
      <c r="AD64" s="15"/>
      <c r="AF64" s="88"/>
      <c r="AG64" s="88"/>
      <c r="AH64" s="88"/>
      <c r="AI64" s="88"/>
      <c r="AJ64" s="88"/>
      <c r="AL64" s="88"/>
    </row>
    <row r="65" spans="1:38" s="9" customFormat="1" ht="12" customHeight="1" x14ac:dyDescent="0.2">
      <c r="A65" s="90"/>
      <c r="B65" s="14" t="s">
        <v>49</v>
      </c>
      <c r="C65" s="15">
        <v>700000</v>
      </c>
      <c r="D65" s="15">
        <v>500000</v>
      </c>
      <c r="E65" s="15">
        <v>800000</v>
      </c>
      <c r="F65" s="15">
        <v>1000000</v>
      </c>
      <c r="G65" s="37">
        <v>400000</v>
      </c>
      <c r="H65" s="15"/>
      <c r="I65" s="15"/>
      <c r="J65" s="15"/>
      <c r="K65" s="15"/>
      <c r="L65" s="8"/>
      <c r="M65" s="15">
        <v>100000</v>
      </c>
      <c r="N65" s="15">
        <f t="shared" si="162"/>
        <v>600000</v>
      </c>
      <c r="O65" s="15">
        <v>300000</v>
      </c>
      <c r="P65" s="15">
        <f t="shared" si="163"/>
        <v>200000</v>
      </c>
      <c r="Q65" s="15">
        <v>300000</v>
      </c>
      <c r="R65" s="15">
        <f t="shared" si="164"/>
        <v>500000</v>
      </c>
      <c r="S65" s="15">
        <v>600000</v>
      </c>
      <c r="T65" s="15">
        <f t="shared" si="165"/>
        <v>400000</v>
      </c>
      <c r="U65" s="15">
        <v>200000</v>
      </c>
      <c r="V65" s="15">
        <f t="shared" si="166"/>
        <v>200000</v>
      </c>
      <c r="W65" s="37">
        <v>100000</v>
      </c>
      <c r="X65" s="15"/>
      <c r="Y65" s="15"/>
      <c r="Z65" s="15"/>
      <c r="AA65" s="15"/>
      <c r="AB65" s="15"/>
      <c r="AC65" s="15"/>
      <c r="AD65" s="15"/>
      <c r="AF65" s="88"/>
      <c r="AG65" s="88"/>
      <c r="AH65" s="88"/>
      <c r="AI65" s="88"/>
      <c r="AJ65" s="88"/>
      <c r="AL65" s="88"/>
    </row>
    <row r="66" spans="1:38" s="9" customFormat="1" ht="12" customHeight="1" x14ac:dyDescent="0.2">
      <c r="A66" s="90"/>
      <c r="B66" s="14" t="s">
        <v>50</v>
      </c>
      <c r="C66" s="15">
        <v>-3000000</v>
      </c>
      <c r="D66" s="15">
        <v>-2000000</v>
      </c>
      <c r="E66" s="15">
        <v>-2700000</v>
      </c>
      <c r="F66" s="15">
        <v>0</v>
      </c>
      <c r="G66" s="37">
        <v>0</v>
      </c>
      <c r="H66" s="15"/>
      <c r="I66" s="15"/>
      <c r="J66" s="15"/>
      <c r="K66" s="15"/>
      <c r="L66" s="8"/>
      <c r="M66" s="15">
        <v>-1900000</v>
      </c>
      <c r="N66" s="15">
        <f t="shared" si="162"/>
        <v>-1100000</v>
      </c>
      <c r="O66" s="15">
        <v>-300000</v>
      </c>
      <c r="P66" s="15">
        <f t="shared" si="163"/>
        <v>-1700000</v>
      </c>
      <c r="Q66" s="15">
        <v>-2700000</v>
      </c>
      <c r="R66" s="15">
        <f t="shared" si="164"/>
        <v>0</v>
      </c>
      <c r="S66" s="15">
        <v>0</v>
      </c>
      <c r="T66" s="15">
        <f t="shared" si="165"/>
        <v>0</v>
      </c>
      <c r="U66" s="15">
        <v>0</v>
      </c>
      <c r="V66" s="15">
        <f t="shared" si="166"/>
        <v>0</v>
      </c>
      <c r="W66" s="37">
        <v>0</v>
      </c>
      <c r="X66" s="15"/>
      <c r="Y66" s="15"/>
      <c r="Z66" s="15"/>
      <c r="AA66" s="15"/>
      <c r="AB66" s="15"/>
      <c r="AC66" s="15"/>
      <c r="AD66" s="15"/>
      <c r="AF66" s="88"/>
      <c r="AG66" s="88"/>
      <c r="AH66" s="88"/>
      <c r="AI66" s="88"/>
      <c r="AJ66" s="88"/>
      <c r="AL66" s="88"/>
    </row>
    <row r="67" spans="1:38" s="9" customFormat="1" ht="12" customHeight="1" x14ac:dyDescent="0.2">
      <c r="A67" s="90"/>
      <c r="B67" s="14" t="s">
        <v>51</v>
      </c>
      <c r="C67" s="15">
        <v>-31300000</v>
      </c>
      <c r="D67" s="15">
        <v>-1400000</v>
      </c>
      <c r="E67" s="15">
        <v>-11900000</v>
      </c>
      <c r="F67" s="15">
        <v>-9200000</v>
      </c>
      <c r="G67" s="37">
        <v>2400000</v>
      </c>
      <c r="H67" s="15"/>
      <c r="I67" s="15"/>
      <c r="J67" s="15"/>
      <c r="K67" s="15"/>
      <c r="L67" s="8"/>
      <c r="M67" s="15">
        <v>-30200000</v>
      </c>
      <c r="N67" s="15">
        <f t="shared" si="162"/>
        <v>-1100000</v>
      </c>
      <c r="O67" s="15">
        <v>0</v>
      </c>
      <c r="P67" s="15">
        <f t="shared" si="163"/>
        <v>-1400000</v>
      </c>
      <c r="Q67" s="15">
        <v>-11100000</v>
      </c>
      <c r="R67" s="15">
        <f t="shared" si="164"/>
        <v>-800000</v>
      </c>
      <c r="S67" s="15">
        <v>-1800000</v>
      </c>
      <c r="T67" s="15">
        <f t="shared" si="165"/>
        <v>-7400000</v>
      </c>
      <c r="U67" s="15">
        <v>0</v>
      </c>
      <c r="V67" s="15">
        <f t="shared" si="166"/>
        <v>2400000</v>
      </c>
      <c r="W67" s="37">
        <v>0</v>
      </c>
      <c r="X67" s="15"/>
      <c r="Y67" s="15"/>
      <c r="Z67" s="15"/>
      <c r="AA67" s="15"/>
      <c r="AB67" s="15"/>
      <c r="AC67" s="15"/>
      <c r="AD67" s="15"/>
      <c r="AF67" s="88"/>
      <c r="AG67" s="88"/>
      <c r="AH67" s="88"/>
      <c r="AI67" s="88"/>
      <c r="AJ67" s="88"/>
      <c r="AL67" s="88"/>
    </row>
    <row r="68" spans="1:38" s="9" customFormat="1" ht="12" customHeight="1" x14ac:dyDescent="0.2">
      <c r="A68" s="90"/>
      <c r="B68" s="16" t="s">
        <v>198</v>
      </c>
      <c r="C68" s="17">
        <f t="shared" ref="C68:K68" si="167">C60+SUM(C62:C67)</f>
        <v>-64900000</v>
      </c>
      <c r="D68" s="17">
        <f t="shared" si="167"/>
        <v>-12300000</v>
      </c>
      <c r="E68" s="17">
        <f t="shared" si="167"/>
        <v>-22500000</v>
      </c>
      <c r="F68" s="17">
        <f t="shared" si="167"/>
        <v>-17500000</v>
      </c>
      <c r="G68" s="38">
        <f t="shared" si="167"/>
        <v>1800000</v>
      </c>
      <c r="H68" s="17">
        <f t="shared" si="167"/>
        <v>0</v>
      </c>
      <c r="I68" s="17">
        <f t="shared" si="167"/>
        <v>0</v>
      </c>
      <c r="J68" s="17">
        <f t="shared" si="167"/>
        <v>0</v>
      </c>
      <c r="K68" s="17">
        <f t="shared" si="167"/>
        <v>0</v>
      </c>
      <c r="L68" s="8"/>
      <c r="M68" s="17">
        <f t="shared" ref="M68:T68" si="168">+ROUND(M67,-5)+ROUND(M66,-5)+ROUND(M65,-5)+ROUND(M64,-5)+ROUND(M63,-5)+ROUND(M62,-5)+ROUND(M60,-5)</f>
        <v>-47900000</v>
      </c>
      <c r="N68" s="17">
        <f t="shared" si="168"/>
        <v>-17000000</v>
      </c>
      <c r="O68" s="17">
        <f t="shared" si="168"/>
        <v>-2100000</v>
      </c>
      <c r="P68" s="17">
        <f t="shared" si="168"/>
        <v>-10200000</v>
      </c>
      <c r="Q68" s="17">
        <f t="shared" si="168"/>
        <v>-19900000</v>
      </c>
      <c r="R68" s="17">
        <f t="shared" si="168"/>
        <v>-2600000</v>
      </c>
      <c r="S68" s="17">
        <f t="shared" si="168"/>
        <v>-9900000</v>
      </c>
      <c r="T68" s="17">
        <f t="shared" si="168"/>
        <v>-7600000</v>
      </c>
      <c r="U68" s="17">
        <f t="shared" ref="U68:AD68" si="169">SUM(U60,U62:U67)</f>
        <v>-3600000</v>
      </c>
      <c r="V68" s="17">
        <f t="shared" si="169"/>
        <v>5400000</v>
      </c>
      <c r="W68" s="38">
        <f t="shared" si="169"/>
        <v>-1300000</v>
      </c>
      <c r="X68" s="17">
        <f t="shared" si="169"/>
        <v>0</v>
      </c>
      <c r="Y68" s="17">
        <f t="shared" si="169"/>
        <v>0</v>
      </c>
      <c r="Z68" s="17">
        <f t="shared" si="169"/>
        <v>0</v>
      </c>
      <c r="AA68" s="17">
        <f t="shared" si="169"/>
        <v>0</v>
      </c>
      <c r="AB68" s="17">
        <f t="shared" si="169"/>
        <v>0</v>
      </c>
      <c r="AC68" s="17">
        <f t="shared" si="169"/>
        <v>0</v>
      </c>
      <c r="AD68" s="17">
        <f t="shared" si="169"/>
        <v>0</v>
      </c>
    </row>
    <row r="69" spans="1:38" s="9" customFormat="1" ht="12" customHeight="1" x14ac:dyDescent="0.2">
      <c r="A69" s="90"/>
      <c r="B69" s="14" t="s">
        <v>52</v>
      </c>
      <c r="C69" s="15">
        <v>7800000</v>
      </c>
      <c r="D69" s="15">
        <v>2400000</v>
      </c>
      <c r="E69" s="15">
        <v>1600000</v>
      </c>
      <c r="F69" s="15">
        <v>3900000</v>
      </c>
      <c r="G69" s="37">
        <v>-2400000</v>
      </c>
      <c r="H69" s="15"/>
      <c r="I69" s="15"/>
      <c r="J69" s="15"/>
      <c r="K69" s="8"/>
      <c r="L69" s="8"/>
      <c r="M69" s="15">
        <v>4700000</v>
      </c>
      <c r="N69" s="15">
        <f>ROUND(C69,-5)-ROUND(M69,-5)</f>
        <v>3100000</v>
      </c>
      <c r="O69" s="15">
        <v>-500000</v>
      </c>
      <c r="P69" s="15">
        <f>ROUND(D69,-5)-ROUND(O69,-5)</f>
        <v>2900000</v>
      </c>
      <c r="Q69" s="15">
        <v>1900000</v>
      </c>
      <c r="R69" s="15">
        <f>ROUND(E69,-5)-ROUND(Q69,-5)</f>
        <v>-300000</v>
      </c>
      <c r="S69" s="15">
        <v>1400000</v>
      </c>
      <c r="T69" s="15">
        <f>ROUND(F69,-5)-ROUND(S69,-5)</f>
        <v>2500000</v>
      </c>
      <c r="U69" s="15">
        <v>900000</v>
      </c>
      <c r="V69" s="15">
        <f>G69-U69</f>
        <v>-3300000</v>
      </c>
      <c r="W69" s="37">
        <v>100000</v>
      </c>
      <c r="X69" s="15"/>
      <c r="Y69" s="15"/>
      <c r="Z69" s="15"/>
      <c r="AA69" s="15"/>
      <c r="AB69" s="15"/>
      <c r="AC69" s="15"/>
      <c r="AD69" s="15"/>
      <c r="AF69" s="88"/>
    </row>
    <row r="70" spans="1:38" s="9" customFormat="1" ht="12" customHeight="1" thickBot="1" x14ac:dyDescent="0.25">
      <c r="A70" s="90"/>
      <c r="B70" s="19" t="s">
        <v>199</v>
      </c>
      <c r="C70" s="20">
        <f>+C68+C69</f>
        <v>-57100000</v>
      </c>
      <c r="D70" s="20">
        <f t="shared" ref="D70:K70" si="170">+D68+D69</f>
        <v>-9900000</v>
      </c>
      <c r="E70" s="20">
        <f t="shared" si="170"/>
        <v>-20900000</v>
      </c>
      <c r="F70" s="20">
        <f t="shared" si="170"/>
        <v>-13600000</v>
      </c>
      <c r="G70" s="39">
        <f t="shared" si="170"/>
        <v>-600000</v>
      </c>
      <c r="H70" s="20">
        <f t="shared" si="170"/>
        <v>0</v>
      </c>
      <c r="I70" s="20">
        <f t="shared" si="170"/>
        <v>0</v>
      </c>
      <c r="J70" s="20">
        <f t="shared" si="170"/>
        <v>0</v>
      </c>
      <c r="K70" s="20">
        <f t="shared" si="170"/>
        <v>0</v>
      </c>
      <c r="L70" s="8"/>
      <c r="M70" s="20">
        <f t="shared" ref="M70:T70" si="171">+M68+M69</f>
        <v>-43200000</v>
      </c>
      <c r="N70" s="20">
        <f t="shared" si="171"/>
        <v>-13900000</v>
      </c>
      <c r="O70" s="20">
        <f t="shared" si="171"/>
        <v>-2600000</v>
      </c>
      <c r="P70" s="20">
        <f t="shared" si="171"/>
        <v>-7300000</v>
      </c>
      <c r="Q70" s="20">
        <f t="shared" si="171"/>
        <v>-18000000</v>
      </c>
      <c r="R70" s="20">
        <f t="shared" si="171"/>
        <v>-2900000</v>
      </c>
      <c r="S70" s="20">
        <f t="shared" si="171"/>
        <v>-8500000</v>
      </c>
      <c r="T70" s="20">
        <f t="shared" si="171"/>
        <v>-5100000</v>
      </c>
      <c r="U70" s="20">
        <f>+U68+U69</f>
        <v>-2700000</v>
      </c>
      <c r="V70" s="20">
        <f t="shared" ref="V70:W70" si="172">+V68+V69</f>
        <v>2100000</v>
      </c>
      <c r="W70" s="39">
        <f t="shared" si="172"/>
        <v>-1200000</v>
      </c>
      <c r="X70" s="20">
        <f t="shared" ref="X70" si="173">+X68+X69</f>
        <v>0</v>
      </c>
      <c r="Y70" s="20">
        <f t="shared" ref="Y70" si="174">+Y68+Y69</f>
        <v>0</v>
      </c>
      <c r="Z70" s="20">
        <f t="shared" ref="Z70" si="175">+Z68+Z69</f>
        <v>0</v>
      </c>
      <c r="AA70" s="20">
        <f t="shared" ref="AA70" si="176">+AA68+AA69</f>
        <v>0</v>
      </c>
      <c r="AB70" s="20">
        <f t="shared" ref="AB70" si="177">+AB68+AB69</f>
        <v>0</v>
      </c>
      <c r="AC70" s="20">
        <f t="shared" ref="AC70" si="178">+AC68+AC69</f>
        <v>0</v>
      </c>
      <c r="AD70" s="20">
        <f t="shared" ref="AD70" si="179">+AD68+AD69</f>
        <v>0</v>
      </c>
    </row>
    <row r="71" spans="1:38" s="9" customFormat="1" ht="12" customHeight="1" x14ac:dyDescent="0.25">
      <c r="A71" s="7"/>
      <c r="B71" s="18"/>
      <c r="C71" s="18"/>
      <c r="D71" s="18"/>
      <c r="E71" s="18"/>
      <c r="F71" s="18"/>
      <c r="G71" s="18"/>
      <c r="H71" s="18"/>
      <c r="I71" s="18"/>
      <c r="J71" s="18"/>
      <c r="K71" s="18"/>
      <c r="L71" s="8"/>
      <c r="M71" s="18"/>
      <c r="N71" s="18"/>
      <c r="O71" s="18"/>
      <c r="P71" s="18"/>
      <c r="Q71" s="18"/>
      <c r="R71" s="18"/>
      <c r="S71" s="18"/>
      <c r="T71" s="18"/>
      <c r="U71" s="18"/>
      <c r="V71" s="18"/>
      <c r="W71" s="18"/>
      <c r="X71" s="18"/>
      <c r="Y71" s="18"/>
      <c r="Z71" s="18"/>
      <c r="AA71" s="18"/>
      <c r="AB71" s="18"/>
      <c r="AC71" s="18"/>
      <c r="AD71" s="18"/>
    </row>
    <row r="72" spans="1:38" s="13" customFormat="1" ht="16.5" thickBot="1" x14ac:dyDescent="0.3">
      <c r="A72" s="2"/>
      <c r="B72" s="10" t="s">
        <v>53</v>
      </c>
      <c r="C72" s="11" t="s">
        <v>5</v>
      </c>
      <c r="D72" s="11" t="s">
        <v>6</v>
      </c>
      <c r="E72" s="11" t="s">
        <v>7</v>
      </c>
      <c r="F72" s="11" t="s">
        <v>8</v>
      </c>
      <c r="G72" s="11" t="s">
        <v>9</v>
      </c>
      <c r="H72" s="11" t="s">
        <v>10</v>
      </c>
      <c r="I72" s="11" t="s">
        <v>11</v>
      </c>
      <c r="J72" s="11" t="s">
        <v>12</v>
      </c>
      <c r="K72" s="11" t="s">
        <v>13</v>
      </c>
      <c r="L72" s="12"/>
      <c r="M72" s="11" t="s">
        <v>14</v>
      </c>
      <c r="N72" s="11" t="s">
        <v>15</v>
      </c>
      <c r="O72" s="11" t="s">
        <v>16</v>
      </c>
      <c r="P72" s="11" t="s">
        <v>17</v>
      </c>
      <c r="Q72" s="11" t="s">
        <v>18</v>
      </c>
      <c r="R72" s="11" t="s">
        <v>19</v>
      </c>
      <c r="S72" s="11" t="s">
        <v>20</v>
      </c>
      <c r="T72" s="11" t="s">
        <v>21</v>
      </c>
      <c r="U72" s="11" t="s">
        <v>22</v>
      </c>
      <c r="V72" s="11" t="s">
        <v>182</v>
      </c>
      <c r="W72" s="11" t="s">
        <v>183</v>
      </c>
      <c r="X72" s="11" t="s">
        <v>184</v>
      </c>
      <c r="Y72" s="11" t="s">
        <v>185</v>
      </c>
      <c r="Z72" s="11" t="s">
        <v>186</v>
      </c>
      <c r="AA72" s="11" t="s">
        <v>187</v>
      </c>
      <c r="AB72" s="11" t="s">
        <v>188</v>
      </c>
      <c r="AC72" s="11" t="s">
        <v>189</v>
      </c>
      <c r="AD72" s="11" t="s">
        <v>190</v>
      </c>
    </row>
    <row r="73" spans="1:38" s="9" customFormat="1" ht="12" customHeight="1" thickTop="1" x14ac:dyDescent="0.2">
      <c r="A73" s="90" t="s">
        <v>54</v>
      </c>
      <c r="B73" s="14" t="s">
        <v>55</v>
      </c>
      <c r="C73" s="15">
        <v>23900000</v>
      </c>
      <c r="D73" s="15">
        <v>27800000</v>
      </c>
      <c r="E73" s="15">
        <v>38400000</v>
      </c>
      <c r="F73" s="15">
        <v>45900000</v>
      </c>
      <c r="G73" s="37">
        <v>55700000</v>
      </c>
      <c r="H73" s="15"/>
      <c r="I73" s="15"/>
      <c r="J73" s="15"/>
      <c r="K73" s="15"/>
      <c r="L73" s="8"/>
      <c r="M73" s="15">
        <v>11500000</v>
      </c>
      <c r="N73" s="15">
        <f t="shared" ref="N73:N74" si="180">ROUND(C73,-5)-ROUND(M73,-5)</f>
        <v>12400000</v>
      </c>
      <c r="O73" s="15">
        <v>12100000</v>
      </c>
      <c r="P73" s="15">
        <f t="shared" ref="P73:P74" si="181">ROUND(D73,-5)-ROUND(O73,-5)</f>
        <v>15700000</v>
      </c>
      <c r="Q73" s="15">
        <v>18000000</v>
      </c>
      <c r="R73" s="15">
        <f t="shared" ref="R73:R74" si="182">ROUND(E73,-5)-ROUND(Q73,-5)</f>
        <v>20400000</v>
      </c>
      <c r="S73" s="15">
        <v>21100000</v>
      </c>
      <c r="T73" s="15">
        <f t="shared" ref="T73:T74" si="183">ROUND(F73,-5)-ROUND(S73,-5)</f>
        <v>24800000</v>
      </c>
      <c r="U73" s="15">
        <v>25400000</v>
      </c>
      <c r="V73" s="15">
        <f t="shared" ref="V73:V74" si="184">G73-U73</f>
        <v>30300000</v>
      </c>
      <c r="W73" s="37">
        <v>31600000</v>
      </c>
      <c r="X73" s="15"/>
      <c r="Y73" s="15"/>
      <c r="Z73" s="15"/>
      <c r="AA73" s="15"/>
      <c r="AB73" s="15"/>
      <c r="AC73" s="15"/>
      <c r="AD73" s="15"/>
    </row>
    <row r="74" spans="1:38" s="9" customFormat="1" ht="12" customHeight="1" x14ac:dyDescent="0.2">
      <c r="A74" s="90"/>
      <c r="B74" s="14" t="s">
        <v>56</v>
      </c>
      <c r="C74" s="15">
        <v>41600000</v>
      </c>
      <c r="D74" s="15">
        <v>53600000</v>
      </c>
      <c r="E74" s="15">
        <v>73900000</v>
      </c>
      <c r="F74" s="15">
        <v>78100000</v>
      </c>
      <c r="G74" s="37">
        <v>78900000</v>
      </c>
      <c r="H74" s="15"/>
      <c r="I74" s="15"/>
      <c r="J74" s="15"/>
      <c r="K74" s="15"/>
      <c r="L74" s="8"/>
      <c r="M74" s="15">
        <v>21400000</v>
      </c>
      <c r="N74" s="15">
        <f t="shared" si="180"/>
        <v>20200000</v>
      </c>
      <c r="O74" s="15">
        <v>25200000</v>
      </c>
      <c r="P74" s="15">
        <f t="shared" si="181"/>
        <v>28400000</v>
      </c>
      <c r="Q74" s="15">
        <v>35500000</v>
      </c>
      <c r="R74" s="15">
        <f t="shared" si="182"/>
        <v>38400000</v>
      </c>
      <c r="S74" s="15">
        <v>39400000</v>
      </c>
      <c r="T74" s="15">
        <f t="shared" si="183"/>
        <v>38700000</v>
      </c>
      <c r="U74" s="15">
        <v>38000000</v>
      </c>
      <c r="V74" s="15">
        <f t="shared" si="184"/>
        <v>40900000</v>
      </c>
      <c r="W74" s="37">
        <v>38800000</v>
      </c>
      <c r="X74" s="15"/>
      <c r="Y74" s="15"/>
      <c r="Z74" s="15"/>
      <c r="AA74" s="15"/>
      <c r="AB74" s="15"/>
      <c r="AC74" s="15"/>
      <c r="AD74" s="15"/>
    </row>
    <row r="75" spans="1:38" s="9" customFormat="1" ht="12" customHeight="1" x14ac:dyDescent="0.2">
      <c r="A75" s="90"/>
      <c r="B75" s="16" t="s">
        <v>57</v>
      </c>
      <c r="C75" s="17">
        <f>ROUND(C73,-5)+ROUND(C74,-5)</f>
        <v>65500000</v>
      </c>
      <c r="D75" s="17">
        <f t="shared" ref="D75:K75" si="185">ROUND(D73,-5)+ROUND(D74,-5)</f>
        <v>81400000</v>
      </c>
      <c r="E75" s="17">
        <f t="shared" si="185"/>
        <v>112300000</v>
      </c>
      <c r="F75" s="17">
        <f t="shared" si="185"/>
        <v>124000000</v>
      </c>
      <c r="G75" s="38">
        <f t="shared" si="185"/>
        <v>134600000</v>
      </c>
      <c r="H75" s="17">
        <f t="shared" si="185"/>
        <v>0</v>
      </c>
      <c r="I75" s="17">
        <f t="shared" si="185"/>
        <v>0</v>
      </c>
      <c r="J75" s="17">
        <f t="shared" si="185"/>
        <v>0</v>
      </c>
      <c r="K75" s="17">
        <f t="shared" si="185"/>
        <v>0</v>
      </c>
      <c r="L75" s="8"/>
      <c r="M75" s="17">
        <f t="shared" ref="M75:T75" si="186">ROUND(M73,-5)+ROUND(M74,-5)</f>
        <v>32900000</v>
      </c>
      <c r="N75" s="17">
        <f t="shared" si="186"/>
        <v>32600000</v>
      </c>
      <c r="O75" s="17">
        <f t="shared" si="186"/>
        <v>37300000</v>
      </c>
      <c r="P75" s="17">
        <f t="shared" si="186"/>
        <v>44100000</v>
      </c>
      <c r="Q75" s="17">
        <f t="shared" si="186"/>
        <v>53500000</v>
      </c>
      <c r="R75" s="17">
        <f t="shared" si="186"/>
        <v>58800000</v>
      </c>
      <c r="S75" s="17">
        <f t="shared" si="186"/>
        <v>60500000</v>
      </c>
      <c r="T75" s="17">
        <f t="shared" si="186"/>
        <v>63500000</v>
      </c>
      <c r="U75" s="17">
        <f>SUM(U73:U74)</f>
        <v>63400000</v>
      </c>
      <c r="V75" s="17">
        <f t="shared" ref="V75:W75" si="187">SUM(V73:V74)</f>
        <v>71200000</v>
      </c>
      <c r="W75" s="38">
        <f t="shared" si="187"/>
        <v>70400000</v>
      </c>
      <c r="X75" s="17">
        <f t="shared" ref="X75" si="188">SUM(X73:X74)</f>
        <v>0</v>
      </c>
      <c r="Y75" s="17">
        <f t="shared" ref="Y75" si="189">SUM(Y73:Y74)</f>
        <v>0</v>
      </c>
      <c r="Z75" s="17">
        <f t="shared" ref="Z75" si="190">SUM(Z73:Z74)</f>
        <v>0</v>
      </c>
      <c r="AA75" s="17">
        <f t="shared" ref="AA75" si="191">SUM(AA73:AA74)</f>
        <v>0</v>
      </c>
      <c r="AB75" s="17">
        <f t="shared" ref="AB75" si="192">SUM(AB73:AB74)</f>
        <v>0</v>
      </c>
      <c r="AC75" s="17">
        <f t="shared" ref="AC75" si="193">SUM(AC73:AC74)</f>
        <v>0</v>
      </c>
      <c r="AD75" s="17">
        <f t="shared" ref="AD75" si="194">SUM(AD73:AD74)</f>
        <v>0</v>
      </c>
    </row>
    <row r="76" spans="1:38" s="9" customFormat="1" ht="12" customHeight="1" x14ac:dyDescent="0.2">
      <c r="A76" s="90"/>
      <c r="B76" s="44" t="s">
        <v>58</v>
      </c>
      <c r="C76" s="46">
        <f>+C75/C82</f>
        <v>0.74857142857142855</v>
      </c>
      <c r="D76" s="46">
        <f t="shared" ref="D76:G76" si="195">+D75/D82</f>
        <v>0.82976554536187563</v>
      </c>
      <c r="E76" s="46">
        <f t="shared" si="195"/>
        <v>0.83123612139156178</v>
      </c>
      <c r="F76" s="46">
        <f t="shared" si="195"/>
        <v>0.86713286713286708</v>
      </c>
      <c r="G76" s="45">
        <f t="shared" si="195"/>
        <v>0.89733333333333332</v>
      </c>
      <c r="H76" s="46"/>
      <c r="I76" s="46"/>
      <c r="J76" s="46"/>
      <c r="K76" s="46"/>
      <c r="L76" s="47"/>
      <c r="M76" s="46">
        <f t="shared" ref="M76" si="196">+M75/M82</f>
        <v>0.734375</v>
      </c>
      <c r="N76" s="46">
        <f t="shared" ref="N76" si="197">+N75/N82</f>
        <v>0.7634660421545667</v>
      </c>
      <c r="O76" s="46">
        <f t="shared" ref="O76" si="198">+O75/O82</f>
        <v>0.83073496659242763</v>
      </c>
      <c r="P76" s="46">
        <f t="shared" ref="P76" si="199">+P75/P82</f>
        <v>0.82894736842105265</v>
      </c>
      <c r="Q76" s="46">
        <f t="shared" ref="Q76" si="200">+Q75/Q82</f>
        <v>0.85737179487179482</v>
      </c>
      <c r="R76" s="46">
        <f t="shared" ref="R76" si="201">+R75/R82</f>
        <v>0.80880330123796429</v>
      </c>
      <c r="S76" s="46">
        <f t="shared" ref="S76" si="202">+S75/S82</f>
        <v>0.86800573888091825</v>
      </c>
      <c r="T76" s="46">
        <f t="shared" ref="T76" si="203">+T75/T82</f>
        <v>0.86630286493860842</v>
      </c>
      <c r="U76" s="46">
        <f t="shared" ref="U76:W76" si="204">+U75/U82</f>
        <v>0.91091954022988508</v>
      </c>
      <c r="V76" s="46">
        <f t="shared" si="204"/>
        <v>0.88557213930348255</v>
      </c>
      <c r="W76" s="45">
        <f t="shared" si="204"/>
        <v>0.91428571428571426</v>
      </c>
      <c r="X76" s="46"/>
      <c r="Y76" s="46"/>
      <c r="Z76" s="46"/>
      <c r="AA76" s="46"/>
      <c r="AB76" s="46"/>
      <c r="AC76" s="46"/>
      <c r="AD76" s="46"/>
    </row>
    <row r="77" spans="1:38" s="9" customFormat="1" ht="12" customHeight="1" x14ac:dyDescent="0.2">
      <c r="A77" s="90"/>
      <c r="B77" s="14" t="s">
        <v>59</v>
      </c>
      <c r="C77" s="15">
        <v>6200000</v>
      </c>
      <c r="D77" s="15">
        <v>5400000</v>
      </c>
      <c r="E77" s="15">
        <v>6300000</v>
      </c>
      <c r="F77" s="15">
        <v>4500000</v>
      </c>
      <c r="G77" s="37">
        <v>3500000</v>
      </c>
      <c r="H77" s="15"/>
      <c r="I77" s="15"/>
      <c r="J77" s="15"/>
      <c r="K77" s="15"/>
      <c r="L77" s="8"/>
      <c r="M77" s="15">
        <v>2300000</v>
      </c>
      <c r="N77" s="15">
        <f t="shared" ref="N77:N80" si="205">ROUND(C77,-5)-ROUND(M77,-5)</f>
        <v>3900000</v>
      </c>
      <c r="O77" s="15">
        <v>2300000</v>
      </c>
      <c r="P77" s="15">
        <f t="shared" ref="P77:P80" si="206">ROUND(D77,-5)-ROUND(O77,-5)</f>
        <v>3100000</v>
      </c>
      <c r="Q77" s="15">
        <v>1900000</v>
      </c>
      <c r="R77" s="15">
        <f t="shared" ref="R77:R80" si="207">ROUND(E77,-5)-ROUND(Q77,-5)</f>
        <v>4400000</v>
      </c>
      <c r="S77" s="15">
        <v>2700000</v>
      </c>
      <c r="T77" s="15">
        <f t="shared" ref="T77:T80" si="208">ROUND(F77,-5)-ROUND(S77,-5)</f>
        <v>1800000</v>
      </c>
      <c r="U77" s="15">
        <v>1400000</v>
      </c>
      <c r="V77" s="15">
        <f t="shared" ref="V77:V80" si="209">G77-U77</f>
        <v>2100000</v>
      </c>
      <c r="W77" s="37">
        <v>900000</v>
      </c>
      <c r="X77" s="15"/>
      <c r="Y77" s="15"/>
      <c r="Z77" s="15"/>
      <c r="AA77" s="15"/>
      <c r="AB77" s="15"/>
      <c r="AC77" s="15"/>
      <c r="AD77" s="15"/>
    </row>
    <row r="78" spans="1:38" s="9" customFormat="1" ht="12" customHeight="1" x14ac:dyDescent="0.2">
      <c r="A78" s="90"/>
      <c r="B78" s="14" t="s">
        <v>60</v>
      </c>
      <c r="C78" s="15">
        <v>3300000</v>
      </c>
      <c r="D78" s="15">
        <v>1500000</v>
      </c>
      <c r="E78" s="15">
        <v>6200000</v>
      </c>
      <c r="F78" s="15">
        <v>3700000</v>
      </c>
      <c r="G78" s="37">
        <v>2000000</v>
      </c>
      <c r="H78" s="15"/>
      <c r="I78" s="15"/>
      <c r="J78" s="15"/>
      <c r="K78" s="15"/>
      <c r="L78" s="8"/>
      <c r="M78" s="15">
        <v>2500000</v>
      </c>
      <c r="N78" s="15">
        <f t="shared" si="205"/>
        <v>800000</v>
      </c>
      <c r="O78" s="15">
        <v>600000</v>
      </c>
      <c r="P78" s="15">
        <f t="shared" si="206"/>
        <v>900000</v>
      </c>
      <c r="Q78" s="15">
        <v>2900000</v>
      </c>
      <c r="R78" s="15">
        <f t="shared" si="207"/>
        <v>3300000</v>
      </c>
      <c r="S78" s="15">
        <v>1600000</v>
      </c>
      <c r="T78" s="15">
        <f t="shared" si="208"/>
        <v>2100000</v>
      </c>
      <c r="U78" s="15">
        <v>900000</v>
      </c>
      <c r="V78" s="15">
        <f t="shared" si="209"/>
        <v>1100000</v>
      </c>
      <c r="W78" s="37">
        <v>1100000</v>
      </c>
      <c r="X78" s="15"/>
      <c r="Y78" s="15"/>
      <c r="Z78" s="15"/>
      <c r="AA78" s="15"/>
      <c r="AB78" s="15"/>
      <c r="AC78" s="15"/>
      <c r="AD78" s="15"/>
    </row>
    <row r="79" spans="1:38" s="9" customFormat="1" ht="12" customHeight="1" x14ac:dyDescent="0.2">
      <c r="A79" s="90"/>
      <c r="B79" s="14" t="s">
        <v>61</v>
      </c>
      <c r="C79" s="15">
        <v>11900000</v>
      </c>
      <c r="D79" s="15">
        <v>9500000</v>
      </c>
      <c r="E79" s="15">
        <v>10000000</v>
      </c>
      <c r="F79" s="15">
        <v>10200000</v>
      </c>
      <c r="G79" s="37">
        <v>9600000</v>
      </c>
      <c r="H79" s="15"/>
      <c r="I79" s="15"/>
      <c r="J79" s="15"/>
      <c r="K79" s="15"/>
      <c r="L79" s="8"/>
      <c r="M79" s="15">
        <v>6600000</v>
      </c>
      <c r="N79" s="15">
        <f t="shared" si="205"/>
        <v>5300000</v>
      </c>
      <c r="O79" s="15">
        <v>4500000</v>
      </c>
      <c r="P79" s="15">
        <f t="shared" si="206"/>
        <v>5000000</v>
      </c>
      <c r="Q79" s="15">
        <v>4000000</v>
      </c>
      <c r="R79" s="15">
        <f t="shared" si="207"/>
        <v>6000000</v>
      </c>
      <c r="S79" s="15">
        <v>4600000</v>
      </c>
      <c r="T79" s="15">
        <f t="shared" si="208"/>
        <v>5600000</v>
      </c>
      <c r="U79" s="15">
        <v>3700000</v>
      </c>
      <c r="V79" s="15">
        <f t="shared" si="209"/>
        <v>5900000</v>
      </c>
      <c r="W79" s="37">
        <v>4500000</v>
      </c>
      <c r="X79" s="15"/>
      <c r="Y79" s="15"/>
      <c r="Z79" s="15"/>
      <c r="AA79" s="15"/>
      <c r="AB79" s="15"/>
      <c r="AC79" s="15"/>
      <c r="AD79" s="15"/>
    </row>
    <row r="80" spans="1:38" s="9" customFormat="1" ht="12" customHeight="1" x14ac:dyDescent="0.2">
      <c r="A80" s="90"/>
      <c r="B80" s="14" t="s">
        <v>62</v>
      </c>
      <c r="C80" s="15">
        <v>600000</v>
      </c>
      <c r="D80" s="15">
        <v>300000</v>
      </c>
      <c r="E80" s="15">
        <v>300000</v>
      </c>
      <c r="F80" s="15">
        <v>600000</v>
      </c>
      <c r="G80" s="37">
        <v>300000</v>
      </c>
      <c r="H80" s="15"/>
      <c r="I80" s="15"/>
      <c r="J80" s="15"/>
      <c r="K80" s="15"/>
      <c r="L80" s="8"/>
      <c r="M80" s="15">
        <v>500000</v>
      </c>
      <c r="N80" s="15">
        <f t="shared" si="205"/>
        <v>100000</v>
      </c>
      <c r="O80" s="15">
        <v>200000</v>
      </c>
      <c r="P80" s="15">
        <f t="shared" si="206"/>
        <v>100000</v>
      </c>
      <c r="Q80" s="15">
        <v>100000</v>
      </c>
      <c r="R80" s="15">
        <f t="shared" si="207"/>
        <v>200000</v>
      </c>
      <c r="S80" s="15">
        <v>300000</v>
      </c>
      <c r="T80" s="15">
        <f t="shared" si="208"/>
        <v>300000</v>
      </c>
      <c r="U80" s="15">
        <v>200000</v>
      </c>
      <c r="V80" s="15">
        <f t="shared" si="209"/>
        <v>100000</v>
      </c>
      <c r="W80" s="37">
        <v>100000</v>
      </c>
      <c r="X80" s="15"/>
      <c r="Y80" s="15"/>
      <c r="Z80" s="15"/>
      <c r="AA80" s="15"/>
      <c r="AB80" s="15"/>
      <c r="AC80" s="15"/>
      <c r="AD80" s="15"/>
    </row>
    <row r="81" spans="1:30" s="9" customFormat="1" ht="12" customHeight="1" x14ac:dyDescent="0.2">
      <c r="A81" s="90"/>
      <c r="B81" s="16" t="s">
        <v>63</v>
      </c>
      <c r="C81" s="17">
        <f>+ROUND(C78,-5)+ROUND(C79,-5)+ROUND(C80,-5)+ROUND(C77,-5)</f>
        <v>22000000</v>
      </c>
      <c r="D81" s="17">
        <f>+ROUND(D78,-5)+ROUND(D79,-5)+ROUND(D80,-5)+ROUND(D77,-5)</f>
        <v>16700000</v>
      </c>
      <c r="E81" s="17">
        <f t="shared" ref="E81:K81" si="210">+ROUND(E78,-5)+ROUND(E79,-5)+ROUND(E80,-5)+ROUND(E77,-5)</f>
        <v>22800000</v>
      </c>
      <c r="F81" s="17">
        <f t="shared" si="210"/>
        <v>19000000</v>
      </c>
      <c r="G81" s="38">
        <f t="shared" si="210"/>
        <v>15400000</v>
      </c>
      <c r="H81" s="17">
        <f t="shared" si="210"/>
        <v>0</v>
      </c>
      <c r="I81" s="17">
        <f t="shared" si="210"/>
        <v>0</v>
      </c>
      <c r="J81" s="17">
        <f t="shared" si="210"/>
        <v>0</v>
      </c>
      <c r="K81" s="17">
        <f t="shared" si="210"/>
        <v>0</v>
      </c>
      <c r="L81" s="8"/>
      <c r="M81" s="17">
        <f t="shared" ref="M81:T81" si="211">+ROUND(M78,-5)+ROUND(M79,-5)+ROUND(M80,-5)+ROUND(M77,-5)</f>
        <v>11900000</v>
      </c>
      <c r="N81" s="17">
        <f t="shared" si="211"/>
        <v>10100000</v>
      </c>
      <c r="O81" s="17">
        <f t="shared" si="211"/>
        <v>7600000</v>
      </c>
      <c r="P81" s="17">
        <f t="shared" si="211"/>
        <v>9100000</v>
      </c>
      <c r="Q81" s="17">
        <f t="shared" si="211"/>
        <v>8900000</v>
      </c>
      <c r="R81" s="17">
        <f t="shared" si="211"/>
        <v>13900000</v>
      </c>
      <c r="S81" s="17">
        <f t="shared" si="211"/>
        <v>9200000</v>
      </c>
      <c r="T81" s="17">
        <f t="shared" si="211"/>
        <v>9800000</v>
      </c>
      <c r="U81" s="17">
        <f>SUM(U77:U80)</f>
        <v>6200000</v>
      </c>
      <c r="V81" s="17">
        <f t="shared" ref="V81:W81" si="212">SUM(V77:V80)</f>
        <v>9200000</v>
      </c>
      <c r="W81" s="38">
        <f t="shared" si="212"/>
        <v>6600000</v>
      </c>
      <c r="X81" s="17">
        <f t="shared" ref="X81" si="213">SUM(X77:X80)</f>
        <v>0</v>
      </c>
      <c r="Y81" s="17">
        <f t="shared" ref="Y81" si="214">SUM(Y77:Y80)</f>
        <v>0</v>
      </c>
      <c r="Z81" s="17">
        <f t="shared" ref="Z81" si="215">SUM(Z77:Z80)</f>
        <v>0</v>
      </c>
      <c r="AA81" s="17">
        <f t="shared" ref="AA81" si="216">SUM(AA77:AA80)</f>
        <v>0</v>
      </c>
      <c r="AB81" s="17">
        <f t="shared" ref="AB81" si="217">SUM(AB77:AB80)</f>
        <v>0</v>
      </c>
      <c r="AC81" s="17">
        <f t="shared" ref="AC81" si="218">SUM(AC77:AC80)</f>
        <v>0</v>
      </c>
      <c r="AD81" s="17">
        <f t="shared" ref="AD81" si="219">SUM(AD77:AD80)</f>
        <v>0</v>
      </c>
    </row>
    <row r="82" spans="1:30" s="9" customFormat="1" ht="12" customHeight="1" thickBot="1" x14ac:dyDescent="0.25">
      <c r="A82" s="90"/>
      <c r="B82" s="19" t="s">
        <v>29</v>
      </c>
      <c r="C82" s="20">
        <f>+C75+C81</f>
        <v>87500000</v>
      </c>
      <c r="D82" s="20">
        <f t="shared" ref="D82:K82" si="220">+D75+D81</f>
        <v>98100000</v>
      </c>
      <c r="E82" s="20">
        <f t="shared" si="220"/>
        <v>135100000</v>
      </c>
      <c r="F82" s="20">
        <f t="shared" si="220"/>
        <v>143000000</v>
      </c>
      <c r="G82" s="39">
        <f t="shared" si="220"/>
        <v>150000000</v>
      </c>
      <c r="H82" s="20">
        <f t="shared" si="220"/>
        <v>0</v>
      </c>
      <c r="I82" s="20">
        <f t="shared" si="220"/>
        <v>0</v>
      </c>
      <c r="J82" s="20">
        <f t="shared" si="220"/>
        <v>0</v>
      </c>
      <c r="K82" s="20">
        <f t="shared" si="220"/>
        <v>0</v>
      </c>
      <c r="L82" s="8"/>
      <c r="M82" s="20">
        <f t="shared" ref="M82:T82" si="221">+M75+M81</f>
        <v>44800000</v>
      </c>
      <c r="N82" s="20">
        <f t="shared" si="221"/>
        <v>42700000</v>
      </c>
      <c r="O82" s="20">
        <f t="shared" si="221"/>
        <v>44900000</v>
      </c>
      <c r="P82" s="20">
        <f t="shared" si="221"/>
        <v>53200000</v>
      </c>
      <c r="Q82" s="20">
        <f t="shared" si="221"/>
        <v>62400000</v>
      </c>
      <c r="R82" s="20">
        <f t="shared" si="221"/>
        <v>72700000</v>
      </c>
      <c r="S82" s="20">
        <f t="shared" si="221"/>
        <v>69700000</v>
      </c>
      <c r="T82" s="20">
        <f t="shared" si="221"/>
        <v>73300000</v>
      </c>
      <c r="U82" s="20">
        <f>+U75+U81</f>
        <v>69600000</v>
      </c>
      <c r="V82" s="20">
        <f t="shared" ref="V82:W82" si="222">+V75+V81</f>
        <v>80400000</v>
      </c>
      <c r="W82" s="39">
        <f t="shared" si="222"/>
        <v>77000000</v>
      </c>
      <c r="X82" s="20">
        <f t="shared" ref="X82" si="223">+X75+X81</f>
        <v>0</v>
      </c>
      <c r="Y82" s="20">
        <f t="shared" ref="Y82" si="224">+Y75+Y81</f>
        <v>0</v>
      </c>
      <c r="Z82" s="20">
        <f t="shared" ref="Z82" si="225">+Z75+Z81</f>
        <v>0</v>
      </c>
      <c r="AA82" s="20">
        <f t="shared" ref="AA82" si="226">+AA75+AA81</f>
        <v>0</v>
      </c>
      <c r="AB82" s="20">
        <f t="shared" ref="AB82" si="227">+AB75+AB81</f>
        <v>0</v>
      </c>
      <c r="AC82" s="20">
        <f t="shared" ref="AC82" si="228">+AC75+AC81</f>
        <v>0</v>
      </c>
      <c r="AD82" s="20">
        <f t="shared" ref="AD82" si="229">+AD75+AD81</f>
        <v>0</v>
      </c>
    </row>
    <row r="83" spans="1:30" s="9" customFormat="1" ht="12" customHeight="1" x14ac:dyDescent="0.25">
      <c r="A83" s="7"/>
      <c r="B83" s="23"/>
      <c r="C83" s="24"/>
      <c r="D83" s="24"/>
      <c r="E83" s="24"/>
      <c r="F83" s="24"/>
      <c r="G83" s="24"/>
      <c r="H83" s="24"/>
      <c r="I83" s="24"/>
      <c r="J83" s="24"/>
      <c r="K83" s="24"/>
      <c r="L83" s="8"/>
      <c r="M83" s="24"/>
      <c r="N83" s="24"/>
      <c r="O83" s="24"/>
      <c r="P83" s="24"/>
      <c r="Q83" s="24"/>
      <c r="R83" s="24"/>
      <c r="S83" s="24"/>
      <c r="T83" s="24"/>
      <c r="U83" s="24"/>
      <c r="V83" s="24"/>
      <c r="W83" s="24"/>
      <c r="X83" s="24"/>
      <c r="Y83" s="24"/>
      <c r="Z83" s="24"/>
      <c r="AA83" s="24"/>
      <c r="AB83" s="24"/>
      <c r="AC83" s="24"/>
      <c r="AD83" s="24"/>
    </row>
    <row r="84" spans="1:30" s="61" customFormat="1" ht="28.5" thickBot="1" x14ac:dyDescent="0.3">
      <c r="A84" s="60"/>
      <c r="B84" s="57" t="s">
        <v>197</v>
      </c>
      <c r="C84" s="58" t="s">
        <v>5</v>
      </c>
      <c r="D84" s="58" t="s">
        <v>6</v>
      </c>
      <c r="E84" s="58" t="s">
        <v>206</v>
      </c>
      <c r="F84" s="58" t="s">
        <v>196</v>
      </c>
      <c r="G84" s="58" t="s">
        <v>203</v>
      </c>
      <c r="H84" s="58" t="s">
        <v>10</v>
      </c>
      <c r="I84" s="58" t="s">
        <v>11</v>
      </c>
      <c r="J84" s="58" t="s">
        <v>12</v>
      </c>
      <c r="K84" s="58" t="s">
        <v>13</v>
      </c>
      <c r="L84" s="59"/>
      <c r="M84" s="58" t="s">
        <v>14</v>
      </c>
      <c r="N84" s="58" t="s">
        <v>15</v>
      </c>
      <c r="O84" s="58" t="s">
        <v>16</v>
      </c>
      <c r="P84" s="58" t="s">
        <v>17</v>
      </c>
      <c r="Q84" s="58" t="s">
        <v>18</v>
      </c>
      <c r="R84" s="58" t="s">
        <v>207</v>
      </c>
      <c r="S84" s="58" t="s">
        <v>64</v>
      </c>
      <c r="T84" s="58" t="s">
        <v>155</v>
      </c>
      <c r="U84" s="58" t="s">
        <v>204</v>
      </c>
      <c r="V84" s="58" t="s">
        <v>205</v>
      </c>
      <c r="W84" s="58" t="s">
        <v>183</v>
      </c>
      <c r="X84" s="58" t="s">
        <v>184</v>
      </c>
      <c r="Y84" s="58" t="s">
        <v>185</v>
      </c>
      <c r="Z84" s="58" t="s">
        <v>186</v>
      </c>
      <c r="AA84" s="58" t="s">
        <v>187</v>
      </c>
      <c r="AB84" s="58" t="s">
        <v>188</v>
      </c>
      <c r="AC84" s="58" t="s">
        <v>189</v>
      </c>
      <c r="AD84" s="58" t="s">
        <v>190</v>
      </c>
    </row>
    <row r="85" spans="1:30" s="9" customFormat="1" ht="12" customHeight="1" thickTop="1" x14ac:dyDescent="0.2">
      <c r="A85" s="90" t="s">
        <v>65</v>
      </c>
      <c r="B85" s="14" t="s">
        <v>66</v>
      </c>
      <c r="C85" s="15">
        <v>11000000</v>
      </c>
      <c r="D85" s="15">
        <v>11200000</v>
      </c>
      <c r="E85" s="15">
        <v>15800000</v>
      </c>
      <c r="F85" s="15">
        <v>15600000</v>
      </c>
      <c r="G85" s="37">
        <v>18200000</v>
      </c>
      <c r="H85" s="24"/>
      <c r="I85" s="24"/>
      <c r="J85" s="24"/>
      <c r="K85" s="24"/>
      <c r="L85" s="8"/>
      <c r="M85" s="15">
        <v>5700000</v>
      </c>
      <c r="N85" s="15">
        <f>ROUND(C85,-5)-ROUND(M85,-5)</f>
        <v>5300000</v>
      </c>
      <c r="O85" s="15">
        <v>5000000</v>
      </c>
      <c r="P85" s="15">
        <f>ROUND(D85,-5)-ROUND(O85,-5)</f>
        <v>6200000</v>
      </c>
      <c r="Q85" s="15">
        <v>7200000</v>
      </c>
      <c r="R85" s="15">
        <f>ROUND(E85,-5)-ROUND(Q85,-5)</f>
        <v>8600000</v>
      </c>
      <c r="S85" s="15">
        <v>7800000</v>
      </c>
      <c r="T85" s="15">
        <f>ROUND(F85,-5)-ROUND(S85,-5)</f>
        <v>7800000</v>
      </c>
      <c r="U85" s="15">
        <v>8100000</v>
      </c>
      <c r="V85" s="15">
        <f>G85-U85</f>
        <v>10100000</v>
      </c>
      <c r="W85" s="37">
        <v>10900000</v>
      </c>
      <c r="X85" s="15"/>
      <c r="Y85" s="15"/>
      <c r="Z85" s="15"/>
      <c r="AA85" s="15"/>
      <c r="AB85" s="15"/>
      <c r="AC85" s="15"/>
      <c r="AD85" s="15"/>
    </row>
    <row r="86" spans="1:30" s="9" customFormat="1" ht="12" customHeight="1" x14ac:dyDescent="0.2">
      <c r="A86" s="90"/>
      <c r="B86" s="14" t="s">
        <v>31</v>
      </c>
      <c r="C86" s="15">
        <v>3000000</v>
      </c>
      <c r="D86" s="15">
        <v>1300000</v>
      </c>
      <c r="E86" s="15">
        <v>4700000</v>
      </c>
      <c r="F86" s="15">
        <v>2600000</v>
      </c>
      <c r="G86" s="37">
        <v>1300000</v>
      </c>
      <c r="H86" s="24"/>
      <c r="I86" s="24"/>
      <c r="J86" s="24"/>
      <c r="K86" s="24"/>
      <c r="L86" s="8"/>
      <c r="M86" s="15">
        <v>2100000</v>
      </c>
      <c r="N86" s="15">
        <f t="shared" ref="N86:N105" si="230">ROUND(C86,-5)-ROUND(M86,-5)</f>
        <v>900000</v>
      </c>
      <c r="O86" s="15">
        <v>500000</v>
      </c>
      <c r="P86" s="15">
        <f t="shared" ref="P86:P105" si="231">ROUND(D86,-5)-ROUND(O86,-5)</f>
        <v>800000</v>
      </c>
      <c r="Q86" s="15">
        <v>2400000</v>
      </c>
      <c r="R86" s="15">
        <f t="shared" ref="R86:R105" si="232">ROUND(E86,-5)-ROUND(Q86,-5)</f>
        <v>2300000</v>
      </c>
      <c r="S86" s="15">
        <v>1100000</v>
      </c>
      <c r="T86" s="15">
        <f t="shared" ref="T86:T105" si="233">ROUND(F86,-5)-ROUND(S86,-5)</f>
        <v>1500000</v>
      </c>
      <c r="U86" s="15">
        <v>500000</v>
      </c>
      <c r="V86" s="15">
        <f t="shared" ref="V86:V105" si="234">G86-U86</f>
        <v>800000</v>
      </c>
      <c r="W86" s="37">
        <v>900000</v>
      </c>
      <c r="X86" s="15"/>
      <c r="Y86" s="15"/>
      <c r="Z86" s="15"/>
      <c r="AA86" s="15"/>
      <c r="AB86" s="15"/>
      <c r="AC86" s="15"/>
      <c r="AD86" s="15"/>
    </row>
    <row r="87" spans="1:30" s="9" customFormat="1" ht="12" customHeight="1" x14ac:dyDescent="0.2">
      <c r="A87" s="90"/>
      <c r="B87" s="14" t="s">
        <v>67</v>
      </c>
      <c r="C87" s="15">
        <v>69400000</v>
      </c>
      <c r="D87" s="15">
        <v>68000000</v>
      </c>
      <c r="E87" s="15">
        <v>82400000</v>
      </c>
      <c r="F87" s="15">
        <v>91600000</v>
      </c>
      <c r="G87" s="37">
        <v>88500000</v>
      </c>
      <c r="H87" s="24"/>
      <c r="I87" s="24"/>
      <c r="J87" s="24"/>
      <c r="K87" s="24"/>
      <c r="L87" s="8"/>
      <c r="M87" s="15">
        <v>36900000</v>
      </c>
      <c r="N87" s="15">
        <f t="shared" si="230"/>
        <v>32500000</v>
      </c>
      <c r="O87" s="15">
        <v>32500000</v>
      </c>
      <c r="P87" s="15">
        <f t="shared" si="231"/>
        <v>35500000</v>
      </c>
      <c r="Q87" s="15">
        <v>39000000</v>
      </c>
      <c r="R87" s="15">
        <f t="shared" si="232"/>
        <v>43400000</v>
      </c>
      <c r="S87" s="15">
        <v>47000000</v>
      </c>
      <c r="T87" s="15">
        <f t="shared" si="233"/>
        <v>44600000</v>
      </c>
      <c r="U87" s="15">
        <v>44000000</v>
      </c>
      <c r="V87" s="15">
        <f t="shared" si="234"/>
        <v>44500000</v>
      </c>
      <c r="W87" s="37">
        <v>47200000</v>
      </c>
      <c r="X87" s="15"/>
      <c r="Y87" s="15"/>
      <c r="Z87" s="15"/>
      <c r="AA87" s="15"/>
      <c r="AB87" s="15"/>
      <c r="AC87" s="15"/>
      <c r="AD87" s="15"/>
    </row>
    <row r="88" spans="1:30" s="9" customFormat="1" ht="12" customHeight="1" x14ac:dyDescent="0.2">
      <c r="A88" s="90"/>
      <c r="B88" s="14" t="s">
        <v>68</v>
      </c>
      <c r="C88" s="15">
        <v>500000</v>
      </c>
      <c r="D88" s="15">
        <v>5200000</v>
      </c>
      <c r="E88" s="15">
        <v>4500000</v>
      </c>
      <c r="F88" s="15">
        <v>3200000</v>
      </c>
      <c r="G88" s="37">
        <v>1800000</v>
      </c>
      <c r="H88" s="24"/>
      <c r="I88" s="24"/>
      <c r="J88" s="24"/>
      <c r="K88" s="24"/>
      <c r="L88" s="8"/>
      <c r="M88" s="15">
        <v>-300000</v>
      </c>
      <c r="N88" s="15">
        <f t="shared" si="230"/>
        <v>800000</v>
      </c>
      <c r="O88" s="15">
        <v>3000000</v>
      </c>
      <c r="P88" s="15">
        <f t="shared" si="231"/>
        <v>2200000</v>
      </c>
      <c r="Q88" s="15">
        <v>1900000</v>
      </c>
      <c r="R88" s="15">
        <f t="shared" si="232"/>
        <v>2600000</v>
      </c>
      <c r="S88" s="15">
        <v>2300000</v>
      </c>
      <c r="T88" s="15">
        <f t="shared" si="233"/>
        <v>900000</v>
      </c>
      <c r="U88" s="15">
        <v>1100000</v>
      </c>
      <c r="V88" s="15">
        <f t="shared" si="234"/>
        <v>700000</v>
      </c>
      <c r="W88" s="37">
        <v>600000</v>
      </c>
      <c r="X88" s="15"/>
      <c r="Y88" s="15"/>
      <c r="Z88" s="15"/>
      <c r="AA88" s="15"/>
      <c r="AB88" s="15"/>
      <c r="AC88" s="15"/>
      <c r="AD88" s="15"/>
    </row>
    <row r="89" spans="1:30" s="9" customFormat="1" ht="12" customHeight="1" x14ac:dyDescent="0.2">
      <c r="A89" s="90"/>
      <c r="B89" s="14" t="s">
        <v>69</v>
      </c>
      <c r="C89" s="15">
        <v>7100000</v>
      </c>
      <c r="D89" s="15">
        <v>6700000</v>
      </c>
      <c r="E89" s="15">
        <v>8200000</v>
      </c>
      <c r="F89" s="15">
        <v>9700000</v>
      </c>
      <c r="G89" s="37">
        <v>9300000</v>
      </c>
      <c r="H89" s="24"/>
      <c r="I89" s="24"/>
      <c r="J89" s="24"/>
      <c r="K89" s="24"/>
      <c r="L89" s="8"/>
      <c r="M89" s="15">
        <v>3900000</v>
      </c>
      <c r="N89" s="15">
        <f t="shared" si="230"/>
        <v>3200000</v>
      </c>
      <c r="O89" s="15">
        <v>3000000</v>
      </c>
      <c r="P89" s="15">
        <f t="shared" si="231"/>
        <v>3700000</v>
      </c>
      <c r="Q89" s="15">
        <v>3900000</v>
      </c>
      <c r="R89" s="15">
        <f t="shared" si="232"/>
        <v>4300000</v>
      </c>
      <c r="S89" s="15">
        <v>4800000</v>
      </c>
      <c r="T89" s="15">
        <f t="shared" si="233"/>
        <v>4900000</v>
      </c>
      <c r="U89" s="15">
        <v>4700000</v>
      </c>
      <c r="V89" s="15">
        <f t="shared" si="234"/>
        <v>4600000</v>
      </c>
      <c r="W89" s="37">
        <v>5300000</v>
      </c>
      <c r="X89" s="15"/>
      <c r="Y89" s="15"/>
      <c r="Z89" s="15"/>
      <c r="AA89" s="15"/>
      <c r="AB89" s="15"/>
      <c r="AC89" s="15"/>
      <c r="AD89" s="15"/>
    </row>
    <row r="90" spans="1:30" s="9" customFormat="1" ht="12" customHeight="1" x14ac:dyDescent="0.2">
      <c r="A90" s="90"/>
      <c r="B90" s="14" t="s">
        <v>70</v>
      </c>
      <c r="C90" s="15">
        <v>-12800000</v>
      </c>
      <c r="D90" s="15">
        <v>-12600000</v>
      </c>
      <c r="E90" s="15">
        <v>-15900000</v>
      </c>
      <c r="F90" s="15">
        <v>-18700000</v>
      </c>
      <c r="G90" s="37">
        <v>-17200000</v>
      </c>
      <c r="H90" s="24"/>
      <c r="I90" s="24"/>
      <c r="J90" s="24"/>
      <c r="K90" s="24"/>
      <c r="L90" s="8"/>
      <c r="M90" s="15">
        <v>-7500000</v>
      </c>
      <c r="N90" s="15">
        <f t="shared" si="230"/>
        <v>-5300000</v>
      </c>
      <c r="O90" s="15">
        <v>-5800000</v>
      </c>
      <c r="P90" s="15">
        <f t="shared" si="231"/>
        <v>-6800000</v>
      </c>
      <c r="Q90" s="15">
        <v>-7600000</v>
      </c>
      <c r="R90" s="15">
        <f t="shared" si="232"/>
        <v>-8300000</v>
      </c>
      <c r="S90" s="15">
        <v>-9700000</v>
      </c>
      <c r="T90" s="15">
        <f t="shared" si="233"/>
        <v>-9000000</v>
      </c>
      <c r="U90" s="15">
        <v>-8800000</v>
      </c>
      <c r="V90" s="15">
        <f t="shared" si="234"/>
        <v>-8400000</v>
      </c>
      <c r="W90" s="37">
        <v>-9500000</v>
      </c>
      <c r="X90" s="15"/>
      <c r="Y90" s="15"/>
      <c r="Z90" s="15"/>
      <c r="AA90" s="15"/>
      <c r="AB90" s="15"/>
      <c r="AC90" s="15"/>
      <c r="AD90" s="15"/>
    </row>
    <row r="91" spans="1:30" s="9" customFormat="1" ht="12" customHeight="1" x14ac:dyDescent="0.2">
      <c r="A91" s="90"/>
      <c r="B91" s="14" t="s">
        <v>201</v>
      </c>
      <c r="C91" s="15">
        <v>0</v>
      </c>
      <c r="D91" s="15">
        <v>0</v>
      </c>
      <c r="E91" s="15">
        <v>-600000</v>
      </c>
      <c r="F91" s="15">
        <v>-800000</v>
      </c>
      <c r="G91" s="37">
        <v>-1600000</v>
      </c>
      <c r="H91" s="24"/>
      <c r="I91" s="24"/>
      <c r="J91" s="24"/>
      <c r="K91" s="24"/>
      <c r="L91" s="8"/>
      <c r="M91" s="15">
        <v>0</v>
      </c>
      <c r="N91" s="15">
        <v>0</v>
      </c>
      <c r="O91" s="15">
        <v>0</v>
      </c>
      <c r="P91" s="15">
        <v>0</v>
      </c>
      <c r="Q91" s="15">
        <v>0</v>
      </c>
      <c r="R91" s="15">
        <f t="shared" si="232"/>
        <v>-600000</v>
      </c>
      <c r="S91" s="15">
        <v>-400000</v>
      </c>
      <c r="T91" s="15">
        <f t="shared" si="233"/>
        <v>-400000</v>
      </c>
      <c r="U91" s="15">
        <v>-700000</v>
      </c>
      <c r="V91" s="15">
        <f t="shared" si="234"/>
        <v>-900000</v>
      </c>
      <c r="W91" s="37">
        <v>-3300000</v>
      </c>
      <c r="X91" s="15"/>
      <c r="Y91" s="15"/>
      <c r="Z91" s="15"/>
      <c r="AA91" s="15"/>
      <c r="AB91" s="15"/>
      <c r="AC91" s="15"/>
      <c r="AD91" s="15"/>
    </row>
    <row r="92" spans="1:30" s="9" customFormat="1" ht="12" customHeight="1" x14ac:dyDescent="0.2">
      <c r="A92" s="90"/>
      <c r="B92" s="70" t="s">
        <v>202</v>
      </c>
      <c r="C92" s="15">
        <v>0</v>
      </c>
      <c r="D92" s="15">
        <v>0</v>
      </c>
      <c r="E92" s="15">
        <v>0</v>
      </c>
      <c r="F92" s="15">
        <v>100000</v>
      </c>
      <c r="G92" s="37">
        <v>600000</v>
      </c>
      <c r="H92" s="24"/>
      <c r="I92" s="24"/>
      <c r="J92" s="24"/>
      <c r="K92" s="24"/>
      <c r="L92" s="8"/>
      <c r="M92" s="15">
        <v>0</v>
      </c>
      <c r="N92" s="15">
        <v>0</v>
      </c>
      <c r="O92" s="15">
        <v>0</v>
      </c>
      <c r="P92" s="15">
        <v>0</v>
      </c>
      <c r="Q92" s="15">
        <v>0</v>
      </c>
      <c r="R92" s="15">
        <f t="shared" si="232"/>
        <v>0</v>
      </c>
      <c r="S92" s="15">
        <v>0</v>
      </c>
      <c r="T92" s="15">
        <f t="shared" ref="T92" si="235">ROUND(F92,-5)-ROUND(S92,-5)</f>
        <v>100000</v>
      </c>
      <c r="U92" s="15">
        <v>200000</v>
      </c>
      <c r="V92" s="15">
        <f t="shared" si="234"/>
        <v>400000</v>
      </c>
      <c r="W92" s="37">
        <v>400000</v>
      </c>
      <c r="X92" s="15"/>
      <c r="Y92" s="15"/>
      <c r="Z92" s="15"/>
      <c r="AA92" s="15"/>
      <c r="AB92" s="15"/>
      <c r="AC92" s="15"/>
      <c r="AD92" s="15"/>
    </row>
    <row r="93" spans="1:30" s="9" customFormat="1" ht="12" customHeight="1" x14ac:dyDescent="0.2">
      <c r="A93" s="90"/>
      <c r="B93" s="14" t="s">
        <v>71</v>
      </c>
      <c r="C93" s="15">
        <v>-8500000</v>
      </c>
      <c r="D93" s="15">
        <v>-5200000</v>
      </c>
      <c r="E93" s="15">
        <v>-200000</v>
      </c>
      <c r="F93" s="15">
        <v>-600000</v>
      </c>
      <c r="G93" s="37">
        <v>-500000</v>
      </c>
      <c r="H93" s="24"/>
      <c r="I93" s="24"/>
      <c r="J93" s="24"/>
      <c r="K93" s="24"/>
      <c r="L93" s="8"/>
      <c r="M93" s="15">
        <v>-7600000</v>
      </c>
      <c r="N93" s="15">
        <f t="shared" si="230"/>
        <v>-900000</v>
      </c>
      <c r="O93" s="15">
        <v>-4100000</v>
      </c>
      <c r="P93" s="15">
        <f t="shared" si="231"/>
        <v>-1100000</v>
      </c>
      <c r="Q93" s="15">
        <v>-200000</v>
      </c>
      <c r="R93" s="15">
        <f t="shared" si="232"/>
        <v>0</v>
      </c>
      <c r="S93" s="15">
        <v>-100000</v>
      </c>
      <c r="T93" s="15">
        <f t="shared" si="233"/>
        <v>-500000</v>
      </c>
      <c r="U93" s="15">
        <v>-600000</v>
      </c>
      <c r="V93" s="15">
        <f t="shared" si="234"/>
        <v>100000</v>
      </c>
      <c r="W93" s="37">
        <v>-100000</v>
      </c>
      <c r="X93" s="15"/>
      <c r="Y93" s="15"/>
      <c r="Z93" s="15"/>
      <c r="AA93" s="15"/>
      <c r="AB93" s="15"/>
      <c r="AC93" s="15"/>
      <c r="AD93" s="15"/>
    </row>
    <row r="94" spans="1:30" s="9" customFormat="1" ht="12" customHeight="1" x14ac:dyDescent="0.2">
      <c r="A94" s="90"/>
      <c r="B94" s="14" t="s">
        <v>72</v>
      </c>
      <c r="C94" s="15">
        <v>3800000</v>
      </c>
      <c r="D94" s="15">
        <v>3200000</v>
      </c>
      <c r="E94" s="15">
        <v>5200000</v>
      </c>
      <c r="F94" s="15">
        <v>6100000</v>
      </c>
      <c r="G94" s="37">
        <v>6600000</v>
      </c>
      <c r="H94" s="24"/>
      <c r="I94" s="24"/>
      <c r="J94" s="24"/>
      <c r="K94" s="24"/>
      <c r="L94" s="8"/>
      <c r="M94" s="15">
        <v>1700000</v>
      </c>
      <c r="N94" s="15">
        <f t="shared" si="230"/>
        <v>2100000</v>
      </c>
      <c r="O94" s="15">
        <v>1500000</v>
      </c>
      <c r="P94" s="15">
        <f t="shared" si="231"/>
        <v>1700000</v>
      </c>
      <c r="Q94" s="15">
        <v>2500000</v>
      </c>
      <c r="R94" s="15">
        <f t="shared" si="232"/>
        <v>2700000</v>
      </c>
      <c r="S94" s="15">
        <v>3200000</v>
      </c>
      <c r="T94" s="15">
        <f t="shared" si="233"/>
        <v>2900000</v>
      </c>
      <c r="U94" s="15">
        <v>3000000</v>
      </c>
      <c r="V94" s="15">
        <f t="shared" si="234"/>
        <v>3600000</v>
      </c>
      <c r="W94" s="37">
        <v>4100000</v>
      </c>
      <c r="X94" s="15"/>
      <c r="Y94" s="15"/>
      <c r="Z94" s="15"/>
      <c r="AA94" s="15"/>
      <c r="AB94" s="15"/>
      <c r="AC94" s="15"/>
      <c r="AD94" s="15"/>
    </row>
    <row r="95" spans="1:30" s="9" customFormat="1" ht="12" customHeight="1" x14ac:dyDescent="0.2">
      <c r="A95" s="90"/>
      <c r="B95" s="14" t="s">
        <v>73</v>
      </c>
      <c r="C95" s="15">
        <v>2600000</v>
      </c>
      <c r="D95" s="15">
        <v>1100000</v>
      </c>
      <c r="E95" s="15">
        <v>2100000</v>
      </c>
      <c r="F95" s="15">
        <v>2000000</v>
      </c>
      <c r="G95" s="37">
        <v>1600000</v>
      </c>
      <c r="H95" s="24"/>
      <c r="I95" s="24"/>
      <c r="J95" s="24"/>
      <c r="K95" s="24"/>
      <c r="L95" s="8"/>
      <c r="M95" s="15">
        <v>1600000</v>
      </c>
      <c r="N95" s="15">
        <f t="shared" si="230"/>
        <v>1000000</v>
      </c>
      <c r="O95" s="15">
        <v>200000</v>
      </c>
      <c r="P95" s="15">
        <f t="shared" si="231"/>
        <v>900000</v>
      </c>
      <c r="Q95" s="15">
        <v>1400000</v>
      </c>
      <c r="R95" s="15">
        <f t="shared" si="232"/>
        <v>700000</v>
      </c>
      <c r="S95" s="15">
        <v>1200000</v>
      </c>
      <c r="T95" s="15">
        <f t="shared" si="233"/>
        <v>800000</v>
      </c>
      <c r="U95" s="15">
        <v>1100000</v>
      </c>
      <c r="V95" s="15">
        <f t="shared" si="234"/>
        <v>500000</v>
      </c>
      <c r="W95" s="37">
        <v>1000000</v>
      </c>
      <c r="X95" s="15"/>
      <c r="Y95" s="15"/>
      <c r="Z95" s="15"/>
      <c r="AA95" s="15"/>
      <c r="AB95" s="15"/>
      <c r="AC95" s="15"/>
      <c r="AD95" s="15"/>
    </row>
    <row r="96" spans="1:30" s="9" customFormat="1" ht="12" customHeight="1" x14ac:dyDescent="0.2">
      <c r="A96" s="90"/>
      <c r="B96" s="14" t="s">
        <v>74</v>
      </c>
      <c r="C96" s="15">
        <v>1200000</v>
      </c>
      <c r="D96" s="15">
        <v>1100000</v>
      </c>
      <c r="E96" s="15">
        <v>3300000</v>
      </c>
      <c r="F96" s="15">
        <v>2500000</v>
      </c>
      <c r="G96" s="37">
        <v>2000000</v>
      </c>
      <c r="H96" s="24"/>
      <c r="I96" s="24"/>
      <c r="J96" s="24"/>
      <c r="K96" s="24"/>
      <c r="L96" s="8"/>
      <c r="M96" s="15">
        <v>1000000</v>
      </c>
      <c r="N96" s="15">
        <f t="shared" si="230"/>
        <v>200000</v>
      </c>
      <c r="O96" s="15">
        <v>200000</v>
      </c>
      <c r="P96" s="15">
        <f t="shared" si="231"/>
        <v>900000</v>
      </c>
      <c r="Q96" s="15">
        <v>1200000</v>
      </c>
      <c r="R96" s="15">
        <f t="shared" si="232"/>
        <v>2100000</v>
      </c>
      <c r="S96" s="15">
        <v>1300000</v>
      </c>
      <c r="T96" s="15">
        <f t="shared" si="233"/>
        <v>1200000</v>
      </c>
      <c r="U96" s="15">
        <v>1000000</v>
      </c>
      <c r="V96" s="15">
        <f t="shared" si="234"/>
        <v>1000000</v>
      </c>
      <c r="W96" s="37">
        <v>1300000</v>
      </c>
      <c r="X96" s="15"/>
      <c r="Y96" s="15"/>
      <c r="Z96" s="15"/>
      <c r="AA96" s="15"/>
      <c r="AB96" s="15"/>
      <c r="AC96" s="15"/>
      <c r="AD96" s="15"/>
    </row>
    <row r="97" spans="1:30" s="9" customFormat="1" ht="12" customHeight="1" x14ac:dyDescent="0.2">
      <c r="A97" s="90"/>
      <c r="B97" s="14" t="s">
        <v>191</v>
      </c>
      <c r="C97" s="15">
        <v>6900000</v>
      </c>
      <c r="D97" s="15">
        <v>-3100000</v>
      </c>
      <c r="E97" s="15">
        <v>-1000000</v>
      </c>
      <c r="F97" s="15">
        <v>-2300000</v>
      </c>
      <c r="G97" s="37">
        <v>700000</v>
      </c>
      <c r="H97" s="24"/>
      <c r="I97" s="24"/>
      <c r="J97" s="24"/>
      <c r="K97" s="24"/>
      <c r="L97" s="8"/>
      <c r="M97" s="15">
        <v>5800000</v>
      </c>
      <c r="N97" s="15">
        <f t="shared" si="230"/>
        <v>1100000</v>
      </c>
      <c r="O97" s="15">
        <v>-3700000</v>
      </c>
      <c r="P97" s="15">
        <f t="shared" si="231"/>
        <v>600000</v>
      </c>
      <c r="Q97" s="15">
        <v>-100000</v>
      </c>
      <c r="R97" s="15">
        <f t="shared" si="232"/>
        <v>-900000</v>
      </c>
      <c r="S97" s="15">
        <v>-1500000</v>
      </c>
      <c r="T97" s="15">
        <f t="shared" si="233"/>
        <v>-800000</v>
      </c>
      <c r="U97" s="15">
        <v>400000</v>
      </c>
      <c r="V97" s="15">
        <f t="shared" si="234"/>
        <v>300000</v>
      </c>
      <c r="W97" s="37">
        <v>100000</v>
      </c>
      <c r="X97" s="15"/>
      <c r="Y97" s="15"/>
      <c r="Z97" s="15"/>
      <c r="AA97" s="15"/>
      <c r="AB97" s="15"/>
      <c r="AC97" s="15"/>
      <c r="AD97" s="15"/>
    </row>
    <row r="98" spans="1:30" s="9" customFormat="1" ht="12" customHeight="1" x14ac:dyDescent="0.2">
      <c r="A98" s="90"/>
      <c r="B98" s="14" t="s">
        <v>75</v>
      </c>
      <c r="C98" s="15">
        <v>1000000</v>
      </c>
      <c r="D98" s="15">
        <v>700000</v>
      </c>
      <c r="E98" s="15">
        <v>600000</v>
      </c>
      <c r="F98" s="15">
        <v>1600000</v>
      </c>
      <c r="G98" s="37">
        <v>100000</v>
      </c>
      <c r="H98" s="24"/>
      <c r="I98" s="24"/>
      <c r="J98" s="24"/>
      <c r="K98" s="24"/>
      <c r="L98" s="8"/>
      <c r="M98" s="15">
        <v>700000</v>
      </c>
      <c r="N98" s="15">
        <f t="shared" si="230"/>
        <v>300000</v>
      </c>
      <c r="O98" s="15">
        <v>700000</v>
      </c>
      <c r="P98" s="15">
        <f t="shared" si="231"/>
        <v>0</v>
      </c>
      <c r="Q98" s="15">
        <v>400000</v>
      </c>
      <c r="R98" s="15">
        <f t="shared" si="232"/>
        <v>200000</v>
      </c>
      <c r="S98" s="15">
        <v>1000000</v>
      </c>
      <c r="T98" s="15">
        <f t="shared" si="233"/>
        <v>600000</v>
      </c>
      <c r="U98" s="15">
        <v>100000</v>
      </c>
      <c r="V98" s="15">
        <f t="shared" si="234"/>
        <v>0</v>
      </c>
      <c r="W98" s="37">
        <v>0</v>
      </c>
      <c r="X98" s="15"/>
      <c r="Y98" s="15"/>
      <c r="Z98" s="15"/>
      <c r="AA98" s="15"/>
      <c r="AB98" s="15"/>
      <c r="AC98" s="15"/>
      <c r="AD98" s="15"/>
    </row>
    <row r="99" spans="1:30" s="9" customFormat="1" ht="12" customHeight="1" x14ac:dyDescent="0.2">
      <c r="A99" s="90"/>
      <c r="B99" s="14" t="s">
        <v>208</v>
      </c>
      <c r="C99" s="15">
        <v>-800000</v>
      </c>
      <c r="D99" s="15">
        <v>500000</v>
      </c>
      <c r="E99" s="15">
        <v>-600000</v>
      </c>
      <c r="F99" s="15">
        <v>-100000</v>
      </c>
      <c r="G99" s="37">
        <v>1700000</v>
      </c>
      <c r="H99" s="24"/>
      <c r="I99" s="24"/>
      <c r="J99" s="24"/>
      <c r="K99" s="24"/>
      <c r="L99" s="8"/>
      <c r="M99" s="15">
        <v>-1400000</v>
      </c>
      <c r="N99" s="15">
        <f t="shared" si="230"/>
        <v>600000</v>
      </c>
      <c r="O99" s="15">
        <v>-100000</v>
      </c>
      <c r="P99" s="15">
        <f t="shared" si="231"/>
        <v>600000</v>
      </c>
      <c r="Q99" s="15">
        <v>200000</v>
      </c>
      <c r="R99" s="15">
        <f t="shared" si="232"/>
        <v>-800000</v>
      </c>
      <c r="S99" s="15">
        <v>900000</v>
      </c>
      <c r="T99" s="15">
        <f t="shared" si="233"/>
        <v>-1000000</v>
      </c>
      <c r="U99" s="15">
        <v>800000</v>
      </c>
      <c r="V99" s="15">
        <f t="shared" si="234"/>
        <v>900000</v>
      </c>
      <c r="W99" s="37">
        <v>-800000</v>
      </c>
      <c r="X99" s="15"/>
      <c r="Y99" s="15"/>
      <c r="Z99" s="15"/>
      <c r="AA99" s="15"/>
      <c r="AB99" s="15"/>
      <c r="AC99" s="15"/>
      <c r="AD99" s="15"/>
    </row>
    <row r="100" spans="1:30" s="9" customFormat="1" ht="12" customHeight="1" x14ac:dyDescent="0.2">
      <c r="A100" s="90"/>
      <c r="B100" s="14" t="s">
        <v>76</v>
      </c>
      <c r="C100" s="15">
        <v>500000</v>
      </c>
      <c r="D100" s="15">
        <v>500000</v>
      </c>
      <c r="E100" s="15">
        <v>500000</v>
      </c>
      <c r="F100" s="15">
        <v>500000</v>
      </c>
      <c r="G100" s="37">
        <v>500000</v>
      </c>
      <c r="H100" s="24"/>
      <c r="I100" s="24"/>
      <c r="J100" s="24"/>
      <c r="K100" s="24"/>
      <c r="L100" s="8"/>
      <c r="M100" s="15">
        <v>200000</v>
      </c>
      <c r="N100" s="15">
        <f t="shared" si="230"/>
        <v>300000</v>
      </c>
      <c r="O100" s="15">
        <v>300000</v>
      </c>
      <c r="P100" s="15">
        <f t="shared" si="231"/>
        <v>200000</v>
      </c>
      <c r="Q100" s="15">
        <v>300000</v>
      </c>
      <c r="R100" s="15">
        <f t="shared" si="232"/>
        <v>200000</v>
      </c>
      <c r="S100" s="15">
        <v>300000</v>
      </c>
      <c r="T100" s="15">
        <f>ROUND(F100,-5)-ROUND(S100,-5)</f>
        <v>200000</v>
      </c>
      <c r="U100" s="15">
        <v>300000</v>
      </c>
      <c r="V100" s="15">
        <f t="shared" si="234"/>
        <v>200000</v>
      </c>
      <c r="W100" s="37">
        <v>300000</v>
      </c>
      <c r="X100" s="15"/>
      <c r="Y100" s="15"/>
      <c r="Z100" s="15"/>
      <c r="AA100" s="15"/>
      <c r="AB100" s="15"/>
      <c r="AC100" s="15"/>
      <c r="AD100" s="15"/>
    </row>
    <row r="101" spans="1:30" s="9" customFormat="1" ht="12" hidden="1" customHeight="1" outlineLevel="1" x14ac:dyDescent="0.2">
      <c r="A101" s="90"/>
      <c r="B101" s="14"/>
      <c r="C101" s="15"/>
      <c r="D101" s="15"/>
      <c r="E101" s="15"/>
      <c r="F101" s="15"/>
      <c r="G101" s="37">
        <v>0</v>
      </c>
      <c r="H101" s="24"/>
      <c r="I101" s="24"/>
      <c r="J101" s="24"/>
      <c r="K101" s="24"/>
      <c r="L101" s="8"/>
      <c r="M101" s="15"/>
      <c r="N101" s="15"/>
      <c r="O101" s="15"/>
      <c r="P101" s="15"/>
      <c r="Q101" s="15"/>
      <c r="R101" s="15"/>
      <c r="S101" s="15"/>
      <c r="T101" s="15"/>
      <c r="U101" s="15"/>
      <c r="V101" s="15">
        <f t="shared" si="234"/>
        <v>0</v>
      </c>
      <c r="W101" s="37">
        <v>0</v>
      </c>
      <c r="X101" s="15"/>
      <c r="Y101" s="15"/>
      <c r="Z101" s="15"/>
      <c r="AA101" s="15"/>
      <c r="AB101" s="15"/>
      <c r="AC101" s="15"/>
      <c r="AD101" s="15"/>
    </row>
    <row r="102" spans="1:30" s="9" customFormat="1" ht="12" hidden="1" customHeight="1" outlineLevel="1" x14ac:dyDescent="0.2">
      <c r="A102" s="90"/>
      <c r="B102" s="14"/>
      <c r="C102" s="15"/>
      <c r="D102" s="15"/>
      <c r="E102" s="15"/>
      <c r="F102" s="15"/>
      <c r="G102" s="37">
        <v>0</v>
      </c>
      <c r="H102" s="24"/>
      <c r="I102" s="24"/>
      <c r="J102" s="24"/>
      <c r="K102" s="24"/>
      <c r="L102" s="8"/>
      <c r="M102" s="15"/>
      <c r="N102" s="15"/>
      <c r="O102" s="15"/>
      <c r="P102" s="15"/>
      <c r="Q102" s="15"/>
      <c r="R102" s="15"/>
      <c r="S102" s="15"/>
      <c r="T102" s="15"/>
      <c r="U102" s="15"/>
      <c r="V102" s="15">
        <f t="shared" si="234"/>
        <v>0</v>
      </c>
      <c r="W102" s="37">
        <v>0</v>
      </c>
      <c r="X102" s="15"/>
      <c r="Y102" s="15"/>
      <c r="Z102" s="15"/>
      <c r="AA102" s="15"/>
      <c r="AB102" s="15"/>
      <c r="AC102" s="15"/>
      <c r="AD102" s="15"/>
    </row>
    <row r="103" spans="1:30" s="9" customFormat="1" ht="12" hidden="1" customHeight="1" outlineLevel="1" x14ac:dyDescent="0.2">
      <c r="A103" s="90"/>
      <c r="B103" s="14"/>
      <c r="C103" s="15"/>
      <c r="D103" s="15"/>
      <c r="E103" s="15"/>
      <c r="F103" s="15"/>
      <c r="G103" s="37">
        <v>0</v>
      </c>
      <c r="H103" s="24"/>
      <c r="I103" s="24"/>
      <c r="J103" s="24"/>
      <c r="K103" s="24"/>
      <c r="L103" s="8"/>
      <c r="M103" s="15"/>
      <c r="N103" s="15"/>
      <c r="O103" s="15"/>
      <c r="P103" s="15"/>
      <c r="Q103" s="15"/>
      <c r="R103" s="15"/>
      <c r="S103" s="15"/>
      <c r="T103" s="15"/>
      <c r="U103" s="15"/>
      <c r="V103" s="15">
        <f t="shared" si="234"/>
        <v>0</v>
      </c>
      <c r="W103" s="37">
        <v>0</v>
      </c>
      <c r="X103" s="15"/>
      <c r="Y103" s="15"/>
      <c r="Z103" s="15"/>
      <c r="AA103" s="15"/>
      <c r="AB103" s="15"/>
      <c r="AC103" s="15"/>
      <c r="AD103" s="15"/>
    </row>
    <row r="104" spans="1:30" s="9" customFormat="1" ht="12" hidden="1" customHeight="1" outlineLevel="1" x14ac:dyDescent="0.2">
      <c r="A104" s="90"/>
      <c r="B104" s="14"/>
      <c r="C104" s="15"/>
      <c r="D104" s="15"/>
      <c r="E104" s="15"/>
      <c r="F104" s="15"/>
      <c r="G104" s="37">
        <v>0</v>
      </c>
      <c r="H104" s="24"/>
      <c r="I104" s="24"/>
      <c r="J104" s="24"/>
      <c r="K104" s="24"/>
      <c r="L104" s="8"/>
      <c r="M104" s="15"/>
      <c r="N104" s="15"/>
      <c r="O104" s="15"/>
      <c r="P104" s="15"/>
      <c r="Q104" s="15"/>
      <c r="R104" s="15"/>
      <c r="S104" s="15"/>
      <c r="T104" s="15"/>
      <c r="U104" s="15"/>
      <c r="V104" s="15">
        <f t="shared" si="234"/>
        <v>0</v>
      </c>
      <c r="W104" s="37">
        <v>0</v>
      </c>
      <c r="X104" s="15"/>
      <c r="Y104" s="15"/>
      <c r="Z104" s="15"/>
      <c r="AA104" s="15"/>
      <c r="AB104" s="15"/>
      <c r="AC104" s="15"/>
      <c r="AD104" s="15"/>
    </row>
    <row r="105" spans="1:30" s="9" customFormat="1" ht="12" customHeight="1" collapsed="1" x14ac:dyDescent="0.2">
      <c r="A105" s="90"/>
      <c r="B105" s="14" t="s">
        <v>77</v>
      </c>
      <c r="C105" s="15">
        <v>14000000</v>
      </c>
      <c r="D105" s="15">
        <v>13000000</v>
      </c>
      <c r="E105" s="15">
        <v>15500000</v>
      </c>
      <c r="F105" s="15">
        <v>16700000</v>
      </c>
      <c r="G105" s="37">
        <v>14800000</v>
      </c>
      <c r="H105" s="24"/>
      <c r="I105" s="24"/>
      <c r="J105" s="24"/>
      <c r="K105" s="24"/>
      <c r="L105" s="8"/>
      <c r="M105" s="15">
        <v>8500000</v>
      </c>
      <c r="N105" s="15">
        <f t="shared" si="230"/>
        <v>5500000</v>
      </c>
      <c r="O105" s="15">
        <v>5300000</v>
      </c>
      <c r="P105" s="15">
        <f t="shared" si="231"/>
        <v>7700000</v>
      </c>
      <c r="Q105" s="15">
        <v>6800000</v>
      </c>
      <c r="R105" s="15">
        <f t="shared" si="232"/>
        <v>8700000</v>
      </c>
      <c r="S105" s="15">
        <v>8000000</v>
      </c>
      <c r="T105" s="15">
        <f t="shared" si="233"/>
        <v>8700000</v>
      </c>
      <c r="U105" s="15">
        <v>7200000</v>
      </c>
      <c r="V105" s="15">
        <f t="shared" si="234"/>
        <v>7600000</v>
      </c>
      <c r="W105" s="37">
        <v>8600000</v>
      </c>
      <c r="X105" s="15"/>
      <c r="Y105" s="15"/>
      <c r="Z105" s="15"/>
      <c r="AA105" s="15"/>
      <c r="AB105" s="15"/>
      <c r="AC105" s="15"/>
      <c r="AD105" s="15"/>
    </row>
    <row r="106" spans="1:30" s="9" customFormat="1" ht="12" thickBot="1" x14ac:dyDescent="0.25">
      <c r="A106" s="90"/>
      <c r="B106" s="19" t="s">
        <v>195</v>
      </c>
      <c r="C106" s="20">
        <f>+ROUND(C99,-5)+ROUND(C100,-5)+ROUND(C105,-5)+ROUND(C85,-5)+ROUND(C86,-5)+ROUND(C87,-5)+ROUND(C88,-5)+ROUND(C89,-5)+ROUND(C90,-5)+ROUND(C93,-5)+ROUND(C94,-5)+ROUND(C95,-5)+ROUND(C96,-5)+ROUND(C97,-5)+ROUND(C98,-5)+ROUND(C91,5)+ROUND(C92,5)</f>
        <v>98900000</v>
      </c>
      <c r="D106" s="20">
        <f>+ROUND(D99,-5)+ROUND(D100,-5)+ROUND(D105,-5)+ROUND(D85,-5)+ROUND(D86,-5)+ROUND(D87,-5)+ROUND(D88,-5)+ROUND(D89,-5)+ROUND(D90,-5)+ROUND(D93,-5)+ROUND(D94,-5)+ROUND(D95,-5)+ROUND(D96,-5)+ROUND(D97,-5)+ROUND(D98,-5)+ROUND(D91,5)+ROUND(D92,5)</f>
        <v>91600000</v>
      </c>
      <c r="E106" s="20">
        <f>+ROUND(E99,-5)+ROUND(E100,-5)+ROUND(E105,-5)+ROUND(E85,-5)+ROUND(E86,-5)+ROUND(E87,-5)+ROUND(E88,-5)+ROUND(E89,-5)+ROUND(E90,-5)+ROUND(E93,-5)+ROUND(E94,-5)+ROUND(E95,-5)+ROUND(E96,-5)+ROUND(E97,-5)+ROUND(E98,-5)+ROUND(E91,5)+ROUND(E92,5)</f>
        <v>124500000</v>
      </c>
      <c r="F106" s="20">
        <f>+ROUND(F99,-5)+ROUND(F100,-5)+ROUND(F105,-5)+ROUND(F85,-5)+ROUND(F86,-5)+ROUND(F87,-5)+ROUND(F88,-5)+ROUND(F89,-5)+ROUND(F90,-5)+ROUND(F93,-5)+ROUND(F94,-5)+ROUND(F95,-5)+ROUND(F96,-5)+ROUND(F97,-5)+ROUND(F98,-5)+ROUND(F91,5)+ROUND(F92,5)</f>
        <v>129700000</v>
      </c>
      <c r="G106" s="39">
        <f>+ROUND(G99,-5)+ROUND(G100,-5)+ROUND(G105,-5)+ROUND(G85,-5)+ROUND(G86,-5)+ROUND(G87,-5)+ROUND(G88,-5)+ROUND(G89,-5)+ROUND(G90,-5)+ROUND(G93,-5)+ROUND(G94,-5)+ROUND(G95,-5)+ROUND(G96,-5)+ROUND(G97,-5)+ROUND(G98,-5)+ROUND(G91,5)+ROUND(G92,5)</f>
        <v>128400000</v>
      </c>
      <c r="H106" s="20">
        <f>+ROUND(H99,-5)+ROUND(H100,-5)+ROUND(H105,-5)+ROUND(H85,-5)+ROUND(H86,-5)+ROUND(H87,-5)+ROUND(H88,-5)+ROUND(H89,-5)+ROUND(H90,-5)+ROUND(H93,-5)+ROUND(H94,-5)+ROUND(H95,-5)+ROUND(H96,-5)+ROUND(H97,-5)+ROUND(H98,-5)</f>
        <v>0</v>
      </c>
      <c r="I106" s="20">
        <f>+ROUND(I99,-5)+ROUND(I100,-5)+ROUND(I105,-5)+ROUND(I85,-5)+ROUND(I86,-5)+ROUND(I87,-5)+ROUND(I88,-5)+ROUND(I89,-5)+ROUND(I90,-5)+ROUND(I93,-5)+ROUND(I94,-5)+ROUND(I95,-5)+ROUND(I96,-5)+ROUND(I97,-5)+ROUND(I98,-5)</f>
        <v>0</v>
      </c>
      <c r="J106" s="20">
        <f>+ROUND(J99,-5)+ROUND(J100,-5)+ROUND(J105,-5)+ROUND(J85,-5)+ROUND(J86,-5)+ROUND(J87,-5)+ROUND(J88,-5)+ROUND(J89,-5)+ROUND(J90,-5)+ROUND(J93,-5)+ROUND(J94,-5)+ROUND(J95,-5)+ROUND(J96,-5)+ROUND(J97,-5)+ROUND(J98,-5)</f>
        <v>0</v>
      </c>
      <c r="K106" s="20">
        <f>+ROUND(K99,-5)+ROUND(K100,-5)+ROUND(K105,-5)+ROUND(K85,-5)+ROUND(K86,-5)+ROUND(K87,-5)+ROUND(K88,-5)+ROUND(K89,-5)+ROUND(K90,-5)+ROUND(K93,-5)+ROUND(K94,-5)+ROUND(K95,-5)+ROUND(K96,-5)+ROUND(K97,-5)+ROUND(K98,-5)</f>
        <v>0</v>
      </c>
      <c r="L106" s="8"/>
      <c r="M106" s="20">
        <f t="shared" ref="M106:W106" si="236">+ROUND(M99,-5)+ROUND(M100,-5)+ROUND(M105,-5)+ROUND(M85,-5)+ROUND(M86,-5)+ROUND(M87,-5)+ROUND(M88,-5)+ROUND(M89,-5)+ROUND(M90,-5)+ROUND(M93,-5)+ROUND(M94,-5)+ROUND(M95,-5)+ROUND(M96,-5)+ROUND(M97,-5)+ROUND(M98,-5)+ROUND(M91,5)+ROUND(M92,5)</f>
        <v>51300000</v>
      </c>
      <c r="N106" s="20">
        <f t="shared" si="236"/>
        <v>47600000</v>
      </c>
      <c r="O106" s="20">
        <f t="shared" si="236"/>
        <v>38500000</v>
      </c>
      <c r="P106" s="20">
        <f t="shared" si="236"/>
        <v>53100000</v>
      </c>
      <c r="Q106" s="20">
        <f t="shared" si="236"/>
        <v>59300000</v>
      </c>
      <c r="R106" s="20">
        <f t="shared" si="236"/>
        <v>65200000</v>
      </c>
      <c r="S106" s="20">
        <f t="shared" si="236"/>
        <v>67200000</v>
      </c>
      <c r="T106" s="20">
        <f t="shared" si="236"/>
        <v>62500000</v>
      </c>
      <c r="U106" s="20">
        <f t="shared" si="236"/>
        <v>62400000</v>
      </c>
      <c r="V106" s="20">
        <f t="shared" si="236"/>
        <v>66000000</v>
      </c>
      <c r="W106" s="39">
        <f t="shared" si="236"/>
        <v>67000000</v>
      </c>
      <c r="X106" s="20">
        <f t="shared" ref="X106:AD106" si="237">+ROUND(X99,-5)+ROUND(X100,-5)+ROUND(X105,-5)+ROUND(X85,-5)+ROUND(X86,-5)+ROUND(X87,-5)+ROUND(X88,-5)+ROUND(X89,-5)+ROUND(X90,-5)+ROUND(X93,-5)+ROUND(X94,-5)+ROUND(X95,-5)+ROUND(X96,-5)+ROUND(X97,-5)+ROUND(X98,-5)</f>
        <v>0</v>
      </c>
      <c r="Y106" s="20">
        <f t="shared" si="237"/>
        <v>0</v>
      </c>
      <c r="Z106" s="20">
        <f t="shared" si="237"/>
        <v>0</v>
      </c>
      <c r="AA106" s="20">
        <f t="shared" si="237"/>
        <v>0</v>
      </c>
      <c r="AB106" s="20">
        <f t="shared" si="237"/>
        <v>0</v>
      </c>
      <c r="AC106" s="20">
        <f t="shared" si="237"/>
        <v>0</v>
      </c>
      <c r="AD106" s="20">
        <f t="shared" si="237"/>
        <v>0</v>
      </c>
    </row>
    <row r="107" spans="1:30" s="9" customFormat="1" ht="12" customHeight="1" x14ac:dyDescent="0.25">
      <c r="A107" s="7"/>
      <c r="B107" s="25"/>
      <c r="C107" s="25"/>
      <c r="D107" s="25"/>
      <c r="E107" s="25"/>
      <c r="F107" s="25"/>
      <c r="G107" s="25"/>
      <c r="H107" s="25"/>
      <c r="I107" s="25"/>
      <c r="J107" s="25"/>
      <c r="K107" s="25"/>
      <c r="L107" s="8"/>
      <c r="M107" s="25"/>
      <c r="N107" s="25"/>
      <c r="O107" s="25"/>
      <c r="P107" s="25"/>
      <c r="Q107" s="25"/>
      <c r="R107" s="25"/>
      <c r="S107" s="25"/>
      <c r="T107" s="25"/>
      <c r="U107" s="25"/>
      <c r="V107" s="25"/>
      <c r="W107" s="25"/>
      <c r="X107" s="25"/>
      <c r="Y107" s="25"/>
      <c r="Z107" s="25"/>
      <c r="AA107" s="25"/>
      <c r="AB107" s="25"/>
      <c r="AC107" s="25"/>
      <c r="AD107" s="25"/>
    </row>
    <row r="108" spans="1:30" s="9" customFormat="1" ht="28.5" thickBot="1" x14ac:dyDescent="0.3">
      <c r="A108" s="2"/>
      <c r="B108" s="57" t="s">
        <v>194</v>
      </c>
      <c r="C108" s="58" t="s">
        <v>5</v>
      </c>
      <c r="D108" s="58" t="s">
        <v>6</v>
      </c>
      <c r="E108" s="58" t="s">
        <v>206</v>
      </c>
      <c r="F108" s="58" t="s">
        <v>196</v>
      </c>
      <c r="G108" s="58" t="s">
        <v>203</v>
      </c>
      <c r="H108" s="58" t="s">
        <v>10</v>
      </c>
      <c r="I108" s="58" t="s">
        <v>11</v>
      </c>
      <c r="J108" s="58" t="s">
        <v>12</v>
      </c>
      <c r="K108" s="58" t="s">
        <v>13</v>
      </c>
      <c r="L108" s="59"/>
      <c r="M108" s="58" t="s">
        <v>14</v>
      </c>
      <c r="N108" s="58" t="s">
        <v>15</v>
      </c>
      <c r="O108" s="58" t="s">
        <v>16</v>
      </c>
      <c r="P108" s="58" t="s">
        <v>17</v>
      </c>
      <c r="Q108" s="58" t="s">
        <v>18</v>
      </c>
      <c r="R108" s="58" t="s">
        <v>207</v>
      </c>
      <c r="S108" s="58" t="s">
        <v>64</v>
      </c>
      <c r="T108" s="58" t="s">
        <v>155</v>
      </c>
      <c r="U108" s="58" t="s">
        <v>204</v>
      </c>
      <c r="V108" s="58" t="s">
        <v>205</v>
      </c>
      <c r="W108" s="58" t="s">
        <v>183</v>
      </c>
      <c r="X108" s="11" t="s">
        <v>184</v>
      </c>
      <c r="Y108" s="11" t="s">
        <v>185</v>
      </c>
      <c r="Z108" s="11" t="s">
        <v>186</v>
      </c>
      <c r="AA108" s="11" t="s">
        <v>187</v>
      </c>
      <c r="AB108" s="11" t="s">
        <v>188</v>
      </c>
      <c r="AC108" s="11" t="s">
        <v>189</v>
      </c>
      <c r="AD108" s="11" t="s">
        <v>190</v>
      </c>
    </row>
    <row r="109" spans="1:30" s="9" customFormat="1" ht="12" customHeight="1" thickTop="1" x14ac:dyDescent="0.2">
      <c r="A109" s="90" t="s">
        <v>193</v>
      </c>
      <c r="B109" s="14" t="s">
        <v>44</v>
      </c>
      <c r="C109" s="15">
        <f t="shared" ref="C109:K109" si="238">+C60</f>
        <v>-11400000</v>
      </c>
      <c r="D109" s="15">
        <f t="shared" si="238"/>
        <v>6500000</v>
      </c>
      <c r="E109" s="15">
        <f t="shared" si="238"/>
        <v>10600000</v>
      </c>
      <c r="F109" s="15">
        <f t="shared" si="238"/>
        <v>13300000</v>
      </c>
      <c r="G109" s="37">
        <f t="shared" si="238"/>
        <v>21600000</v>
      </c>
      <c r="H109" s="15">
        <f t="shared" si="238"/>
        <v>0</v>
      </c>
      <c r="I109" s="15">
        <f t="shared" si="238"/>
        <v>0</v>
      </c>
      <c r="J109" s="15">
        <f t="shared" si="238"/>
        <v>0</v>
      </c>
      <c r="K109" s="15">
        <f t="shared" si="238"/>
        <v>0</v>
      </c>
      <c r="L109" s="8"/>
      <c r="M109" s="15">
        <f t="shared" ref="M109:W109" si="239">+M60</f>
        <v>-6500000</v>
      </c>
      <c r="N109" s="15">
        <f t="shared" si="239"/>
        <v>-4900000</v>
      </c>
      <c r="O109" s="15">
        <f t="shared" si="239"/>
        <v>6400000</v>
      </c>
      <c r="P109" s="15">
        <f t="shared" si="239"/>
        <v>100000</v>
      </c>
      <c r="Q109" s="15">
        <f t="shared" si="239"/>
        <v>3100000</v>
      </c>
      <c r="R109" s="15">
        <f t="shared" si="239"/>
        <v>7500000</v>
      </c>
      <c r="S109" s="15">
        <f t="shared" si="239"/>
        <v>2500000</v>
      </c>
      <c r="T109" s="15">
        <f t="shared" si="239"/>
        <v>10800000</v>
      </c>
      <c r="U109" s="15">
        <f t="shared" si="239"/>
        <v>7200000</v>
      </c>
      <c r="V109" s="15">
        <f t="shared" si="239"/>
        <v>14400000</v>
      </c>
      <c r="W109" s="37">
        <f t="shared" si="239"/>
        <v>10000000</v>
      </c>
      <c r="X109" s="15">
        <f t="shared" ref="X109:AD109" si="240">+X60</f>
        <v>0</v>
      </c>
      <c r="Y109" s="15">
        <f t="shared" si="240"/>
        <v>0</v>
      </c>
      <c r="Z109" s="15">
        <f t="shared" si="240"/>
        <v>0</v>
      </c>
      <c r="AA109" s="15">
        <f t="shared" si="240"/>
        <v>0</v>
      </c>
      <c r="AB109" s="15">
        <f t="shared" si="240"/>
        <v>0</v>
      </c>
      <c r="AC109" s="15">
        <f t="shared" si="240"/>
        <v>0</v>
      </c>
      <c r="AD109" s="15">
        <f t="shared" si="240"/>
        <v>0</v>
      </c>
    </row>
    <row r="110" spans="1:30" s="9" customFormat="1" ht="12" customHeight="1" x14ac:dyDescent="0.2">
      <c r="A110" s="90"/>
      <c r="B110" s="14" t="s">
        <v>78</v>
      </c>
      <c r="C110" s="15">
        <f t="shared" ref="C110:K110" si="241">+C88</f>
        <v>500000</v>
      </c>
      <c r="D110" s="15">
        <f t="shared" si="241"/>
        <v>5200000</v>
      </c>
      <c r="E110" s="15">
        <f t="shared" si="241"/>
        <v>4500000</v>
      </c>
      <c r="F110" s="15">
        <f t="shared" si="241"/>
        <v>3200000</v>
      </c>
      <c r="G110" s="37">
        <f t="shared" si="241"/>
        <v>1800000</v>
      </c>
      <c r="H110" s="15">
        <f t="shared" si="241"/>
        <v>0</v>
      </c>
      <c r="I110" s="15">
        <f t="shared" si="241"/>
        <v>0</v>
      </c>
      <c r="J110" s="15">
        <f t="shared" si="241"/>
        <v>0</v>
      </c>
      <c r="K110" s="15">
        <f t="shared" si="241"/>
        <v>0</v>
      </c>
      <c r="L110" s="8"/>
      <c r="M110" s="15">
        <f t="shared" ref="M110:AD110" si="242">+M88</f>
        <v>-300000</v>
      </c>
      <c r="N110" s="15">
        <f t="shared" si="242"/>
        <v>800000</v>
      </c>
      <c r="O110" s="15">
        <f t="shared" si="242"/>
        <v>3000000</v>
      </c>
      <c r="P110" s="15">
        <f t="shared" si="242"/>
        <v>2200000</v>
      </c>
      <c r="Q110" s="15">
        <f t="shared" si="242"/>
        <v>1900000</v>
      </c>
      <c r="R110" s="15">
        <f t="shared" si="242"/>
        <v>2600000</v>
      </c>
      <c r="S110" s="15">
        <f t="shared" si="242"/>
        <v>2300000</v>
      </c>
      <c r="T110" s="15">
        <f t="shared" si="242"/>
        <v>900000</v>
      </c>
      <c r="U110" s="15">
        <f t="shared" si="242"/>
        <v>1100000</v>
      </c>
      <c r="V110" s="15">
        <f t="shared" si="242"/>
        <v>700000</v>
      </c>
      <c r="W110" s="37">
        <f t="shared" si="242"/>
        <v>600000</v>
      </c>
      <c r="X110" s="15">
        <f t="shared" si="242"/>
        <v>0</v>
      </c>
      <c r="Y110" s="15">
        <f t="shared" si="242"/>
        <v>0</v>
      </c>
      <c r="Z110" s="15">
        <f t="shared" si="242"/>
        <v>0</v>
      </c>
      <c r="AA110" s="15">
        <f t="shared" si="242"/>
        <v>0</v>
      </c>
      <c r="AB110" s="15">
        <f t="shared" si="242"/>
        <v>0</v>
      </c>
      <c r="AC110" s="15">
        <f t="shared" si="242"/>
        <v>0</v>
      </c>
      <c r="AD110" s="15">
        <f t="shared" si="242"/>
        <v>0</v>
      </c>
    </row>
    <row r="111" spans="1:30" s="9" customFormat="1" ht="12" customHeight="1" x14ac:dyDescent="0.2">
      <c r="A111" s="90"/>
      <c r="B111" s="26" t="s">
        <v>79</v>
      </c>
      <c r="C111" s="27">
        <f>+ROUND(C109,-5)+ROUND(C110,-5)</f>
        <v>-10900000</v>
      </c>
      <c r="D111" s="27">
        <f t="shared" ref="D111:T111" si="243">+ROUND(D109,-5)+ROUND(D110,-5)</f>
        <v>11700000</v>
      </c>
      <c r="E111" s="27">
        <f t="shared" si="243"/>
        <v>15100000</v>
      </c>
      <c r="F111" s="27">
        <f t="shared" si="243"/>
        <v>16500000</v>
      </c>
      <c r="G111" s="41">
        <f t="shared" si="243"/>
        <v>23400000</v>
      </c>
      <c r="H111" s="27">
        <f t="shared" si="243"/>
        <v>0</v>
      </c>
      <c r="I111" s="27">
        <f t="shared" si="243"/>
        <v>0</v>
      </c>
      <c r="J111" s="27">
        <f t="shared" si="243"/>
        <v>0</v>
      </c>
      <c r="K111" s="27">
        <f t="shared" si="243"/>
        <v>0</v>
      </c>
      <c r="L111" s="8"/>
      <c r="M111" s="27">
        <f t="shared" si="243"/>
        <v>-6800000</v>
      </c>
      <c r="N111" s="27">
        <f t="shared" si="243"/>
        <v>-4100000</v>
      </c>
      <c r="O111" s="27">
        <f t="shared" si="243"/>
        <v>9400000</v>
      </c>
      <c r="P111" s="27">
        <f t="shared" si="243"/>
        <v>2300000</v>
      </c>
      <c r="Q111" s="27">
        <f t="shared" si="243"/>
        <v>5000000</v>
      </c>
      <c r="R111" s="27">
        <f t="shared" si="243"/>
        <v>10100000</v>
      </c>
      <c r="S111" s="27">
        <f t="shared" si="243"/>
        <v>4800000</v>
      </c>
      <c r="T111" s="27">
        <f t="shared" si="243"/>
        <v>11700000</v>
      </c>
      <c r="U111" s="27">
        <f t="shared" ref="U111:W111" si="244">+ROUND(U109,-5)+ROUND(U110,-5)</f>
        <v>8300000</v>
      </c>
      <c r="V111" s="27">
        <f t="shared" si="244"/>
        <v>15100000</v>
      </c>
      <c r="W111" s="41">
        <f t="shared" si="244"/>
        <v>10600000</v>
      </c>
      <c r="X111" s="27">
        <f t="shared" ref="X111:AD111" si="245">+ROUND(X109,-5)+ROUND(X110,-5)</f>
        <v>0</v>
      </c>
      <c r="Y111" s="27">
        <f t="shared" si="245"/>
        <v>0</v>
      </c>
      <c r="Z111" s="27">
        <f t="shared" si="245"/>
        <v>0</v>
      </c>
      <c r="AA111" s="27">
        <f t="shared" si="245"/>
        <v>0</v>
      </c>
      <c r="AB111" s="27">
        <f t="shared" si="245"/>
        <v>0</v>
      </c>
      <c r="AC111" s="27">
        <f t="shared" si="245"/>
        <v>0</v>
      </c>
      <c r="AD111" s="27">
        <f t="shared" si="245"/>
        <v>0</v>
      </c>
    </row>
    <row r="112" spans="1:30" s="9" customFormat="1" ht="12" customHeight="1" x14ac:dyDescent="0.2">
      <c r="A112" s="90"/>
      <c r="B112" s="14" t="s">
        <v>70</v>
      </c>
      <c r="C112" s="15">
        <f t="shared" ref="C112:K112" si="246">+C90</f>
        <v>-12800000</v>
      </c>
      <c r="D112" s="15">
        <f t="shared" si="246"/>
        <v>-12600000</v>
      </c>
      <c r="E112" s="15">
        <f t="shared" si="246"/>
        <v>-15900000</v>
      </c>
      <c r="F112" s="15">
        <f t="shared" si="246"/>
        <v>-18700000</v>
      </c>
      <c r="G112" s="37">
        <f t="shared" si="246"/>
        <v>-17200000</v>
      </c>
      <c r="H112" s="15">
        <f t="shared" si="246"/>
        <v>0</v>
      </c>
      <c r="I112" s="15">
        <f t="shared" si="246"/>
        <v>0</v>
      </c>
      <c r="J112" s="15">
        <f t="shared" si="246"/>
        <v>0</v>
      </c>
      <c r="K112" s="15">
        <f t="shared" si="246"/>
        <v>0</v>
      </c>
      <c r="L112" s="8"/>
      <c r="M112" s="15">
        <f t="shared" ref="M112:AD112" si="247">+M90</f>
        <v>-7500000</v>
      </c>
      <c r="N112" s="15">
        <f t="shared" si="247"/>
        <v>-5300000</v>
      </c>
      <c r="O112" s="15">
        <f t="shared" si="247"/>
        <v>-5800000</v>
      </c>
      <c r="P112" s="15">
        <f t="shared" si="247"/>
        <v>-6800000</v>
      </c>
      <c r="Q112" s="15">
        <f t="shared" si="247"/>
        <v>-7600000</v>
      </c>
      <c r="R112" s="15">
        <f t="shared" si="247"/>
        <v>-8300000</v>
      </c>
      <c r="S112" s="15">
        <f t="shared" si="247"/>
        <v>-9700000</v>
      </c>
      <c r="T112" s="15">
        <f t="shared" si="247"/>
        <v>-9000000</v>
      </c>
      <c r="U112" s="15">
        <f t="shared" si="247"/>
        <v>-8800000</v>
      </c>
      <c r="V112" s="15">
        <f t="shared" si="247"/>
        <v>-8400000</v>
      </c>
      <c r="W112" s="37">
        <f t="shared" si="247"/>
        <v>-9500000</v>
      </c>
      <c r="X112" s="15">
        <f t="shared" si="247"/>
        <v>0</v>
      </c>
      <c r="Y112" s="15">
        <f t="shared" si="247"/>
        <v>0</v>
      </c>
      <c r="Z112" s="15">
        <f t="shared" si="247"/>
        <v>0</v>
      </c>
      <c r="AA112" s="15">
        <f t="shared" si="247"/>
        <v>0</v>
      </c>
      <c r="AB112" s="15">
        <f t="shared" si="247"/>
        <v>0</v>
      </c>
      <c r="AC112" s="15">
        <f t="shared" si="247"/>
        <v>0</v>
      </c>
      <c r="AD112" s="15">
        <f t="shared" si="247"/>
        <v>0</v>
      </c>
    </row>
    <row r="113" spans="1:31" s="9" customFormat="1" ht="12" customHeight="1" x14ac:dyDescent="0.2">
      <c r="A113" s="90"/>
      <c r="B113" s="14" t="s">
        <v>227</v>
      </c>
      <c r="C113" s="15">
        <f>C91+C92</f>
        <v>0</v>
      </c>
      <c r="D113" s="15">
        <f>D91+D92</f>
        <v>0</v>
      </c>
      <c r="E113" s="15">
        <f>E91+E92</f>
        <v>-600000</v>
      </c>
      <c r="F113" s="15">
        <f>F91+F92</f>
        <v>-700000</v>
      </c>
      <c r="G113" s="37">
        <f>G91+G92</f>
        <v>-1000000</v>
      </c>
      <c r="H113" s="15"/>
      <c r="I113" s="15"/>
      <c r="J113" s="15"/>
      <c r="K113" s="15"/>
      <c r="L113" s="8"/>
      <c r="M113" s="15">
        <f t="shared" ref="M113:W113" si="248">M91+M92</f>
        <v>0</v>
      </c>
      <c r="N113" s="15">
        <f t="shared" si="248"/>
        <v>0</v>
      </c>
      <c r="O113" s="15">
        <f t="shared" si="248"/>
        <v>0</v>
      </c>
      <c r="P113" s="15">
        <f t="shared" si="248"/>
        <v>0</v>
      </c>
      <c r="Q113" s="15">
        <f t="shared" si="248"/>
        <v>0</v>
      </c>
      <c r="R113" s="15">
        <f t="shared" si="248"/>
        <v>-600000</v>
      </c>
      <c r="S113" s="15">
        <f t="shared" si="248"/>
        <v>-400000</v>
      </c>
      <c r="T113" s="15">
        <f t="shared" si="248"/>
        <v>-300000</v>
      </c>
      <c r="U113" s="15">
        <f t="shared" si="248"/>
        <v>-500000</v>
      </c>
      <c r="V113" s="15">
        <f t="shared" si="248"/>
        <v>-500000</v>
      </c>
      <c r="W113" s="37">
        <f t="shared" si="248"/>
        <v>-2900000</v>
      </c>
      <c r="X113" s="15"/>
      <c r="Y113" s="15"/>
      <c r="Z113" s="15"/>
      <c r="AA113" s="15"/>
      <c r="AB113" s="15"/>
      <c r="AC113" s="15"/>
      <c r="AD113" s="15"/>
    </row>
    <row r="114" spans="1:31" s="9" customFormat="1" ht="12" customHeight="1" x14ac:dyDescent="0.2">
      <c r="A114" s="90"/>
      <c r="B114" s="14" t="s">
        <v>80</v>
      </c>
      <c r="C114" s="15">
        <f t="shared" ref="C114:K114" si="249">+C207</f>
        <v>-5600000</v>
      </c>
      <c r="D114" s="15">
        <f t="shared" si="249"/>
        <v>-3000000</v>
      </c>
      <c r="E114" s="15">
        <f t="shared" si="249"/>
        <v>-5100000</v>
      </c>
      <c r="F114" s="15">
        <f t="shared" si="249"/>
        <v>-5300000</v>
      </c>
      <c r="G114" s="37">
        <f t="shared" si="249"/>
        <v>-6000000</v>
      </c>
      <c r="H114" s="15">
        <f t="shared" si="249"/>
        <v>0</v>
      </c>
      <c r="I114" s="15">
        <f t="shared" si="249"/>
        <v>0</v>
      </c>
      <c r="J114" s="15">
        <f t="shared" si="249"/>
        <v>0</v>
      </c>
      <c r="K114" s="15">
        <f t="shared" si="249"/>
        <v>0</v>
      </c>
      <c r="L114" s="8"/>
      <c r="M114" s="15">
        <f t="shared" ref="M114:R114" si="250">+M207</f>
        <v>-2100000</v>
      </c>
      <c r="N114" s="15">
        <f t="shared" si="250"/>
        <v>-3500000</v>
      </c>
      <c r="O114" s="15">
        <f t="shared" si="250"/>
        <v>-1600000</v>
      </c>
      <c r="P114" s="15">
        <f t="shared" si="250"/>
        <v>-1400000</v>
      </c>
      <c r="Q114" s="15">
        <f t="shared" si="250"/>
        <v>-2500000</v>
      </c>
      <c r="R114" s="15">
        <f t="shared" si="250"/>
        <v>-2600000</v>
      </c>
      <c r="S114" s="15">
        <f>+S207</f>
        <v>-2700000</v>
      </c>
      <c r="T114" s="15">
        <f>+T207</f>
        <v>-2600000</v>
      </c>
      <c r="U114" s="15">
        <f>+U207</f>
        <v>-3000000</v>
      </c>
      <c r="V114" s="15">
        <f t="shared" ref="V114" si="251">+V207</f>
        <v>-3000000</v>
      </c>
      <c r="W114" s="37">
        <f>+W207</f>
        <v>-3300000</v>
      </c>
      <c r="X114" s="15">
        <f t="shared" ref="X114:AD114" si="252">+X207</f>
        <v>0</v>
      </c>
      <c r="Y114" s="15">
        <f t="shared" si="252"/>
        <v>0</v>
      </c>
      <c r="Z114" s="15">
        <f t="shared" si="252"/>
        <v>0</v>
      </c>
      <c r="AA114" s="15">
        <f t="shared" si="252"/>
        <v>0</v>
      </c>
      <c r="AB114" s="15">
        <f t="shared" si="252"/>
        <v>0</v>
      </c>
      <c r="AC114" s="15">
        <f t="shared" si="252"/>
        <v>0</v>
      </c>
      <c r="AD114" s="15">
        <f t="shared" si="252"/>
        <v>0</v>
      </c>
    </row>
    <row r="115" spans="1:31" s="9" customFormat="1" ht="12" customHeight="1" thickBot="1" x14ac:dyDescent="0.25">
      <c r="A115" s="90"/>
      <c r="B115" s="19" t="s">
        <v>193</v>
      </c>
      <c r="C115" s="20" cm="1">
        <f t="array" ref="C115">SUM(ROUND(C111:C114,-5))</f>
        <v>-29300000</v>
      </c>
      <c r="D115" s="20" cm="1">
        <f t="array" ref="D115">SUM(ROUND(D111:D114,-5))</f>
        <v>-3900000</v>
      </c>
      <c r="E115" s="20" cm="1">
        <f t="array" ref="E115">SUM(ROUND(E111:E114,-5))</f>
        <v>-6500000</v>
      </c>
      <c r="F115" s="20" cm="1">
        <f t="array" ref="F115">SUM(ROUND(F111:F114,-5))</f>
        <v>-8200000</v>
      </c>
      <c r="G115" s="39" cm="1">
        <f t="array" ref="G115">SUM(ROUND(G111:G114,-5))</f>
        <v>-800000</v>
      </c>
      <c r="H115" s="20">
        <f t="shared" ref="H115:K115" si="253">+ROUND(H111,-5)+ROUND(H112,-5)+ROUND(H114,-5)</f>
        <v>0</v>
      </c>
      <c r="I115" s="20">
        <f t="shared" si="253"/>
        <v>0</v>
      </c>
      <c r="J115" s="20">
        <f t="shared" si="253"/>
        <v>0</v>
      </c>
      <c r="K115" s="20">
        <f t="shared" si="253"/>
        <v>0</v>
      </c>
      <c r="L115" s="8"/>
      <c r="M115" s="20" cm="1">
        <f t="array" ref="M115">SUM(ROUND(M111:M114,-5))</f>
        <v>-16400000</v>
      </c>
      <c r="N115" s="20" cm="1">
        <f t="array" ref="N115">SUM(ROUND(N111:N114,-5))</f>
        <v>-12900000</v>
      </c>
      <c r="O115" s="20" cm="1">
        <f t="array" ref="O115">SUM(ROUND(O111:O114,-5))</f>
        <v>2000000</v>
      </c>
      <c r="P115" s="20" cm="1">
        <f t="array" ref="P115">SUM(ROUND(P111:P114,-5))</f>
        <v>-5900000</v>
      </c>
      <c r="Q115" s="20" cm="1">
        <f t="array" ref="Q115">SUM(ROUND(Q111:Q114,-5))</f>
        <v>-5100000</v>
      </c>
      <c r="R115" s="20" cm="1">
        <f t="array" ref="R115">SUM(ROUND(R111:R114,-5))</f>
        <v>-1400000</v>
      </c>
      <c r="S115" s="20" cm="1">
        <f t="array" ref="S115">SUM(ROUND(S111:S114,-5))</f>
        <v>-8000000</v>
      </c>
      <c r="T115" s="20" cm="1">
        <f t="array" ref="T115">SUM(ROUND(T111:T114,-5))</f>
        <v>-200000</v>
      </c>
      <c r="U115" s="20" cm="1">
        <f t="array" ref="U115">SUM(ROUND(U111:U114,-5))</f>
        <v>-4000000</v>
      </c>
      <c r="V115" s="20" cm="1">
        <f t="array" ref="V115">SUM(ROUND(V111:V114,-5))</f>
        <v>3200000</v>
      </c>
      <c r="W115" s="39" cm="1">
        <f t="array" ref="W115">SUM(ROUND(W111:W114,-5))</f>
        <v>-5100000</v>
      </c>
      <c r="X115" s="20">
        <f t="shared" ref="X115:AD115" si="254">+ROUND(X111,-5)+ROUND(X112,-5)+ROUND(X114,-5)</f>
        <v>0</v>
      </c>
      <c r="Y115" s="20">
        <f t="shared" si="254"/>
        <v>0</v>
      </c>
      <c r="Z115" s="20">
        <f t="shared" si="254"/>
        <v>0</v>
      </c>
      <c r="AA115" s="20">
        <f t="shared" si="254"/>
        <v>0</v>
      </c>
      <c r="AB115" s="20">
        <f t="shared" si="254"/>
        <v>0</v>
      </c>
      <c r="AC115" s="20">
        <f t="shared" si="254"/>
        <v>0</v>
      </c>
      <c r="AD115" s="20">
        <f t="shared" si="254"/>
        <v>0</v>
      </c>
    </row>
    <row r="116" spans="1:31" s="9" customFormat="1" collapsed="1" x14ac:dyDescent="0.25">
      <c r="A116" s="7"/>
      <c r="B116" s="18"/>
      <c r="C116" s="21"/>
      <c r="D116" s="21"/>
      <c r="E116" s="21"/>
      <c r="F116" s="21"/>
      <c r="G116" s="21"/>
      <c r="H116" s="21"/>
      <c r="I116" s="21"/>
      <c r="J116" s="21"/>
      <c r="K116" s="21"/>
      <c r="L116" s="8"/>
      <c r="M116" s="21"/>
      <c r="N116" s="21"/>
      <c r="O116" s="21"/>
      <c r="P116" s="21"/>
      <c r="Q116" s="21"/>
      <c r="R116" s="21"/>
      <c r="S116" s="21"/>
      <c r="T116" s="21"/>
      <c r="U116" s="21"/>
      <c r="V116" s="21"/>
      <c r="W116" s="21"/>
      <c r="X116" s="21"/>
      <c r="Y116" s="21"/>
      <c r="Z116" s="21"/>
      <c r="AA116" s="21"/>
      <c r="AB116" s="21"/>
      <c r="AC116" s="21"/>
      <c r="AD116" s="21"/>
    </row>
    <row r="117" spans="1:31" s="9" customFormat="1" ht="28.5" thickBot="1" x14ac:dyDescent="0.25">
      <c r="A117" s="90" t="s">
        <v>82</v>
      </c>
      <c r="B117" s="78" t="s">
        <v>81</v>
      </c>
      <c r="C117" s="58" t="s">
        <v>5</v>
      </c>
      <c r="D117" s="58" t="s">
        <v>6</v>
      </c>
      <c r="E117" s="58" t="s">
        <v>206</v>
      </c>
      <c r="F117" s="58" t="s">
        <v>196</v>
      </c>
      <c r="G117" s="58" t="s">
        <v>203</v>
      </c>
      <c r="H117" s="58" t="s">
        <v>10</v>
      </c>
      <c r="I117" s="58" t="s">
        <v>11</v>
      </c>
      <c r="J117" s="58" t="s">
        <v>12</v>
      </c>
      <c r="K117" s="58" t="s">
        <v>13</v>
      </c>
      <c r="L117" s="59"/>
      <c r="M117" s="58" t="s">
        <v>14</v>
      </c>
      <c r="N117" s="58" t="s">
        <v>15</v>
      </c>
      <c r="O117" s="58" t="s">
        <v>16</v>
      </c>
      <c r="P117" s="58" t="s">
        <v>17</v>
      </c>
      <c r="Q117" s="58" t="s">
        <v>18</v>
      </c>
      <c r="R117" s="58" t="s">
        <v>207</v>
      </c>
      <c r="S117" s="58" t="s">
        <v>64</v>
      </c>
      <c r="T117" s="58" t="s">
        <v>155</v>
      </c>
      <c r="U117" s="58" t="s">
        <v>204</v>
      </c>
      <c r="V117" s="58" t="s">
        <v>205</v>
      </c>
      <c r="W117" s="58" t="s">
        <v>183</v>
      </c>
      <c r="X117" s="11" t="s">
        <v>184</v>
      </c>
      <c r="Y117" s="11" t="s">
        <v>185</v>
      </c>
      <c r="Z117" s="11" t="s">
        <v>186</v>
      </c>
      <c r="AA117" s="11" t="s">
        <v>187</v>
      </c>
      <c r="AB117" s="11" t="s">
        <v>188</v>
      </c>
      <c r="AC117" s="11" t="s">
        <v>189</v>
      </c>
      <c r="AD117" s="11" t="s">
        <v>190</v>
      </c>
    </row>
    <row r="118" spans="1:31" s="9" customFormat="1" ht="12" customHeight="1" thickTop="1" thickBot="1" x14ac:dyDescent="0.25">
      <c r="A118" s="90"/>
      <c r="B118" s="19" t="s">
        <v>83</v>
      </c>
      <c r="C118" s="20"/>
      <c r="D118" s="20">
        <v>96700000</v>
      </c>
      <c r="E118" s="20">
        <v>118000000</v>
      </c>
      <c r="F118" s="20">
        <v>126300000</v>
      </c>
      <c r="G118" s="39">
        <v>145600000</v>
      </c>
      <c r="H118" s="20"/>
      <c r="I118" s="20"/>
      <c r="J118" s="20"/>
      <c r="K118" s="20"/>
      <c r="L118" s="8"/>
      <c r="M118" s="20"/>
      <c r="N118" s="20"/>
      <c r="O118" s="20"/>
      <c r="P118" s="20">
        <f>+D118</f>
        <v>96700000</v>
      </c>
      <c r="Q118" s="20">
        <v>112000000</v>
      </c>
      <c r="R118" s="20">
        <f>+E118</f>
        <v>118000000</v>
      </c>
      <c r="S118" s="20">
        <v>118300000</v>
      </c>
      <c r="T118" s="20">
        <f>+F118</f>
        <v>126300000</v>
      </c>
      <c r="U118" s="20">
        <v>129400000</v>
      </c>
      <c r="V118" s="20">
        <f>+G118</f>
        <v>145600000</v>
      </c>
      <c r="W118" s="39">
        <v>145800000</v>
      </c>
      <c r="X118" s="20"/>
      <c r="Y118" s="20"/>
      <c r="Z118" s="20"/>
      <c r="AA118" s="20"/>
      <c r="AB118" s="20"/>
      <c r="AC118" s="20"/>
      <c r="AD118" s="20"/>
    </row>
    <row r="119" spans="1:31" s="9" customFormat="1" ht="12" customHeight="1" x14ac:dyDescent="0.25">
      <c r="A119" s="90"/>
      <c r="B119" s="18"/>
      <c r="C119" s="15"/>
      <c r="D119" s="15"/>
      <c r="E119" s="15"/>
      <c r="F119" s="15"/>
      <c r="G119" s="37"/>
      <c r="H119" s="15"/>
      <c r="I119" s="15"/>
      <c r="J119" s="15"/>
      <c r="K119" s="15"/>
      <c r="L119" s="8"/>
      <c r="M119" s="15"/>
      <c r="N119" s="15"/>
      <c r="O119" s="15"/>
      <c r="P119" s="15"/>
      <c r="Q119" s="15"/>
      <c r="R119" s="15"/>
      <c r="S119" s="15"/>
      <c r="T119" s="15"/>
      <c r="U119" s="15"/>
      <c r="V119" s="15"/>
      <c r="W119" s="37"/>
      <c r="X119" s="15"/>
      <c r="Y119" s="15"/>
      <c r="Z119" s="15"/>
      <c r="AA119" s="15"/>
      <c r="AB119" s="15"/>
      <c r="AC119" s="15"/>
      <c r="AD119" s="15"/>
      <c r="AE119" s="4"/>
    </row>
    <row r="120" spans="1:31" s="9" customFormat="1" ht="12" customHeight="1" x14ac:dyDescent="0.25">
      <c r="A120" s="90"/>
      <c r="B120" s="33" t="s">
        <v>84</v>
      </c>
      <c r="C120" s="15">
        <f>+C48</f>
        <v>87500000</v>
      </c>
      <c r="D120" s="15">
        <f>+D48</f>
        <v>98100000</v>
      </c>
      <c r="E120" s="15">
        <f>+E48</f>
        <v>135100000</v>
      </c>
      <c r="F120" s="15">
        <f>+F48</f>
        <v>143000000</v>
      </c>
      <c r="G120" s="37">
        <f>+G48</f>
        <v>150000000</v>
      </c>
      <c r="H120" s="15"/>
      <c r="I120" s="15"/>
      <c r="J120" s="15"/>
      <c r="K120" s="15"/>
      <c r="L120" s="8"/>
      <c r="M120" s="15">
        <f t="shared" ref="M120:W120" si="255">+M48</f>
        <v>44800000</v>
      </c>
      <c r="N120" s="15">
        <f t="shared" si="255"/>
        <v>42700000</v>
      </c>
      <c r="O120" s="15">
        <f t="shared" si="255"/>
        <v>44900000</v>
      </c>
      <c r="P120" s="15">
        <f t="shared" si="255"/>
        <v>53200000</v>
      </c>
      <c r="Q120" s="15">
        <f t="shared" si="255"/>
        <v>62400000</v>
      </c>
      <c r="R120" s="15">
        <f t="shared" si="255"/>
        <v>72700000</v>
      </c>
      <c r="S120" s="15">
        <f t="shared" si="255"/>
        <v>69700000</v>
      </c>
      <c r="T120" s="15">
        <f t="shared" si="255"/>
        <v>73300000</v>
      </c>
      <c r="U120" s="15">
        <f t="shared" si="255"/>
        <v>69600000</v>
      </c>
      <c r="V120" s="15">
        <f t="shared" si="255"/>
        <v>80400000</v>
      </c>
      <c r="W120" s="37">
        <f t="shared" si="255"/>
        <v>77000000</v>
      </c>
      <c r="X120" s="15"/>
      <c r="Y120" s="15"/>
      <c r="Z120" s="15"/>
      <c r="AA120" s="15"/>
      <c r="AB120" s="15"/>
      <c r="AC120" s="15"/>
      <c r="AD120" s="15"/>
      <c r="AE120" s="4"/>
    </row>
    <row r="121" spans="1:31" s="9" customFormat="1" ht="12" customHeight="1" x14ac:dyDescent="0.25">
      <c r="A121" s="90"/>
      <c r="B121" s="33" t="s">
        <v>200</v>
      </c>
      <c r="C121" s="15">
        <f>-C115</f>
        <v>29300000</v>
      </c>
      <c r="D121" s="15">
        <f>-D115</f>
        <v>3900000</v>
      </c>
      <c r="E121" s="15">
        <f>-E115</f>
        <v>6500000</v>
      </c>
      <c r="F121" s="15">
        <f>-F115</f>
        <v>8200000</v>
      </c>
      <c r="G121" s="37">
        <f>-G115</f>
        <v>800000</v>
      </c>
      <c r="H121" s="15"/>
      <c r="I121" s="15"/>
      <c r="J121" s="15"/>
      <c r="K121" s="15"/>
      <c r="L121" s="8"/>
      <c r="M121" s="15">
        <f t="shared" ref="M121:W121" si="256">-M115</f>
        <v>16400000</v>
      </c>
      <c r="N121" s="15">
        <f t="shared" si="256"/>
        <v>12900000</v>
      </c>
      <c r="O121" s="15">
        <f t="shared" si="256"/>
        <v>-2000000</v>
      </c>
      <c r="P121" s="15">
        <f t="shared" si="256"/>
        <v>5900000</v>
      </c>
      <c r="Q121" s="15">
        <f t="shared" si="256"/>
        <v>5100000</v>
      </c>
      <c r="R121" s="15">
        <f t="shared" si="256"/>
        <v>1400000</v>
      </c>
      <c r="S121" s="15">
        <f t="shared" si="256"/>
        <v>8000000</v>
      </c>
      <c r="T121" s="15">
        <f t="shared" si="256"/>
        <v>200000</v>
      </c>
      <c r="U121" s="15">
        <f t="shared" si="256"/>
        <v>4000000</v>
      </c>
      <c r="V121" s="15">
        <f t="shared" si="256"/>
        <v>-3200000</v>
      </c>
      <c r="W121" s="37">
        <f t="shared" si="256"/>
        <v>5100000</v>
      </c>
      <c r="X121" s="15"/>
      <c r="Y121" s="15"/>
      <c r="Z121" s="15"/>
      <c r="AA121" s="15"/>
      <c r="AB121" s="15"/>
      <c r="AC121" s="15"/>
      <c r="AD121" s="15"/>
      <c r="AE121" s="4"/>
    </row>
    <row r="122" spans="1:31" s="9" customFormat="1" ht="12" customHeight="1" thickBot="1" x14ac:dyDescent="0.3">
      <c r="A122" s="90"/>
      <c r="B122" s="19" t="s">
        <v>85</v>
      </c>
      <c r="C122" s="20">
        <f>+C120+C121</f>
        <v>116800000</v>
      </c>
      <c r="D122" s="20">
        <f t="shared" ref="D122:G122" si="257">+D120+D121</f>
        <v>102000000</v>
      </c>
      <c r="E122" s="20">
        <f t="shared" si="257"/>
        <v>141600000</v>
      </c>
      <c r="F122" s="20">
        <f t="shared" si="257"/>
        <v>151200000</v>
      </c>
      <c r="G122" s="39">
        <f t="shared" si="257"/>
        <v>150800000</v>
      </c>
      <c r="H122" s="20"/>
      <c r="I122" s="20"/>
      <c r="J122" s="20"/>
      <c r="K122" s="20"/>
      <c r="L122" s="8"/>
      <c r="M122" s="20">
        <f t="shared" ref="M122:U122" si="258">+M120+M121</f>
        <v>61200000</v>
      </c>
      <c r="N122" s="20">
        <f t="shared" si="258"/>
        <v>55600000</v>
      </c>
      <c r="O122" s="20">
        <f t="shared" si="258"/>
        <v>42900000</v>
      </c>
      <c r="P122" s="20">
        <f t="shared" si="258"/>
        <v>59100000</v>
      </c>
      <c r="Q122" s="20">
        <f t="shared" si="258"/>
        <v>67500000</v>
      </c>
      <c r="R122" s="20">
        <f t="shared" si="258"/>
        <v>74100000</v>
      </c>
      <c r="S122" s="20">
        <f t="shared" si="258"/>
        <v>77700000</v>
      </c>
      <c r="T122" s="20">
        <f t="shared" si="258"/>
        <v>73500000</v>
      </c>
      <c r="U122" s="20">
        <f t="shared" si="258"/>
        <v>73600000</v>
      </c>
      <c r="V122" s="20">
        <f t="shared" ref="V122:W122" si="259">+V120+V121</f>
        <v>77200000</v>
      </c>
      <c r="W122" s="39">
        <f t="shared" si="259"/>
        <v>82100000</v>
      </c>
      <c r="X122" s="20"/>
      <c r="Y122" s="20"/>
      <c r="Z122" s="20"/>
      <c r="AA122" s="20"/>
      <c r="AB122" s="20"/>
      <c r="AC122" s="20"/>
      <c r="AD122" s="20"/>
      <c r="AE122" s="4"/>
    </row>
    <row r="123" spans="1:31" s="9" customFormat="1" ht="12" customHeight="1" x14ac:dyDescent="0.25">
      <c r="A123" s="7"/>
      <c r="B123" s="8"/>
      <c r="C123" s="8"/>
      <c r="D123" s="8"/>
      <c r="E123" s="8"/>
      <c r="F123" s="8"/>
      <c r="G123" s="8"/>
      <c r="H123" s="8"/>
      <c r="I123" s="8"/>
      <c r="J123" s="8"/>
      <c r="K123" s="8"/>
      <c r="L123" s="8"/>
      <c r="M123" s="8"/>
      <c r="N123" s="8"/>
      <c r="O123" s="8"/>
      <c r="P123" s="8"/>
      <c r="Q123" s="8"/>
      <c r="R123" s="8"/>
      <c r="S123" s="8"/>
      <c r="T123" s="8"/>
      <c r="U123" s="8"/>
      <c r="V123" s="8"/>
      <c r="W123" s="8"/>
      <c r="X123" s="8"/>
      <c r="Y123" s="8"/>
      <c r="Z123" s="8"/>
      <c r="AA123" s="8"/>
      <c r="AB123" s="8"/>
      <c r="AC123" s="8"/>
      <c r="AD123" s="8"/>
    </row>
    <row r="124" spans="1:31" s="13" customFormat="1" ht="16.5" customHeight="1" thickBot="1" x14ac:dyDescent="0.3">
      <c r="A124" s="2"/>
      <c r="B124" s="10" t="s">
        <v>86</v>
      </c>
      <c r="C124" s="11" t="s">
        <v>5</v>
      </c>
      <c r="D124" s="11" t="s">
        <v>6</v>
      </c>
      <c r="E124" s="11" t="s">
        <v>7</v>
      </c>
      <c r="F124" s="11" t="s">
        <v>8</v>
      </c>
      <c r="G124" s="11" t="s">
        <v>9</v>
      </c>
      <c r="H124" s="11" t="s">
        <v>10</v>
      </c>
      <c r="I124" s="11" t="s">
        <v>11</v>
      </c>
      <c r="J124" s="11" t="s">
        <v>12</v>
      </c>
      <c r="K124" s="11" t="s">
        <v>13</v>
      </c>
      <c r="L124" s="12"/>
      <c r="M124" s="11" t="s">
        <v>14</v>
      </c>
      <c r="N124" s="11" t="s">
        <v>15</v>
      </c>
      <c r="O124" s="11" t="s">
        <v>16</v>
      </c>
      <c r="P124" s="11" t="s">
        <v>17</v>
      </c>
      <c r="Q124" s="11" t="s">
        <v>18</v>
      </c>
      <c r="R124" s="11" t="s">
        <v>19</v>
      </c>
      <c r="S124" s="11" t="s">
        <v>20</v>
      </c>
      <c r="T124" s="11" t="s">
        <v>21</v>
      </c>
      <c r="U124" s="11" t="s">
        <v>22</v>
      </c>
      <c r="V124" s="11" t="s">
        <v>182</v>
      </c>
      <c r="W124" s="11" t="s">
        <v>183</v>
      </c>
      <c r="X124" s="11" t="s">
        <v>184</v>
      </c>
      <c r="Y124" s="11" t="s">
        <v>185</v>
      </c>
      <c r="Z124" s="11" t="s">
        <v>186</v>
      </c>
      <c r="AA124" s="11" t="s">
        <v>187</v>
      </c>
      <c r="AB124" s="11" t="s">
        <v>188</v>
      </c>
      <c r="AC124" s="11" t="s">
        <v>189</v>
      </c>
      <c r="AD124" s="11" t="s">
        <v>190</v>
      </c>
    </row>
    <row r="125" spans="1:31" s="30" customFormat="1" ht="12" customHeight="1" thickTop="1" x14ac:dyDescent="0.2">
      <c r="A125" s="90" t="s">
        <v>87</v>
      </c>
      <c r="B125" s="28" t="s">
        <v>88</v>
      </c>
      <c r="C125" s="29"/>
      <c r="D125" s="29"/>
      <c r="E125" s="29"/>
      <c r="F125" s="29"/>
      <c r="G125" s="42"/>
      <c r="H125" s="29"/>
      <c r="I125" s="29"/>
      <c r="J125" s="29"/>
      <c r="K125" s="29"/>
      <c r="L125" s="8"/>
      <c r="M125" s="29"/>
      <c r="N125" s="29"/>
      <c r="O125" s="29"/>
      <c r="P125" s="29"/>
      <c r="Q125" s="29"/>
      <c r="R125" s="29"/>
      <c r="S125" s="29"/>
      <c r="T125" s="29"/>
      <c r="U125" s="29"/>
      <c r="V125" s="29"/>
      <c r="W125" s="42"/>
      <c r="X125" s="29"/>
      <c r="Y125" s="29"/>
      <c r="Z125" s="29"/>
      <c r="AA125" s="29"/>
      <c r="AB125" s="29"/>
      <c r="AC125" s="29"/>
      <c r="AD125" s="29"/>
    </row>
    <row r="126" spans="1:31" s="9" customFormat="1" ht="12" customHeight="1" x14ac:dyDescent="0.2">
      <c r="A126" s="90"/>
      <c r="B126" s="14" t="s">
        <v>89</v>
      </c>
      <c r="C126" s="15">
        <v>67100000</v>
      </c>
      <c r="D126" s="15">
        <v>60400000</v>
      </c>
      <c r="E126" s="15">
        <v>46000000</v>
      </c>
      <c r="F126" s="15">
        <v>28500000</v>
      </c>
      <c r="G126" s="37">
        <v>21800000</v>
      </c>
      <c r="H126" s="15"/>
      <c r="I126" s="15"/>
      <c r="J126" s="15"/>
      <c r="K126" s="15"/>
      <c r="L126" s="8"/>
      <c r="M126" s="15">
        <v>96000000</v>
      </c>
      <c r="N126" s="15">
        <f>+C126</f>
        <v>67100000</v>
      </c>
      <c r="O126" s="15">
        <v>58100000</v>
      </c>
      <c r="P126" s="15">
        <f t="shared" ref="P126:P133" si="260">+D126</f>
        <v>60400000</v>
      </c>
      <c r="Q126" s="15">
        <v>51900000</v>
      </c>
      <c r="R126" s="15">
        <f>+E126</f>
        <v>46000000</v>
      </c>
      <c r="S126" s="15">
        <v>37100000</v>
      </c>
      <c r="T126" s="15">
        <f>+F126</f>
        <v>28500000</v>
      </c>
      <c r="U126" s="15">
        <v>20000000</v>
      </c>
      <c r="V126" s="15">
        <f>G126</f>
        <v>21800000</v>
      </c>
      <c r="W126" s="37">
        <v>21900000</v>
      </c>
      <c r="X126" s="15"/>
      <c r="Y126" s="15"/>
      <c r="Z126" s="15"/>
      <c r="AA126" s="15"/>
      <c r="AB126" s="15"/>
      <c r="AC126" s="15"/>
      <c r="AD126" s="15"/>
    </row>
    <row r="127" spans="1:31" s="9" customFormat="1" ht="12" customHeight="1" x14ac:dyDescent="0.2">
      <c r="A127" s="90"/>
      <c r="B127" s="14" t="s">
        <v>90</v>
      </c>
      <c r="C127" s="15">
        <v>32700000</v>
      </c>
      <c r="D127" s="15">
        <v>31929760</v>
      </c>
      <c r="E127" s="15">
        <v>36400000</v>
      </c>
      <c r="F127" s="15">
        <v>38400000</v>
      </c>
      <c r="G127" s="37">
        <v>41000000</v>
      </c>
      <c r="H127" s="15"/>
      <c r="I127" s="15"/>
      <c r="J127" s="15"/>
      <c r="K127" s="15"/>
      <c r="L127" s="8"/>
      <c r="M127" s="15">
        <v>28600000</v>
      </c>
      <c r="N127" s="15">
        <f t="shared" ref="N127:N133" si="261">+C127</f>
        <v>32700000</v>
      </c>
      <c r="O127" s="15">
        <v>36100000</v>
      </c>
      <c r="P127" s="15">
        <f t="shared" si="260"/>
        <v>31929760</v>
      </c>
      <c r="Q127" s="15">
        <v>30100000</v>
      </c>
      <c r="R127" s="15">
        <f t="shared" ref="R127:R133" si="262">+E127</f>
        <v>36400000</v>
      </c>
      <c r="S127" s="15">
        <v>30300000</v>
      </c>
      <c r="T127" s="15">
        <f t="shared" ref="T127:T133" si="263">+F127</f>
        <v>38400000</v>
      </c>
      <c r="U127" s="15">
        <v>31100000</v>
      </c>
      <c r="V127" s="15">
        <f t="shared" ref="V127:V133" si="264">G127</f>
        <v>41000000</v>
      </c>
      <c r="W127" s="37">
        <v>36100000</v>
      </c>
      <c r="X127" s="15"/>
      <c r="Y127" s="15"/>
      <c r="Z127" s="15"/>
      <c r="AA127" s="15"/>
      <c r="AB127" s="15"/>
      <c r="AC127" s="15"/>
      <c r="AD127" s="15"/>
    </row>
    <row r="128" spans="1:31" s="9" customFormat="1" ht="12" customHeight="1" x14ac:dyDescent="0.2">
      <c r="A128" s="90"/>
      <c r="B128" s="14" t="s">
        <v>91</v>
      </c>
      <c r="C128" s="15">
        <v>5900000</v>
      </c>
      <c r="D128" s="15">
        <v>4570240</v>
      </c>
      <c r="E128" s="15">
        <v>4900000</v>
      </c>
      <c r="F128" s="15">
        <v>4100000</v>
      </c>
      <c r="G128" s="37">
        <v>6900000</v>
      </c>
      <c r="H128" s="15"/>
      <c r="I128" s="15"/>
      <c r="J128" s="15"/>
      <c r="K128" s="15"/>
      <c r="L128" s="8"/>
      <c r="M128" s="15">
        <v>8400000</v>
      </c>
      <c r="N128" s="15">
        <f t="shared" si="261"/>
        <v>5900000</v>
      </c>
      <c r="O128" s="15">
        <v>6200000</v>
      </c>
      <c r="P128" s="15">
        <f t="shared" si="260"/>
        <v>4570240</v>
      </c>
      <c r="Q128" s="15">
        <v>7200000</v>
      </c>
      <c r="R128" s="15">
        <f t="shared" si="262"/>
        <v>4900000</v>
      </c>
      <c r="S128" s="15">
        <v>6000000</v>
      </c>
      <c r="T128" s="15">
        <f t="shared" si="263"/>
        <v>4100000</v>
      </c>
      <c r="U128" s="15">
        <v>5200000</v>
      </c>
      <c r="V128" s="15">
        <f t="shared" si="264"/>
        <v>6900000</v>
      </c>
      <c r="W128" s="37">
        <v>7500000</v>
      </c>
      <c r="X128" s="15"/>
      <c r="Y128" s="15"/>
      <c r="Z128" s="15"/>
      <c r="AA128" s="15"/>
      <c r="AB128" s="15"/>
      <c r="AC128" s="15"/>
      <c r="AD128" s="15"/>
    </row>
    <row r="129" spans="1:30" s="9" customFormat="1" ht="12" customHeight="1" x14ac:dyDescent="0.2">
      <c r="A129" s="90"/>
      <c r="B129" s="14" t="s">
        <v>92</v>
      </c>
      <c r="C129" s="15">
        <v>0</v>
      </c>
      <c r="D129" s="15">
        <v>500000</v>
      </c>
      <c r="E129" s="15">
        <v>0</v>
      </c>
      <c r="F129" s="15">
        <v>0</v>
      </c>
      <c r="G129" s="37">
        <v>600000</v>
      </c>
      <c r="H129" s="15"/>
      <c r="I129" s="15"/>
      <c r="J129" s="15"/>
      <c r="K129" s="15"/>
      <c r="L129" s="8"/>
      <c r="M129" s="15"/>
      <c r="N129" s="15">
        <f t="shared" si="261"/>
        <v>0</v>
      </c>
      <c r="O129" s="15">
        <v>0</v>
      </c>
      <c r="P129" s="15">
        <f t="shared" si="260"/>
        <v>500000</v>
      </c>
      <c r="Q129" s="15">
        <v>0</v>
      </c>
      <c r="R129" s="15">
        <f t="shared" si="262"/>
        <v>0</v>
      </c>
      <c r="S129" s="15">
        <v>0</v>
      </c>
      <c r="T129" s="15">
        <f t="shared" si="263"/>
        <v>0</v>
      </c>
      <c r="U129" s="15">
        <v>600000</v>
      </c>
      <c r="V129" s="15">
        <f t="shared" si="264"/>
        <v>600000</v>
      </c>
      <c r="W129" s="37">
        <v>600000</v>
      </c>
      <c r="X129" s="15"/>
      <c r="Y129" s="15"/>
      <c r="Z129" s="15"/>
      <c r="AA129" s="15"/>
      <c r="AB129" s="15"/>
      <c r="AC129" s="15"/>
      <c r="AD129" s="15"/>
    </row>
    <row r="130" spans="1:30" s="9" customFormat="1" ht="12" hidden="1" customHeight="1" outlineLevel="1" x14ac:dyDescent="0.2">
      <c r="A130" s="90"/>
      <c r="B130" s="14"/>
      <c r="C130" s="15"/>
      <c r="D130" s="15"/>
      <c r="E130" s="15"/>
      <c r="F130" s="15"/>
      <c r="G130" s="37">
        <v>0</v>
      </c>
      <c r="H130" s="15"/>
      <c r="I130" s="15"/>
      <c r="J130" s="15"/>
      <c r="K130" s="15"/>
      <c r="L130" s="8"/>
      <c r="M130" s="15"/>
      <c r="N130" s="15"/>
      <c r="O130" s="15"/>
      <c r="P130" s="15"/>
      <c r="Q130" s="15"/>
      <c r="R130" s="15"/>
      <c r="S130" s="15"/>
      <c r="T130" s="15"/>
      <c r="U130" s="15"/>
      <c r="V130" s="15">
        <f t="shared" si="264"/>
        <v>0</v>
      </c>
      <c r="W130" s="37"/>
      <c r="X130" s="15"/>
      <c r="Y130" s="15"/>
      <c r="Z130" s="15"/>
      <c r="AA130" s="15"/>
      <c r="AB130" s="15"/>
      <c r="AC130" s="15"/>
      <c r="AD130" s="15"/>
    </row>
    <row r="131" spans="1:30" s="9" customFormat="1" ht="12" hidden="1" customHeight="1" outlineLevel="1" x14ac:dyDescent="0.2">
      <c r="A131" s="90"/>
      <c r="B131" s="14"/>
      <c r="C131" s="15"/>
      <c r="D131" s="15"/>
      <c r="E131" s="15"/>
      <c r="F131" s="15"/>
      <c r="G131" s="37">
        <v>0</v>
      </c>
      <c r="H131" s="15"/>
      <c r="I131" s="15"/>
      <c r="J131" s="15"/>
      <c r="K131" s="15"/>
      <c r="L131" s="8"/>
      <c r="M131" s="15"/>
      <c r="N131" s="15"/>
      <c r="O131" s="15"/>
      <c r="P131" s="15"/>
      <c r="Q131" s="15"/>
      <c r="R131" s="15"/>
      <c r="S131" s="15"/>
      <c r="T131" s="15"/>
      <c r="U131" s="15"/>
      <c r="V131" s="15">
        <f t="shared" si="264"/>
        <v>0</v>
      </c>
      <c r="W131" s="37"/>
      <c r="X131" s="15"/>
      <c r="Y131" s="15"/>
      <c r="Z131" s="15"/>
      <c r="AA131" s="15"/>
      <c r="AB131" s="15"/>
      <c r="AC131" s="15"/>
      <c r="AD131" s="15"/>
    </row>
    <row r="132" spans="1:30" s="9" customFormat="1" ht="12" hidden="1" customHeight="1" outlineLevel="1" x14ac:dyDescent="0.2">
      <c r="A132" s="90"/>
      <c r="B132" s="14"/>
      <c r="C132" s="15"/>
      <c r="D132" s="15"/>
      <c r="E132" s="15"/>
      <c r="F132" s="15"/>
      <c r="G132" s="37">
        <v>0</v>
      </c>
      <c r="H132" s="15"/>
      <c r="I132" s="15"/>
      <c r="J132" s="15"/>
      <c r="K132" s="15"/>
      <c r="L132" s="8"/>
      <c r="M132" s="15"/>
      <c r="N132" s="15"/>
      <c r="O132" s="15"/>
      <c r="P132" s="15"/>
      <c r="Q132" s="15"/>
      <c r="R132" s="15"/>
      <c r="S132" s="15"/>
      <c r="T132" s="15"/>
      <c r="U132" s="15"/>
      <c r="V132" s="15">
        <f t="shared" si="264"/>
        <v>0</v>
      </c>
      <c r="W132" s="37"/>
      <c r="X132" s="15"/>
      <c r="Y132" s="15"/>
      <c r="Z132" s="15"/>
      <c r="AA132" s="15"/>
      <c r="AB132" s="15"/>
      <c r="AC132" s="15"/>
      <c r="AD132" s="15"/>
    </row>
    <row r="133" spans="1:30" s="9" customFormat="1" ht="12" customHeight="1" collapsed="1" x14ac:dyDescent="0.2">
      <c r="A133" s="90"/>
      <c r="B133" s="31" t="s">
        <v>93</v>
      </c>
      <c r="C133" s="15">
        <v>1100000</v>
      </c>
      <c r="D133" s="15">
        <v>2200000</v>
      </c>
      <c r="E133" s="15">
        <v>1300000</v>
      </c>
      <c r="F133" s="15">
        <v>400000</v>
      </c>
      <c r="G133" s="37">
        <v>100000</v>
      </c>
      <c r="H133" s="15"/>
      <c r="I133" s="15"/>
      <c r="J133" s="15"/>
      <c r="K133" s="15"/>
      <c r="L133" s="8"/>
      <c r="M133" s="15">
        <v>800000</v>
      </c>
      <c r="N133" s="15">
        <f t="shared" si="261"/>
        <v>1100000</v>
      </c>
      <c r="O133" s="15">
        <v>800000</v>
      </c>
      <c r="P133" s="15">
        <f t="shared" si="260"/>
        <v>2200000</v>
      </c>
      <c r="Q133" s="15">
        <v>900000</v>
      </c>
      <c r="R133" s="15">
        <f t="shared" si="262"/>
        <v>1300000</v>
      </c>
      <c r="S133" s="15">
        <v>900000</v>
      </c>
      <c r="T133" s="15">
        <f t="shared" si="263"/>
        <v>400000</v>
      </c>
      <c r="U133" s="15">
        <v>500000</v>
      </c>
      <c r="V133" s="15">
        <f t="shared" si="264"/>
        <v>100000</v>
      </c>
      <c r="W133" s="37">
        <v>600000</v>
      </c>
      <c r="X133" s="15"/>
      <c r="Y133" s="15"/>
      <c r="Z133" s="15"/>
      <c r="AA133" s="15"/>
      <c r="AB133" s="15"/>
      <c r="AC133" s="15"/>
      <c r="AD133" s="15"/>
    </row>
    <row r="134" spans="1:30" s="30" customFormat="1" ht="12" customHeight="1" thickBot="1" x14ac:dyDescent="0.25">
      <c r="A134" s="90"/>
      <c r="B134" s="19" t="s">
        <v>94</v>
      </c>
      <c r="C134" s="20">
        <f>SUM(C126:C133)</f>
        <v>106800000</v>
      </c>
      <c r="D134" s="20">
        <f t="shared" ref="D134:K134" si="265">SUM(D126:D133)</f>
        <v>99600000</v>
      </c>
      <c r="E134" s="20">
        <f t="shared" si="265"/>
        <v>88600000</v>
      </c>
      <c r="F134" s="20">
        <f t="shared" si="265"/>
        <v>71400000</v>
      </c>
      <c r="G134" s="39">
        <f t="shared" si="265"/>
        <v>70400000</v>
      </c>
      <c r="H134" s="20">
        <f t="shared" si="265"/>
        <v>0</v>
      </c>
      <c r="I134" s="20">
        <f t="shared" si="265"/>
        <v>0</v>
      </c>
      <c r="J134" s="20">
        <f t="shared" si="265"/>
        <v>0</v>
      </c>
      <c r="K134" s="20">
        <f t="shared" si="265"/>
        <v>0</v>
      </c>
      <c r="L134" s="8"/>
      <c r="M134" s="20">
        <f t="shared" ref="M134:P134" si="266">SUM(M126:M133)</f>
        <v>133800000</v>
      </c>
      <c r="N134" s="20">
        <f t="shared" si="266"/>
        <v>106800000</v>
      </c>
      <c r="O134" s="20">
        <f t="shared" si="266"/>
        <v>101200000</v>
      </c>
      <c r="P134" s="20">
        <f t="shared" si="266"/>
        <v>99600000</v>
      </c>
      <c r="Q134" s="20">
        <f>SUM(Q126:Q133)</f>
        <v>90100000</v>
      </c>
      <c r="R134" s="20">
        <f t="shared" ref="R134" si="267">SUM(R126:R133)</f>
        <v>88600000</v>
      </c>
      <c r="S134" s="20">
        <f>SUM(S126:S133)</f>
        <v>74300000</v>
      </c>
      <c r="T134" s="20">
        <f t="shared" ref="T134:U134" si="268">SUM(T126:T133)</f>
        <v>71400000</v>
      </c>
      <c r="U134" s="20">
        <f t="shared" si="268"/>
        <v>57400000</v>
      </c>
      <c r="V134" s="20">
        <f t="shared" ref="V134:W134" si="269">SUM(V126:V133)</f>
        <v>70400000</v>
      </c>
      <c r="W134" s="39">
        <f t="shared" si="269"/>
        <v>66700000</v>
      </c>
      <c r="X134" s="20">
        <f t="shared" ref="X134:AD134" si="270">SUM(X126:X133)</f>
        <v>0</v>
      </c>
      <c r="Y134" s="20">
        <f t="shared" si="270"/>
        <v>0</v>
      </c>
      <c r="Z134" s="20">
        <f t="shared" si="270"/>
        <v>0</v>
      </c>
      <c r="AA134" s="20">
        <f t="shared" si="270"/>
        <v>0</v>
      </c>
      <c r="AB134" s="20">
        <f t="shared" si="270"/>
        <v>0</v>
      </c>
      <c r="AC134" s="20">
        <f t="shared" si="270"/>
        <v>0</v>
      </c>
      <c r="AD134" s="20">
        <f t="shared" si="270"/>
        <v>0</v>
      </c>
    </row>
    <row r="135" spans="1:30" s="30" customFormat="1" ht="12" customHeight="1" x14ac:dyDescent="0.2">
      <c r="A135" s="90"/>
      <c r="B135" s="32" t="s">
        <v>95</v>
      </c>
      <c r="C135" s="15"/>
      <c r="D135" s="15"/>
      <c r="E135" s="15"/>
      <c r="F135" s="15"/>
      <c r="G135" s="37"/>
      <c r="H135" s="15"/>
      <c r="I135" s="15"/>
      <c r="J135" s="15"/>
      <c r="K135" s="15"/>
      <c r="L135" s="8"/>
      <c r="M135" s="15"/>
      <c r="N135" s="15"/>
      <c r="O135" s="15"/>
      <c r="P135" s="15"/>
      <c r="Q135" s="15"/>
      <c r="R135" s="15"/>
      <c r="S135" s="15"/>
      <c r="T135" s="15"/>
      <c r="U135" s="15"/>
      <c r="V135" s="15"/>
      <c r="W135" s="37"/>
      <c r="X135" s="15"/>
      <c r="Y135" s="15"/>
      <c r="Z135" s="15"/>
      <c r="AA135" s="15"/>
      <c r="AB135" s="15"/>
      <c r="AC135" s="15"/>
      <c r="AD135" s="15"/>
    </row>
    <row r="136" spans="1:30" s="30" customFormat="1" ht="12" customHeight="1" x14ac:dyDescent="0.2">
      <c r="A136" s="90"/>
      <c r="B136" s="14" t="s">
        <v>90</v>
      </c>
      <c r="C136" s="15">
        <v>0</v>
      </c>
      <c r="D136" s="15">
        <v>0</v>
      </c>
      <c r="E136" s="15">
        <v>0</v>
      </c>
      <c r="F136" s="15">
        <v>0</v>
      </c>
      <c r="G136" s="37">
        <v>0</v>
      </c>
      <c r="H136" s="15"/>
      <c r="I136" s="15"/>
      <c r="J136" s="15"/>
      <c r="K136" s="15"/>
      <c r="L136" s="8"/>
      <c r="M136" s="15">
        <v>0</v>
      </c>
      <c r="N136" s="15">
        <f t="shared" ref="N136:N147" si="271">+C136</f>
        <v>0</v>
      </c>
      <c r="O136" s="15">
        <v>400000</v>
      </c>
      <c r="P136" s="15">
        <f>+D136</f>
        <v>0</v>
      </c>
      <c r="Q136" s="15">
        <v>0</v>
      </c>
      <c r="R136" s="15">
        <v>0</v>
      </c>
      <c r="S136" s="15">
        <v>0</v>
      </c>
      <c r="T136" s="15">
        <v>0</v>
      </c>
      <c r="U136" s="15">
        <v>0</v>
      </c>
      <c r="V136" s="15">
        <f t="shared" ref="V136:V147" si="272">G136</f>
        <v>0</v>
      </c>
      <c r="W136" s="37">
        <v>0</v>
      </c>
      <c r="X136" s="15"/>
      <c r="Y136" s="15"/>
      <c r="Z136" s="15"/>
      <c r="AA136" s="15"/>
      <c r="AB136" s="15"/>
      <c r="AC136" s="15"/>
      <c r="AD136" s="15"/>
    </row>
    <row r="137" spans="1:30" s="9" customFormat="1" ht="12" customHeight="1" x14ac:dyDescent="0.2">
      <c r="A137" s="90"/>
      <c r="B137" s="14" t="s">
        <v>91</v>
      </c>
      <c r="C137" s="15">
        <v>0</v>
      </c>
      <c r="D137" s="15">
        <v>0</v>
      </c>
      <c r="E137" s="15">
        <v>400000</v>
      </c>
      <c r="F137" s="15">
        <v>500000</v>
      </c>
      <c r="G137" s="37">
        <v>1500000</v>
      </c>
      <c r="H137" s="15"/>
      <c r="I137" s="15"/>
      <c r="J137" s="15"/>
      <c r="K137" s="15"/>
      <c r="L137" s="8"/>
      <c r="M137" s="15">
        <v>0</v>
      </c>
      <c r="N137" s="15">
        <f t="shared" si="271"/>
        <v>0</v>
      </c>
      <c r="O137" s="15">
        <v>0</v>
      </c>
      <c r="P137" s="15">
        <f t="shared" ref="P137:P147" si="273">+D137</f>
        <v>0</v>
      </c>
      <c r="Q137" s="15">
        <v>0</v>
      </c>
      <c r="R137" s="15">
        <f t="shared" ref="R137:R147" si="274">+E137</f>
        <v>400000</v>
      </c>
      <c r="S137" s="15">
        <v>500000</v>
      </c>
      <c r="T137" s="15">
        <f t="shared" ref="T137:T147" si="275">+F137</f>
        <v>500000</v>
      </c>
      <c r="U137" s="15">
        <v>1000000</v>
      </c>
      <c r="V137" s="15">
        <f t="shared" si="272"/>
        <v>1500000</v>
      </c>
      <c r="W137" s="37">
        <v>3300000</v>
      </c>
      <c r="X137" s="15"/>
      <c r="Y137" s="15"/>
      <c r="Z137" s="15"/>
      <c r="AA137" s="15"/>
      <c r="AB137" s="15"/>
      <c r="AC137" s="15"/>
      <c r="AD137" s="15"/>
    </row>
    <row r="138" spans="1:30" s="9" customFormat="1" ht="12" customHeight="1" x14ac:dyDescent="0.2">
      <c r="A138" s="90"/>
      <c r="B138" s="14" t="s">
        <v>96</v>
      </c>
      <c r="C138" s="15">
        <v>4800000</v>
      </c>
      <c r="D138" s="15">
        <v>4000000</v>
      </c>
      <c r="E138" s="15">
        <v>4700000</v>
      </c>
      <c r="F138" s="15">
        <v>3200000</v>
      </c>
      <c r="G138" s="37">
        <v>2100000</v>
      </c>
      <c r="H138" s="15"/>
      <c r="I138" s="15"/>
      <c r="J138" s="15"/>
      <c r="K138" s="15"/>
      <c r="L138" s="8"/>
      <c r="M138" s="15">
        <v>6900000</v>
      </c>
      <c r="N138" s="15">
        <f t="shared" si="271"/>
        <v>4800000</v>
      </c>
      <c r="O138" s="15">
        <v>4100000</v>
      </c>
      <c r="P138" s="15">
        <f t="shared" si="273"/>
        <v>4000000</v>
      </c>
      <c r="Q138" s="15">
        <v>4200000</v>
      </c>
      <c r="R138" s="15">
        <f t="shared" si="274"/>
        <v>4700000</v>
      </c>
      <c r="S138" s="15">
        <v>4300000</v>
      </c>
      <c r="T138" s="15">
        <f t="shared" si="275"/>
        <v>3200000</v>
      </c>
      <c r="U138" s="15">
        <v>2400000</v>
      </c>
      <c r="V138" s="15">
        <f t="shared" si="272"/>
        <v>2100000</v>
      </c>
      <c r="W138" s="37">
        <v>1700000</v>
      </c>
      <c r="X138" s="15"/>
      <c r="Y138" s="15"/>
      <c r="Z138" s="15"/>
      <c r="AA138" s="15"/>
      <c r="AB138" s="15"/>
      <c r="AC138" s="15"/>
      <c r="AD138" s="15"/>
    </row>
    <row r="139" spans="1:30" s="9" customFormat="1" ht="12" customHeight="1" x14ac:dyDescent="0.2">
      <c r="A139" s="90"/>
      <c r="B139" s="14" t="s">
        <v>97</v>
      </c>
      <c r="C139" s="15">
        <v>20800000</v>
      </c>
      <c r="D139" s="15">
        <v>15600000</v>
      </c>
      <c r="E139" s="15">
        <v>12300000</v>
      </c>
      <c r="F139" s="15">
        <v>8700000</v>
      </c>
      <c r="G139" s="37">
        <v>5600000</v>
      </c>
      <c r="H139" s="15"/>
      <c r="I139" s="15"/>
      <c r="J139" s="15"/>
      <c r="K139" s="15"/>
      <c r="L139" s="8"/>
      <c r="M139" s="15">
        <v>18700000</v>
      </c>
      <c r="N139" s="15">
        <f t="shared" si="271"/>
        <v>20800000</v>
      </c>
      <c r="O139" s="15">
        <v>20600000</v>
      </c>
      <c r="P139" s="15">
        <f t="shared" si="273"/>
        <v>15600000</v>
      </c>
      <c r="Q139" s="15">
        <v>13300000</v>
      </c>
      <c r="R139" s="15">
        <f t="shared" si="274"/>
        <v>12300000</v>
      </c>
      <c r="S139" s="15">
        <v>13100000</v>
      </c>
      <c r="T139" s="15">
        <f t="shared" si="275"/>
        <v>8700000</v>
      </c>
      <c r="U139" s="15">
        <v>7300000</v>
      </c>
      <c r="V139" s="15">
        <f t="shared" si="272"/>
        <v>5600000</v>
      </c>
      <c r="W139" s="37">
        <v>3400000</v>
      </c>
      <c r="X139" s="15"/>
      <c r="Y139" s="15"/>
      <c r="Z139" s="15"/>
      <c r="AA139" s="15"/>
      <c r="AB139" s="15"/>
      <c r="AC139" s="15"/>
      <c r="AD139" s="15"/>
    </row>
    <row r="140" spans="1:30" s="9" customFormat="1" ht="12" customHeight="1" x14ac:dyDescent="0.2">
      <c r="A140" s="90"/>
      <c r="B140" s="14" t="s">
        <v>92</v>
      </c>
      <c r="C140" s="15">
        <v>0</v>
      </c>
      <c r="D140" s="15">
        <v>2200000</v>
      </c>
      <c r="E140" s="15">
        <v>1200000</v>
      </c>
      <c r="F140" s="15">
        <v>0</v>
      </c>
      <c r="G140" s="37">
        <v>400000</v>
      </c>
      <c r="H140" s="15"/>
      <c r="I140" s="15"/>
      <c r="J140" s="15"/>
      <c r="K140" s="15"/>
      <c r="L140" s="8"/>
      <c r="M140" s="15">
        <v>0</v>
      </c>
      <c r="N140" s="15">
        <f t="shared" si="271"/>
        <v>0</v>
      </c>
      <c r="O140" s="15">
        <v>0</v>
      </c>
      <c r="P140" s="15">
        <f t="shared" si="273"/>
        <v>2200000</v>
      </c>
      <c r="Q140" s="15">
        <v>1700000</v>
      </c>
      <c r="R140" s="15">
        <f t="shared" si="274"/>
        <v>1200000</v>
      </c>
      <c r="S140" s="15">
        <v>0</v>
      </c>
      <c r="T140" s="15">
        <f t="shared" si="275"/>
        <v>0</v>
      </c>
      <c r="U140" s="15">
        <v>700000</v>
      </c>
      <c r="V140" s="15">
        <f t="shared" si="272"/>
        <v>400000</v>
      </c>
      <c r="W140" s="37">
        <v>100000</v>
      </c>
      <c r="X140" s="15"/>
      <c r="Y140" s="15"/>
      <c r="Z140" s="15"/>
      <c r="AA140" s="15"/>
      <c r="AB140" s="15"/>
      <c r="AC140" s="15"/>
      <c r="AD140" s="15"/>
    </row>
    <row r="141" spans="1:30" s="9" customFormat="1" ht="12" customHeight="1" x14ac:dyDescent="0.2">
      <c r="A141" s="90"/>
      <c r="B141" s="14" t="s">
        <v>98</v>
      </c>
      <c r="C141" s="15">
        <v>13600000</v>
      </c>
      <c r="D141" s="15">
        <v>11600000</v>
      </c>
      <c r="E141" s="15">
        <v>0</v>
      </c>
      <c r="F141" s="15">
        <v>0</v>
      </c>
      <c r="G141" s="37">
        <v>0</v>
      </c>
      <c r="H141" s="15"/>
      <c r="I141" s="15"/>
      <c r="J141" s="15"/>
      <c r="K141" s="15"/>
      <c r="L141" s="8"/>
      <c r="M141" s="15">
        <v>14600000</v>
      </c>
      <c r="N141" s="15">
        <f t="shared" si="271"/>
        <v>13600000</v>
      </c>
      <c r="O141" s="15">
        <v>13300000</v>
      </c>
      <c r="P141" s="15">
        <f t="shared" si="273"/>
        <v>11600000</v>
      </c>
      <c r="Q141" s="15">
        <v>0</v>
      </c>
      <c r="R141" s="15">
        <f t="shared" si="274"/>
        <v>0</v>
      </c>
      <c r="S141" s="15">
        <v>0</v>
      </c>
      <c r="T141" s="15">
        <f t="shared" si="275"/>
        <v>0</v>
      </c>
      <c r="U141" s="15">
        <v>0</v>
      </c>
      <c r="V141" s="15">
        <f t="shared" si="272"/>
        <v>0</v>
      </c>
      <c r="W141" s="37">
        <v>0</v>
      </c>
      <c r="X141" s="15"/>
      <c r="Y141" s="15"/>
      <c r="Z141" s="15"/>
      <c r="AA141" s="15"/>
      <c r="AB141" s="15"/>
      <c r="AC141" s="15"/>
      <c r="AD141" s="15"/>
    </row>
    <row r="142" spans="1:30" s="9" customFormat="1" ht="12" customHeight="1" x14ac:dyDescent="0.2">
      <c r="A142" s="90"/>
      <c r="B142" s="14" t="s">
        <v>99</v>
      </c>
      <c r="C142" s="15">
        <v>54700000</v>
      </c>
      <c r="D142" s="15">
        <v>55700000</v>
      </c>
      <c r="E142" s="15">
        <v>57100000</v>
      </c>
      <c r="F142" s="15">
        <v>57700000</v>
      </c>
      <c r="G142" s="37">
        <v>61200000</v>
      </c>
      <c r="H142" s="15"/>
      <c r="I142" s="15"/>
      <c r="J142" s="15"/>
      <c r="K142" s="15"/>
      <c r="L142" s="8"/>
      <c r="M142" s="15">
        <v>57100000</v>
      </c>
      <c r="N142" s="15">
        <f t="shared" si="271"/>
        <v>54700000</v>
      </c>
      <c r="O142" s="15">
        <v>55500000</v>
      </c>
      <c r="P142" s="15">
        <f t="shared" si="273"/>
        <v>55700000</v>
      </c>
      <c r="Q142" s="15">
        <v>57500000</v>
      </c>
      <c r="R142" s="15">
        <f t="shared" si="274"/>
        <v>57100000</v>
      </c>
      <c r="S142" s="15">
        <v>59000000</v>
      </c>
      <c r="T142" s="15">
        <f t="shared" si="275"/>
        <v>57700000</v>
      </c>
      <c r="U142" s="15">
        <v>58700000</v>
      </c>
      <c r="V142" s="15">
        <f t="shared" si="272"/>
        <v>61200000</v>
      </c>
      <c r="W142" s="37">
        <v>60200000</v>
      </c>
      <c r="X142" s="15"/>
      <c r="Y142" s="15"/>
      <c r="Z142" s="15"/>
      <c r="AA142" s="15"/>
      <c r="AB142" s="15"/>
      <c r="AC142" s="15"/>
      <c r="AD142" s="15"/>
    </row>
    <row r="143" spans="1:30" s="9" customFormat="1" ht="12" customHeight="1" x14ac:dyDescent="0.2">
      <c r="A143" s="90"/>
      <c r="B143" s="14" t="s">
        <v>100</v>
      </c>
      <c r="C143" s="15">
        <v>35100000</v>
      </c>
      <c r="D143" s="15">
        <v>39800000</v>
      </c>
      <c r="E143" s="15">
        <v>53000000</v>
      </c>
      <c r="F143" s="15">
        <v>54800000</v>
      </c>
      <c r="G143" s="37">
        <v>59000000</v>
      </c>
      <c r="H143" s="15"/>
      <c r="I143" s="15"/>
      <c r="J143" s="15"/>
      <c r="K143" s="15"/>
      <c r="L143" s="8"/>
      <c r="M143" s="15">
        <v>33600000</v>
      </c>
      <c r="N143" s="15">
        <f t="shared" si="271"/>
        <v>35100000</v>
      </c>
      <c r="O143" s="15">
        <v>37000000</v>
      </c>
      <c r="P143" s="15">
        <f t="shared" si="273"/>
        <v>39800000</v>
      </c>
      <c r="Q143" s="15">
        <v>50900000</v>
      </c>
      <c r="R143" s="15">
        <f t="shared" si="274"/>
        <v>53000000</v>
      </c>
      <c r="S143" s="15">
        <v>54500000</v>
      </c>
      <c r="T143" s="15">
        <f t="shared" si="275"/>
        <v>54800000</v>
      </c>
      <c r="U143" s="15">
        <v>57100000</v>
      </c>
      <c r="V143" s="15">
        <f t="shared" si="272"/>
        <v>59000000</v>
      </c>
      <c r="W143" s="37">
        <v>61000000</v>
      </c>
      <c r="X143" s="15"/>
      <c r="Y143" s="15"/>
      <c r="Z143" s="15"/>
      <c r="AA143" s="15"/>
      <c r="AB143" s="15"/>
      <c r="AC143" s="15"/>
      <c r="AD143" s="15"/>
    </row>
    <row r="144" spans="1:30" s="9" customFormat="1" ht="12" hidden="1" customHeight="1" outlineLevel="1" x14ac:dyDescent="0.2">
      <c r="A144" s="90"/>
      <c r="B144" s="14"/>
      <c r="C144" s="15"/>
      <c r="D144" s="15"/>
      <c r="E144" s="15"/>
      <c r="F144" s="15"/>
      <c r="G144" s="37">
        <v>0</v>
      </c>
      <c r="H144" s="15"/>
      <c r="I144" s="15"/>
      <c r="J144" s="15"/>
      <c r="K144" s="15"/>
      <c r="L144" s="8"/>
      <c r="M144" s="15"/>
      <c r="N144" s="15"/>
      <c r="O144" s="15"/>
      <c r="P144" s="15"/>
      <c r="Q144" s="15"/>
      <c r="R144" s="15"/>
      <c r="S144" s="15"/>
      <c r="T144" s="15"/>
      <c r="U144" s="15"/>
      <c r="V144" s="15">
        <f t="shared" si="272"/>
        <v>0</v>
      </c>
      <c r="W144" s="37"/>
      <c r="X144" s="15"/>
      <c r="Y144" s="15"/>
      <c r="Z144" s="15"/>
      <c r="AA144" s="15"/>
      <c r="AB144" s="15"/>
      <c r="AC144" s="15"/>
      <c r="AD144" s="15"/>
    </row>
    <row r="145" spans="1:30" s="9" customFormat="1" ht="12" hidden="1" customHeight="1" outlineLevel="1" x14ac:dyDescent="0.2">
      <c r="A145" s="90"/>
      <c r="B145" s="14"/>
      <c r="C145" s="15"/>
      <c r="D145" s="15"/>
      <c r="E145" s="15"/>
      <c r="F145" s="15"/>
      <c r="G145" s="37">
        <v>0</v>
      </c>
      <c r="H145" s="15"/>
      <c r="I145" s="15"/>
      <c r="J145" s="15"/>
      <c r="K145" s="15"/>
      <c r="L145" s="8"/>
      <c r="M145" s="15"/>
      <c r="N145" s="15"/>
      <c r="O145" s="15"/>
      <c r="P145" s="15"/>
      <c r="Q145" s="15"/>
      <c r="R145" s="15"/>
      <c r="S145" s="15"/>
      <c r="T145" s="15"/>
      <c r="U145" s="15"/>
      <c r="V145" s="15">
        <f t="shared" si="272"/>
        <v>0</v>
      </c>
      <c r="W145" s="37"/>
      <c r="X145" s="15"/>
      <c r="Y145" s="15"/>
      <c r="Z145" s="15"/>
      <c r="AA145" s="15"/>
      <c r="AB145" s="15"/>
      <c r="AC145" s="15"/>
      <c r="AD145" s="15"/>
    </row>
    <row r="146" spans="1:30" s="9" customFormat="1" ht="12" hidden="1" customHeight="1" outlineLevel="1" x14ac:dyDescent="0.2">
      <c r="A146" s="90"/>
      <c r="B146" s="14"/>
      <c r="C146" s="15"/>
      <c r="D146" s="15"/>
      <c r="E146" s="15"/>
      <c r="F146" s="15"/>
      <c r="G146" s="37">
        <v>0</v>
      </c>
      <c r="H146" s="15"/>
      <c r="I146" s="15"/>
      <c r="J146" s="15"/>
      <c r="K146" s="15"/>
      <c r="L146" s="8"/>
      <c r="M146" s="15"/>
      <c r="N146" s="15"/>
      <c r="O146" s="15"/>
      <c r="P146" s="15"/>
      <c r="Q146" s="15"/>
      <c r="R146" s="15"/>
      <c r="S146" s="15"/>
      <c r="T146" s="15"/>
      <c r="U146" s="15"/>
      <c r="V146" s="15">
        <f t="shared" si="272"/>
        <v>0</v>
      </c>
      <c r="W146" s="37"/>
      <c r="X146" s="15"/>
      <c r="Y146" s="15"/>
      <c r="Z146" s="15"/>
      <c r="AA146" s="15"/>
      <c r="AB146" s="15"/>
      <c r="AC146" s="15"/>
      <c r="AD146" s="15"/>
    </row>
    <row r="147" spans="1:30" s="9" customFormat="1" ht="12" customHeight="1" collapsed="1" x14ac:dyDescent="0.2">
      <c r="A147" s="90"/>
      <c r="B147" s="14" t="s">
        <v>101</v>
      </c>
      <c r="C147" s="15">
        <v>16900000</v>
      </c>
      <c r="D147" s="15">
        <v>14600000</v>
      </c>
      <c r="E147" s="15">
        <v>17800000</v>
      </c>
      <c r="F147" s="15">
        <v>24100000</v>
      </c>
      <c r="G147" s="37">
        <v>24100000</v>
      </c>
      <c r="H147" s="15"/>
      <c r="I147" s="15"/>
      <c r="J147" s="15"/>
      <c r="K147" s="15"/>
      <c r="L147" s="8"/>
      <c r="M147" s="15">
        <v>11300000</v>
      </c>
      <c r="N147" s="15">
        <f t="shared" si="271"/>
        <v>16900000</v>
      </c>
      <c r="O147" s="15">
        <v>18800000</v>
      </c>
      <c r="P147" s="15">
        <f t="shared" si="273"/>
        <v>14600000</v>
      </c>
      <c r="Q147" s="15">
        <v>18300000</v>
      </c>
      <c r="R147" s="15">
        <f t="shared" si="274"/>
        <v>17800000</v>
      </c>
      <c r="S147" s="15">
        <v>21300000</v>
      </c>
      <c r="T147" s="15">
        <f t="shared" si="275"/>
        <v>24100000</v>
      </c>
      <c r="U147" s="15">
        <v>25400000</v>
      </c>
      <c r="V147" s="15">
        <f t="shared" si="272"/>
        <v>24100000</v>
      </c>
      <c r="W147" s="37">
        <v>25600000</v>
      </c>
      <c r="X147" s="15"/>
      <c r="Y147" s="15"/>
      <c r="Z147" s="15"/>
      <c r="AA147" s="15"/>
      <c r="AB147" s="15"/>
      <c r="AC147" s="15"/>
      <c r="AD147" s="15"/>
    </row>
    <row r="148" spans="1:30" s="30" customFormat="1" ht="12" customHeight="1" x14ac:dyDescent="0.2">
      <c r="A148" s="90"/>
      <c r="B148" s="26" t="s">
        <v>102</v>
      </c>
      <c r="C148" s="27">
        <f>SUM(C136:C147)</f>
        <v>145900000</v>
      </c>
      <c r="D148" s="27">
        <f t="shared" ref="D148:K148" si="276">SUM(D136:D147)</f>
        <v>143500000</v>
      </c>
      <c r="E148" s="27">
        <f t="shared" si="276"/>
        <v>146500000</v>
      </c>
      <c r="F148" s="27">
        <f t="shared" si="276"/>
        <v>149000000</v>
      </c>
      <c r="G148" s="41">
        <f t="shared" si="276"/>
        <v>153900000</v>
      </c>
      <c r="H148" s="27">
        <f t="shared" si="276"/>
        <v>0</v>
      </c>
      <c r="I148" s="27">
        <f t="shared" si="276"/>
        <v>0</v>
      </c>
      <c r="J148" s="27">
        <f t="shared" si="276"/>
        <v>0</v>
      </c>
      <c r="K148" s="27">
        <f t="shared" si="276"/>
        <v>0</v>
      </c>
      <c r="L148" s="8"/>
      <c r="M148" s="27">
        <f t="shared" ref="M148:T148" si="277">SUM(M136:M147)</f>
        <v>142200000</v>
      </c>
      <c r="N148" s="27">
        <f t="shared" si="277"/>
        <v>145900000</v>
      </c>
      <c r="O148" s="27">
        <f t="shared" si="277"/>
        <v>149700000</v>
      </c>
      <c r="P148" s="27">
        <f t="shared" si="277"/>
        <v>143500000</v>
      </c>
      <c r="Q148" s="27">
        <f t="shared" si="277"/>
        <v>145900000</v>
      </c>
      <c r="R148" s="27">
        <f t="shared" si="277"/>
        <v>146500000</v>
      </c>
      <c r="S148" s="27">
        <f t="shared" si="277"/>
        <v>152700000</v>
      </c>
      <c r="T148" s="27">
        <f t="shared" si="277"/>
        <v>149000000</v>
      </c>
      <c r="U148" s="27">
        <f t="shared" ref="U148:W148" si="278">SUM(U136:U147)</f>
        <v>152600000</v>
      </c>
      <c r="V148" s="27">
        <f t="shared" si="278"/>
        <v>153900000</v>
      </c>
      <c r="W148" s="41">
        <f t="shared" si="278"/>
        <v>155300000</v>
      </c>
      <c r="X148" s="27">
        <f t="shared" ref="X148:AD148" si="279">SUM(X136:X147)</f>
        <v>0</v>
      </c>
      <c r="Y148" s="27">
        <f t="shared" si="279"/>
        <v>0</v>
      </c>
      <c r="Z148" s="27">
        <f t="shared" si="279"/>
        <v>0</v>
      </c>
      <c r="AA148" s="27">
        <f t="shared" si="279"/>
        <v>0</v>
      </c>
      <c r="AB148" s="27">
        <f t="shared" si="279"/>
        <v>0</v>
      </c>
      <c r="AC148" s="27">
        <f t="shared" si="279"/>
        <v>0</v>
      </c>
      <c r="AD148" s="27">
        <f t="shared" si="279"/>
        <v>0</v>
      </c>
    </row>
    <row r="149" spans="1:30" s="30" customFormat="1" ht="12" customHeight="1" thickBot="1" x14ac:dyDescent="0.25">
      <c r="A149" s="90"/>
      <c r="B149" s="19" t="s">
        <v>103</v>
      </c>
      <c r="C149" s="20">
        <f>+C134+C148</f>
        <v>252700000</v>
      </c>
      <c r="D149" s="20">
        <f t="shared" ref="D149:T149" si="280">+D134+D148</f>
        <v>243100000</v>
      </c>
      <c r="E149" s="20">
        <f t="shared" si="280"/>
        <v>235100000</v>
      </c>
      <c r="F149" s="20">
        <f t="shared" si="280"/>
        <v>220400000</v>
      </c>
      <c r="G149" s="39">
        <f t="shared" si="280"/>
        <v>224300000</v>
      </c>
      <c r="H149" s="20">
        <f t="shared" si="280"/>
        <v>0</v>
      </c>
      <c r="I149" s="20">
        <f t="shared" si="280"/>
        <v>0</v>
      </c>
      <c r="J149" s="20">
        <f t="shared" si="280"/>
        <v>0</v>
      </c>
      <c r="K149" s="20">
        <f t="shared" si="280"/>
        <v>0</v>
      </c>
      <c r="L149" s="8"/>
      <c r="M149" s="20">
        <f t="shared" si="280"/>
        <v>276000000</v>
      </c>
      <c r="N149" s="20">
        <f t="shared" si="280"/>
        <v>252700000</v>
      </c>
      <c r="O149" s="20">
        <f t="shared" si="280"/>
        <v>250900000</v>
      </c>
      <c r="P149" s="20">
        <f t="shared" si="280"/>
        <v>243100000</v>
      </c>
      <c r="Q149" s="20">
        <f>+Q134+Q148</f>
        <v>236000000</v>
      </c>
      <c r="R149" s="20">
        <f t="shared" si="280"/>
        <v>235100000</v>
      </c>
      <c r="S149" s="20">
        <f>+S134+S148</f>
        <v>227000000</v>
      </c>
      <c r="T149" s="20">
        <f t="shared" si="280"/>
        <v>220400000</v>
      </c>
      <c r="U149" s="20">
        <f t="shared" ref="U149:W149" si="281">+U134+U148</f>
        <v>210000000</v>
      </c>
      <c r="V149" s="20">
        <f t="shared" si="281"/>
        <v>224300000</v>
      </c>
      <c r="W149" s="39">
        <f t="shared" si="281"/>
        <v>222000000</v>
      </c>
      <c r="X149" s="20">
        <f t="shared" ref="X149:AD149" si="282">+X134+X148</f>
        <v>0</v>
      </c>
      <c r="Y149" s="20">
        <f t="shared" si="282"/>
        <v>0</v>
      </c>
      <c r="Z149" s="20">
        <f t="shared" si="282"/>
        <v>0</v>
      </c>
      <c r="AA149" s="20">
        <f t="shared" si="282"/>
        <v>0</v>
      </c>
      <c r="AB149" s="20">
        <f t="shared" si="282"/>
        <v>0</v>
      </c>
      <c r="AC149" s="20">
        <f t="shared" si="282"/>
        <v>0</v>
      </c>
      <c r="AD149" s="20">
        <f t="shared" si="282"/>
        <v>0</v>
      </c>
    </row>
    <row r="150" spans="1:30" s="30" customFormat="1" ht="12" customHeight="1" x14ac:dyDescent="0.2">
      <c r="A150" s="90"/>
      <c r="B150" s="32" t="s">
        <v>104</v>
      </c>
      <c r="C150" s="15"/>
      <c r="D150" s="15"/>
      <c r="E150" s="15"/>
      <c r="F150" s="15"/>
      <c r="G150" s="37"/>
      <c r="H150" s="15"/>
      <c r="I150" s="15"/>
      <c r="J150" s="15"/>
      <c r="K150" s="15"/>
      <c r="L150" s="8"/>
      <c r="M150" s="15"/>
      <c r="N150" s="15"/>
      <c r="O150" s="15"/>
      <c r="P150" s="15"/>
      <c r="Q150" s="15"/>
      <c r="R150" s="15"/>
      <c r="S150" s="15"/>
      <c r="T150" s="15"/>
      <c r="U150" s="15"/>
      <c r="V150" s="15"/>
      <c r="W150" s="37"/>
      <c r="X150" s="15"/>
      <c r="Y150" s="15"/>
      <c r="Z150" s="15"/>
      <c r="AA150" s="15"/>
      <c r="AB150" s="15"/>
      <c r="AC150" s="15"/>
      <c r="AD150" s="15"/>
    </row>
    <row r="151" spans="1:30" s="9" customFormat="1" ht="12" customHeight="1" x14ac:dyDescent="0.2">
      <c r="A151" s="90"/>
      <c r="B151" s="14" t="s">
        <v>105</v>
      </c>
      <c r="C151" s="15">
        <v>0</v>
      </c>
      <c r="D151" s="15">
        <v>600000</v>
      </c>
      <c r="E151" s="15">
        <v>500000</v>
      </c>
      <c r="F151" s="15">
        <v>1000000</v>
      </c>
      <c r="G151" s="37">
        <v>1000000</v>
      </c>
      <c r="H151" s="15"/>
      <c r="I151" s="15"/>
      <c r="J151" s="15"/>
      <c r="K151" s="15"/>
      <c r="L151" s="8"/>
      <c r="M151" s="15">
        <v>200000</v>
      </c>
      <c r="N151" s="15">
        <f t="shared" ref="N151:N160" si="283">+C151</f>
        <v>0</v>
      </c>
      <c r="O151" s="15">
        <v>600000</v>
      </c>
      <c r="P151" s="15">
        <f t="shared" ref="P151:P160" si="284">+D151</f>
        <v>600000</v>
      </c>
      <c r="Q151" s="15">
        <v>500000</v>
      </c>
      <c r="R151" s="15">
        <f t="shared" ref="R151:R160" si="285">+E151</f>
        <v>500000</v>
      </c>
      <c r="S151" s="15">
        <v>600000</v>
      </c>
      <c r="T151" s="15">
        <f t="shared" ref="T151:T160" si="286">+F151</f>
        <v>1000000</v>
      </c>
      <c r="U151" s="15">
        <v>1900000</v>
      </c>
      <c r="V151" s="15">
        <f t="shared" ref="V151:V160" si="287">G151</f>
        <v>1000000</v>
      </c>
      <c r="W151" s="37">
        <v>300000</v>
      </c>
      <c r="X151" s="15"/>
      <c r="Y151" s="15"/>
      <c r="Z151" s="15"/>
      <c r="AA151" s="15"/>
      <c r="AB151" s="15"/>
      <c r="AC151" s="15"/>
      <c r="AD151" s="15"/>
    </row>
    <row r="152" spans="1:30" s="9" customFormat="1" ht="12" customHeight="1" x14ac:dyDescent="0.2">
      <c r="A152" s="90"/>
      <c r="B152" s="14" t="s">
        <v>106</v>
      </c>
      <c r="C152" s="15">
        <v>17900000</v>
      </c>
      <c r="D152" s="15">
        <v>18700000</v>
      </c>
      <c r="E152" s="15">
        <v>23600000</v>
      </c>
      <c r="F152" s="15">
        <v>22300000</v>
      </c>
      <c r="G152" s="37">
        <v>22200000</v>
      </c>
      <c r="H152" s="15"/>
      <c r="I152" s="15"/>
      <c r="J152" s="15"/>
      <c r="K152" s="15"/>
      <c r="L152" s="8"/>
      <c r="M152" s="15">
        <v>18100000</v>
      </c>
      <c r="N152" s="15">
        <f t="shared" si="283"/>
        <v>17900000</v>
      </c>
      <c r="O152" s="15">
        <v>14500000</v>
      </c>
      <c r="P152" s="15">
        <f t="shared" si="284"/>
        <v>18700000</v>
      </c>
      <c r="Q152" s="15">
        <v>18800000</v>
      </c>
      <c r="R152" s="15">
        <f t="shared" si="285"/>
        <v>23600000</v>
      </c>
      <c r="S152" s="15">
        <v>19500000</v>
      </c>
      <c r="T152" s="15">
        <f t="shared" si="286"/>
        <v>22300000</v>
      </c>
      <c r="U152" s="15">
        <v>14500000</v>
      </c>
      <c r="V152" s="15">
        <f t="shared" si="287"/>
        <v>22200000</v>
      </c>
      <c r="W152" s="37">
        <v>26400000</v>
      </c>
      <c r="X152" s="15"/>
      <c r="Y152" s="15"/>
      <c r="Z152" s="15"/>
      <c r="AA152" s="15"/>
      <c r="AB152" s="15"/>
      <c r="AC152" s="15"/>
      <c r="AD152" s="15"/>
    </row>
    <row r="153" spans="1:30" s="9" customFormat="1" ht="12" customHeight="1" x14ac:dyDescent="0.2">
      <c r="A153" s="90"/>
      <c r="B153" s="14" t="s">
        <v>107</v>
      </c>
      <c r="C153" s="15">
        <v>3300000</v>
      </c>
      <c r="D153" s="15">
        <v>4800000</v>
      </c>
      <c r="E153" s="15">
        <v>5300000</v>
      </c>
      <c r="F153" s="15">
        <v>5500000</v>
      </c>
      <c r="G153" s="37">
        <v>6400000</v>
      </c>
      <c r="H153" s="15"/>
      <c r="I153" s="15"/>
      <c r="J153" s="15"/>
      <c r="K153" s="15"/>
      <c r="L153" s="8"/>
      <c r="M153" s="15">
        <v>6300000</v>
      </c>
      <c r="N153" s="15">
        <f t="shared" si="283"/>
        <v>3300000</v>
      </c>
      <c r="O153" s="15">
        <v>3700000</v>
      </c>
      <c r="P153" s="15">
        <f t="shared" si="284"/>
        <v>4800000</v>
      </c>
      <c r="Q153" s="15">
        <v>5000000</v>
      </c>
      <c r="R153" s="15">
        <f t="shared" si="285"/>
        <v>5300000</v>
      </c>
      <c r="S153" s="15">
        <v>5700000</v>
      </c>
      <c r="T153" s="15">
        <f t="shared" si="286"/>
        <v>5500000</v>
      </c>
      <c r="U153" s="15">
        <v>6200000</v>
      </c>
      <c r="V153" s="15">
        <f t="shared" si="287"/>
        <v>6400000</v>
      </c>
      <c r="W153" s="37">
        <v>5000000</v>
      </c>
      <c r="X153" s="15"/>
      <c r="Y153" s="15"/>
      <c r="Z153" s="15"/>
      <c r="AA153" s="15"/>
      <c r="AB153" s="15"/>
      <c r="AC153" s="15"/>
      <c r="AD153" s="15"/>
    </row>
    <row r="154" spans="1:30" s="9" customFormat="1" ht="12" customHeight="1" x14ac:dyDescent="0.2">
      <c r="A154" s="90"/>
      <c r="B154" s="14" t="s">
        <v>108</v>
      </c>
      <c r="C154" s="15">
        <v>19000000</v>
      </c>
      <c r="D154" s="15">
        <v>20500000</v>
      </c>
      <c r="E154" s="15">
        <v>22300000</v>
      </c>
      <c r="F154" s="15">
        <v>26700000</v>
      </c>
      <c r="G154" s="37">
        <v>25800000</v>
      </c>
      <c r="H154" s="15"/>
      <c r="I154" s="15"/>
      <c r="J154" s="15"/>
      <c r="K154" s="15"/>
      <c r="L154" s="8"/>
      <c r="M154" s="15">
        <v>21400000</v>
      </c>
      <c r="N154" s="15">
        <f t="shared" si="283"/>
        <v>19000000</v>
      </c>
      <c r="O154" s="15">
        <v>20100000</v>
      </c>
      <c r="P154" s="15">
        <f t="shared" si="284"/>
        <v>20500000</v>
      </c>
      <c r="Q154" s="15">
        <v>21700000</v>
      </c>
      <c r="R154" s="15">
        <f t="shared" si="285"/>
        <v>22300000</v>
      </c>
      <c r="S154" s="15">
        <v>23800000</v>
      </c>
      <c r="T154" s="15">
        <f t="shared" si="286"/>
        <v>26700000</v>
      </c>
      <c r="U154" s="15">
        <v>25200000</v>
      </c>
      <c r="V154" s="15">
        <f t="shared" si="287"/>
        <v>25800000</v>
      </c>
      <c r="W154" s="37">
        <v>27000000</v>
      </c>
      <c r="X154" s="15"/>
      <c r="Y154" s="15"/>
      <c r="Z154" s="15"/>
      <c r="AA154" s="15"/>
      <c r="AB154" s="15"/>
      <c r="AC154" s="15"/>
      <c r="AD154" s="15"/>
    </row>
    <row r="155" spans="1:30" s="9" customFormat="1" ht="12" customHeight="1" x14ac:dyDescent="0.2">
      <c r="A155" s="90"/>
      <c r="B155" s="14" t="s">
        <v>109</v>
      </c>
      <c r="C155" s="15">
        <v>400000</v>
      </c>
      <c r="D155" s="15">
        <v>0</v>
      </c>
      <c r="E155" s="15">
        <v>1400000</v>
      </c>
      <c r="F155" s="15">
        <v>500000</v>
      </c>
      <c r="G155" s="37">
        <v>0</v>
      </c>
      <c r="H155" s="15"/>
      <c r="I155" s="15"/>
      <c r="J155" s="15"/>
      <c r="K155" s="15"/>
      <c r="L155" s="8"/>
      <c r="M155" s="15">
        <v>400000</v>
      </c>
      <c r="N155" s="15">
        <f t="shared" si="283"/>
        <v>400000</v>
      </c>
      <c r="O155" s="15">
        <v>0</v>
      </c>
      <c r="P155" s="15">
        <f t="shared" si="284"/>
        <v>0</v>
      </c>
      <c r="Q155" s="15">
        <v>3300000</v>
      </c>
      <c r="R155" s="15">
        <f t="shared" si="285"/>
        <v>1400000</v>
      </c>
      <c r="S155" s="15">
        <v>800000</v>
      </c>
      <c r="T155" s="15">
        <f t="shared" si="286"/>
        <v>500000</v>
      </c>
      <c r="U155" s="15">
        <v>0</v>
      </c>
      <c r="V155" s="15">
        <f t="shared" si="287"/>
        <v>0</v>
      </c>
      <c r="W155" s="37">
        <v>0</v>
      </c>
      <c r="X155" s="15"/>
      <c r="Y155" s="15"/>
      <c r="Z155" s="15"/>
      <c r="AA155" s="15"/>
      <c r="AB155" s="15"/>
      <c r="AC155" s="15"/>
      <c r="AD155" s="15"/>
    </row>
    <row r="156" spans="1:30" s="9" customFormat="1" ht="12" customHeight="1" x14ac:dyDescent="0.2">
      <c r="A156" s="90"/>
      <c r="B156" s="14" t="s">
        <v>110</v>
      </c>
      <c r="C156" s="15">
        <v>3800000</v>
      </c>
      <c r="D156" s="15">
        <v>2800000</v>
      </c>
      <c r="E156" s="15">
        <v>600000</v>
      </c>
      <c r="F156" s="15">
        <v>1200000</v>
      </c>
      <c r="G156" s="37">
        <v>300000</v>
      </c>
      <c r="H156" s="15"/>
      <c r="I156" s="15"/>
      <c r="J156" s="15"/>
      <c r="K156" s="15"/>
      <c r="L156" s="8"/>
      <c r="M156" s="15">
        <v>2300000</v>
      </c>
      <c r="N156" s="15">
        <f t="shared" si="283"/>
        <v>3800000</v>
      </c>
      <c r="O156" s="15">
        <v>1200000</v>
      </c>
      <c r="P156" s="15">
        <f t="shared" si="284"/>
        <v>2800000</v>
      </c>
      <c r="Q156" s="15">
        <v>1300000</v>
      </c>
      <c r="R156" s="15">
        <f t="shared" si="285"/>
        <v>600000</v>
      </c>
      <c r="S156" s="15">
        <v>600000</v>
      </c>
      <c r="T156" s="15">
        <f t="shared" si="286"/>
        <v>1200000</v>
      </c>
      <c r="U156" s="15">
        <v>200000</v>
      </c>
      <c r="V156" s="15">
        <f t="shared" si="287"/>
        <v>300000</v>
      </c>
      <c r="W156" s="37">
        <v>200000</v>
      </c>
      <c r="X156" s="15"/>
      <c r="Y156" s="15"/>
      <c r="Z156" s="15"/>
      <c r="AA156" s="15"/>
      <c r="AB156" s="15"/>
      <c r="AC156" s="15"/>
      <c r="AD156" s="15"/>
    </row>
    <row r="157" spans="1:30" s="9" customFormat="1" ht="12" hidden="1" customHeight="1" outlineLevel="1" x14ac:dyDescent="0.2">
      <c r="A157" s="90"/>
      <c r="B157" s="14"/>
      <c r="C157" s="15"/>
      <c r="D157" s="15"/>
      <c r="E157" s="15"/>
      <c r="F157" s="15"/>
      <c r="G157" s="37">
        <v>0</v>
      </c>
      <c r="H157" s="15"/>
      <c r="I157" s="15"/>
      <c r="J157" s="15"/>
      <c r="K157" s="15"/>
      <c r="L157" s="8"/>
      <c r="M157" s="15"/>
      <c r="N157" s="15"/>
      <c r="O157" s="15"/>
      <c r="P157" s="15"/>
      <c r="Q157" s="15"/>
      <c r="R157" s="15"/>
      <c r="S157" s="15"/>
      <c r="T157" s="15"/>
      <c r="U157" s="15"/>
      <c r="V157" s="15">
        <f t="shared" si="287"/>
        <v>0</v>
      </c>
      <c r="W157" s="37"/>
      <c r="X157" s="15"/>
      <c r="Y157" s="15"/>
      <c r="Z157" s="15"/>
      <c r="AA157" s="15"/>
      <c r="AB157" s="15"/>
      <c r="AC157" s="15"/>
      <c r="AD157" s="15"/>
    </row>
    <row r="158" spans="1:30" s="9" customFormat="1" ht="12" hidden="1" customHeight="1" outlineLevel="1" x14ac:dyDescent="0.2">
      <c r="A158" s="90"/>
      <c r="B158" s="14"/>
      <c r="C158" s="15"/>
      <c r="D158" s="15"/>
      <c r="E158" s="15"/>
      <c r="F158" s="15"/>
      <c r="G158" s="37">
        <v>0</v>
      </c>
      <c r="H158" s="15"/>
      <c r="I158" s="15"/>
      <c r="J158" s="15"/>
      <c r="K158" s="15"/>
      <c r="L158" s="8"/>
      <c r="M158" s="15"/>
      <c r="N158" s="15"/>
      <c r="O158" s="15"/>
      <c r="P158" s="15"/>
      <c r="Q158" s="15"/>
      <c r="R158" s="15"/>
      <c r="S158" s="15"/>
      <c r="T158" s="15"/>
      <c r="U158" s="15"/>
      <c r="V158" s="15">
        <f t="shared" si="287"/>
        <v>0</v>
      </c>
      <c r="W158" s="37"/>
      <c r="X158" s="15"/>
      <c r="Y158" s="15"/>
      <c r="Z158" s="15"/>
      <c r="AA158" s="15"/>
      <c r="AB158" s="15"/>
      <c r="AC158" s="15"/>
      <c r="AD158" s="15"/>
    </row>
    <row r="159" spans="1:30" s="9" customFormat="1" ht="12" hidden="1" customHeight="1" outlineLevel="1" x14ac:dyDescent="0.2">
      <c r="A159" s="90"/>
      <c r="B159" s="14"/>
      <c r="C159" s="15"/>
      <c r="D159" s="15"/>
      <c r="E159" s="15"/>
      <c r="F159" s="15"/>
      <c r="G159" s="37">
        <v>0</v>
      </c>
      <c r="H159" s="15"/>
      <c r="I159" s="15"/>
      <c r="J159" s="15"/>
      <c r="K159" s="15"/>
      <c r="L159" s="8"/>
      <c r="M159" s="15"/>
      <c r="N159" s="15"/>
      <c r="O159" s="15"/>
      <c r="P159" s="15"/>
      <c r="Q159" s="15"/>
      <c r="R159" s="15"/>
      <c r="S159" s="15"/>
      <c r="T159" s="15"/>
      <c r="U159" s="15"/>
      <c r="V159" s="15">
        <f t="shared" si="287"/>
        <v>0</v>
      </c>
      <c r="W159" s="37"/>
      <c r="X159" s="15"/>
      <c r="Y159" s="15"/>
      <c r="Z159" s="15"/>
      <c r="AA159" s="15"/>
      <c r="AB159" s="15"/>
      <c r="AC159" s="15"/>
      <c r="AD159" s="15"/>
    </row>
    <row r="160" spans="1:30" s="9" customFormat="1" ht="12" customHeight="1" collapsed="1" x14ac:dyDescent="0.2">
      <c r="A160" s="90"/>
      <c r="B160" s="31" t="s">
        <v>111</v>
      </c>
      <c r="C160" s="15">
        <v>400000</v>
      </c>
      <c r="D160" s="15">
        <v>200000</v>
      </c>
      <c r="E160" s="15">
        <v>400000</v>
      </c>
      <c r="F160" s="15">
        <v>100000</v>
      </c>
      <c r="G160" s="37">
        <v>300000</v>
      </c>
      <c r="H160" s="15"/>
      <c r="I160" s="15"/>
      <c r="J160" s="15"/>
      <c r="K160" s="15"/>
      <c r="L160" s="8"/>
      <c r="M160" s="15">
        <v>1700000</v>
      </c>
      <c r="N160" s="15">
        <f t="shared" si="283"/>
        <v>400000</v>
      </c>
      <c r="O160" s="15">
        <v>900000</v>
      </c>
      <c r="P160" s="15">
        <f t="shared" si="284"/>
        <v>200000</v>
      </c>
      <c r="Q160" s="15">
        <v>100000</v>
      </c>
      <c r="R160" s="15">
        <f t="shared" si="285"/>
        <v>400000</v>
      </c>
      <c r="S160" s="15">
        <v>400000</v>
      </c>
      <c r="T160" s="15">
        <f t="shared" si="286"/>
        <v>100000</v>
      </c>
      <c r="U160" s="15">
        <v>0</v>
      </c>
      <c r="V160" s="15">
        <f t="shared" si="287"/>
        <v>300000</v>
      </c>
      <c r="W160" s="37">
        <v>1300000</v>
      </c>
      <c r="X160" s="15"/>
      <c r="Y160" s="15"/>
      <c r="Z160" s="15"/>
      <c r="AA160" s="15"/>
      <c r="AB160" s="15"/>
      <c r="AC160" s="15"/>
      <c r="AD160" s="15"/>
    </row>
    <row r="161" spans="1:30" s="30" customFormat="1" ht="12" customHeight="1" thickBot="1" x14ac:dyDescent="0.25">
      <c r="A161" s="90"/>
      <c r="B161" s="19" t="s">
        <v>112</v>
      </c>
      <c r="C161" s="20">
        <f>SUM(C151:C160)</f>
        <v>44800000</v>
      </c>
      <c r="D161" s="20">
        <f t="shared" ref="D161:U161" si="288">SUM(D151:D160)</f>
        <v>47600000</v>
      </c>
      <c r="E161" s="20">
        <f t="shared" si="288"/>
        <v>54100000</v>
      </c>
      <c r="F161" s="20">
        <f>SUM(F151:F160)</f>
        <v>57300000</v>
      </c>
      <c r="G161" s="39">
        <f t="shared" si="288"/>
        <v>56000000</v>
      </c>
      <c r="H161" s="20">
        <f t="shared" si="288"/>
        <v>0</v>
      </c>
      <c r="I161" s="20">
        <f t="shared" si="288"/>
        <v>0</v>
      </c>
      <c r="J161" s="20">
        <f t="shared" si="288"/>
        <v>0</v>
      </c>
      <c r="K161" s="20">
        <f t="shared" si="288"/>
        <v>0</v>
      </c>
      <c r="L161" s="8"/>
      <c r="M161" s="20">
        <f t="shared" si="288"/>
        <v>50400000</v>
      </c>
      <c r="N161" s="20">
        <f t="shared" si="288"/>
        <v>44800000</v>
      </c>
      <c r="O161" s="20">
        <f t="shared" si="288"/>
        <v>41000000</v>
      </c>
      <c r="P161" s="20">
        <f t="shared" si="288"/>
        <v>47600000</v>
      </c>
      <c r="Q161" s="20">
        <f>SUM(Q151:Q160)</f>
        <v>50700000</v>
      </c>
      <c r="R161" s="20">
        <f t="shared" si="288"/>
        <v>54100000</v>
      </c>
      <c r="S161" s="20">
        <f>SUM(S151:S160)</f>
        <v>51400000</v>
      </c>
      <c r="T161" s="20">
        <f t="shared" si="288"/>
        <v>57300000</v>
      </c>
      <c r="U161" s="20">
        <f t="shared" si="288"/>
        <v>48000000</v>
      </c>
      <c r="V161" s="20">
        <f t="shared" ref="V161:W161" si="289">SUM(V151:V160)</f>
        <v>56000000</v>
      </c>
      <c r="W161" s="39">
        <f t="shared" si="289"/>
        <v>60200000</v>
      </c>
      <c r="X161" s="20">
        <f t="shared" ref="X161:AD161" si="290">SUM(X151:X160)</f>
        <v>0</v>
      </c>
      <c r="Y161" s="20">
        <f t="shared" si="290"/>
        <v>0</v>
      </c>
      <c r="Z161" s="20">
        <f t="shared" si="290"/>
        <v>0</v>
      </c>
      <c r="AA161" s="20">
        <f t="shared" si="290"/>
        <v>0</v>
      </c>
      <c r="AB161" s="20">
        <f t="shared" si="290"/>
        <v>0</v>
      </c>
      <c r="AC161" s="20">
        <f t="shared" si="290"/>
        <v>0</v>
      </c>
      <c r="AD161" s="20">
        <f t="shared" si="290"/>
        <v>0</v>
      </c>
    </row>
    <row r="162" spans="1:30" s="30" customFormat="1" ht="12" customHeight="1" x14ac:dyDescent="0.2">
      <c r="A162" s="90"/>
      <c r="B162" s="32" t="s">
        <v>113</v>
      </c>
      <c r="C162" s="15"/>
      <c r="D162" s="15"/>
      <c r="E162" s="15"/>
      <c r="F162" s="15"/>
      <c r="G162" s="37"/>
      <c r="H162" s="15"/>
      <c r="I162" s="15"/>
      <c r="J162" s="15"/>
      <c r="K162" s="15"/>
      <c r="L162" s="8"/>
      <c r="M162" s="15"/>
      <c r="N162" s="15"/>
      <c r="O162" s="15"/>
      <c r="P162" s="15"/>
      <c r="Q162" s="15"/>
      <c r="R162" s="15"/>
      <c r="S162" s="15"/>
      <c r="T162" s="15"/>
      <c r="U162" s="15"/>
      <c r="V162" s="15"/>
      <c r="W162" s="37"/>
      <c r="X162" s="15"/>
      <c r="Y162" s="15"/>
      <c r="Z162" s="15"/>
      <c r="AA162" s="15"/>
      <c r="AB162" s="15"/>
      <c r="AC162" s="15"/>
      <c r="AD162" s="15"/>
    </row>
    <row r="163" spans="1:30" s="9" customFormat="1" ht="12" customHeight="1" x14ac:dyDescent="0.2">
      <c r="A163" s="90"/>
      <c r="B163" s="14" t="s">
        <v>105</v>
      </c>
      <c r="C163" s="15">
        <v>18100000</v>
      </c>
      <c r="D163" s="15">
        <v>16200000</v>
      </c>
      <c r="E163" s="15">
        <v>17600000</v>
      </c>
      <c r="F163" s="15">
        <v>17600000</v>
      </c>
      <c r="G163" s="37">
        <v>19700000</v>
      </c>
      <c r="H163" s="15"/>
      <c r="I163" s="15"/>
      <c r="J163" s="15"/>
      <c r="K163" s="15"/>
      <c r="L163" s="8"/>
      <c r="M163" s="15">
        <v>21100000</v>
      </c>
      <c r="N163" s="15">
        <f t="shared" ref="N163:N171" si="291">+C163</f>
        <v>18100000</v>
      </c>
      <c r="O163" s="15">
        <v>15900000</v>
      </c>
      <c r="P163" s="15">
        <f t="shared" ref="P163:P171" si="292">+D163</f>
        <v>16200000</v>
      </c>
      <c r="Q163" s="15">
        <v>17900000</v>
      </c>
      <c r="R163" s="15">
        <f t="shared" ref="R163:R171" si="293">+E163</f>
        <v>17600000</v>
      </c>
      <c r="S163" s="15">
        <v>18300000</v>
      </c>
      <c r="T163" s="15">
        <f t="shared" ref="T163:T171" si="294">+F163</f>
        <v>17600000</v>
      </c>
      <c r="U163" s="15">
        <v>18200000</v>
      </c>
      <c r="V163" s="15">
        <f t="shared" ref="V163:V171" si="295">G163</f>
        <v>19700000</v>
      </c>
      <c r="W163" s="37">
        <v>18500000</v>
      </c>
      <c r="X163" s="15"/>
      <c r="Y163" s="15"/>
      <c r="Z163" s="15"/>
      <c r="AA163" s="15"/>
      <c r="AB163" s="15"/>
      <c r="AC163" s="15"/>
      <c r="AD163" s="15"/>
    </row>
    <row r="164" spans="1:30" s="9" customFormat="1" ht="12" customHeight="1" x14ac:dyDescent="0.2">
      <c r="A164" s="90"/>
      <c r="B164" s="14" t="s">
        <v>107</v>
      </c>
      <c r="C164" s="15">
        <v>19700000</v>
      </c>
      <c r="D164" s="15">
        <v>17800000</v>
      </c>
      <c r="E164" s="15">
        <v>13300000</v>
      </c>
      <c r="F164" s="15">
        <v>7000000</v>
      </c>
      <c r="G164" s="37">
        <v>2400000</v>
      </c>
      <c r="H164" s="15"/>
      <c r="I164" s="15"/>
      <c r="J164" s="15"/>
      <c r="K164" s="15"/>
      <c r="L164" s="8"/>
      <c r="M164" s="15">
        <v>15200000</v>
      </c>
      <c r="N164" s="15">
        <f t="shared" si="291"/>
        <v>19700000</v>
      </c>
      <c r="O164" s="15">
        <v>19800000</v>
      </c>
      <c r="P164" s="15">
        <f t="shared" si="292"/>
        <v>17800000</v>
      </c>
      <c r="Q164" s="15">
        <v>15300000</v>
      </c>
      <c r="R164" s="15">
        <f t="shared" si="293"/>
        <v>13300000</v>
      </c>
      <c r="S164" s="15">
        <v>10900000</v>
      </c>
      <c r="T164" s="15">
        <f t="shared" si="294"/>
        <v>7000000</v>
      </c>
      <c r="U164" s="15">
        <v>5100000</v>
      </c>
      <c r="V164" s="15">
        <f t="shared" si="295"/>
        <v>2400000</v>
      </c>
      <c r="W164" s="37">
        <v>400000</v>
      </c>
      <c r="X164" s="15"/>
      <c r="Y164" s="15"/>
      <c r="Z164" s="15"/>
      <c r="AA164" s="15"/>
      <c r="AB164" s="15"/>
      <c r="AC164" s="15"/>
      <c r="AD164" s="15"/>
    </row>
    <row r="165" spans="1:30" s="9" customFormat="1" ht="12" customHeight="1" x14ac:dyDescent="0.2">
      <c r="A165" s="90"/>
      <c r="B165" s="14" t="s">
        <v>108</v>
      </c>
      <c r="C165" s="15">
        <v>500000</v>
      </c>
      <c r="D165" s="15">
        <v>400000</v>
      </c>
      <c r="E165" s="15">
        <v>400000</v>
      </c>
      <c r="F165" s="15">
        <v>500000</v>
      </c>
      <c r="G165" s="37">
        <v>100000</v>
      </c>
      <c r="H165" s="15"/>
      <c r="I165" s="15"/>
      <c r="J165" s="15"/>
      <c r="K165" s="15"/>
      <c r="L165" s="8"/>
      <c r="M165" s="15">
        <v>0</v>
      </c>
      <c r="N165" s="15">
        <f t="shared" si="291"/>
        <v>500000</v>
      </c>
      <c r="O165" s="15">
        <v>700000</v>
      </c>
      <c r="P165" s="15">
        <f t="shared" si="292"/>
        <v>400000</v>
      </c>
      <c r="Q165" s="15">
        <v>600000</v>
      </c>
      <c r="R165" s="15">
        <f t="shared" si="293"/>
        <v>400000</v>
      </c>
      <c r="S165" s="15">
        <v>500000</v>
      </c>
      <c r="T165" s="15">
        <f t="shared" si="294"/>
        <v>500000</v>
      </c>
      <c r="U165" s="15">
        <v>700000</v>
      </c>
      <c r="V165" s="15">
        <f t="shared" si="295"/>
        <v>100000</v>
      </c>
      <c r="W165" s="37">
        <v>100000</v>
      </c>
      <c r="X165" s="15"/>
      <c r="Y165" s="15"/>
      <c r="Z165" s="15"/>
      <c r="AA165" s="15"/>
      <c r="AB165" s="15"/>
      <c r="AC165" s="15"/>
      <c r="AD165" s="15"/>
    </row>
    <row r="166" spans="1:30" s="9" customFormat="1" ht="12" customHeight="1" x14ac:dyDescent="0.2">
      <c r="A166" s="90"/>
      <c r="B166" s="14" t="s">
        <v>109</v>
      </c>
      <c r="C166" s="15">
        <v>0</v>
      </c>
      <c r="D166" s="15">
        <v>0</v>
      </c>
      <c r="E166" s="15">
        <v>1500000</v>
      </c>
      <c r="F166" s="15">
        <v>0</v>
      </c>
      <c r="G166" s="37">
        <v>0</v>
      </c>
      <c r="H166" s="15"/>
      <c r="I166" s="15"/>
      <c r="J166" s="15"/>
      <c r="K166" s="15"/>
      <c r="L166" s="8"/>
      <c r="M166" s="15">
        <v>0</v>
      </c>
      <c r="N166" s="15">
        <f t="shared" si="291"/>
        <v>0</v>
      </c>
      <c r="O166" s="15">
        <v>0</v>
      </c>
      <c r="P166" s="15">
        <f t="shared" si="292"/>
        <v>0</v>
      </c>
      <c r="Q166" s="15">
        <v>0</v>
      </c>
      <c r="R166" s="15">
        <f t="shared" si="293"/>
        <v>1500000</v>
      </c>
      <c r="S166" s="15">
        <v>0</v>
      </c>
      <c r="T166" s="15">
        <f t="shared" si="294"/>
        <v>0</v>
      </c>
      <c r="U166" s="15">
        <v>0</v>
      </c>
      <c r="V166" s="15">
        <f t="shared" si="295"/>
        <v>0</v>
      </c>
      <c r="W166" s="37">
        <v>0</v>
      </c>
      <c r="X166" s="15"/>
      <c r="Y166" s="15"/>
      <c r="Z166" s="15"/>
      <c r="AA166" s="15"/>
      <c r="AB166" s="15"/>
      <c r="AC166" s="15"/>
      <c r="AD166" s="15"/>
    </row>
    <row r="167" spans="1:30" s="9" customFormat="1" ht="12" customHeight="1" x14ac:dyDescent="0.2">
      <c r="A167" s="90"/>
      <c r="B167" s="14" t="s">
        <v>110</v>
      </c>
      <c r="C167" s="15">
        <v>100000</v>
      </c>
      <c r="D167" s="15">
        <v>400000</v>
      </c>
      <c r="E167" s="15">
        <v>100000</v>
      </c>
      <c r="F167" s="15">
        <v>100000</v>
      </c>
      <c r="G167" s="37">
        <v>200000</v>
      </c>
      <c r="H167" s="15"/>
      <c r="I167" s="15"/>
      <c r="J167" s="15"/>
      <c r="K167" s="15"/>
      <c r="L167" s="8"/>
      <c r="M167" s="15">
        <v>100000</v>
      </c>
      <c r="N167" s="15">
        <f t="shared" si="291"/>
        <v>100000</v>
      </c>
      <c r="O167" s="15">
        <v>500000</v>
      </c>
      <c r="P167" s="15">
        <f t="shared" si="292"/>
        <v>400000</v>
      </c>
      <c r="Q167" s="15">
        <v>400000</v>
      </c>
      <c r="R167" s="15">
        <f t="shared" si="293"/>
        <v>100000</v>
      </c>
      <c r="S167" s="15">
        <v>500000</v>
      </c>
      <c r="T167" s="15">
        <f t="shared" si="294"/>
        <v>100000</v>
      </c>
      <c r="U167" s="15">
        <v>200000</v>
      </c>
      <c r="V167" s="15">
        <f t="shared" si="295"/>
        <v>200000</v>
      </c>
      <c r="W167" s="37">
        <v>100000</v>
      </c>
      <c r="X167" s="15"/>
      <c r="Y167" s="15"/>
      <c r="Z167" s="15"/>
      <c r="AA167" s="15"/>
      <c r="AB167" s="15"/>
      <c r="AC167" s="15"/>
      <c r="AD167" s="15"/>
    </row>
    <row r="168" spans="1:30" s="9" customFormat="1" ht="12" hidden="1" customHeight="1" outlineLevel="1" x14ac:dyDescent="0.2">
      <c r="A168" s="90"/>
      <c r="B168" s="14"/>
      <c r="C168" s="15"/>
      <c r="D168" s="15"/>
      <c r="E168" s="15"/>
      <c r="F168" s="15"/>
      <c r="G168" s="37">
        <v>0</v>
      </c>
      <c r="H168" s="15"/>
      <c r="I168" s="15"/>
      <c r="J168" s="15"/>
      <c r="K168" s="15"/>
      <c r="L168" s="8"/>
      <c r="M168" s="15"/>
      <c r="N168" s="15"/>
      <c r="O168" s="15"/>
      <c r="P168" s="15"/>
      <c r="Q168" s="15"/>
      <c r="R168" s="15"/>
      <c r="S168" s="15"/>
      <c r="T168" s="15"/>
      <c r="U168" s="15"/>
      <c r="V168" s="15">
        <f t="shared" si="295"/>
        <v>0</v>
      </c>
      <c r="W168" s="37"/>
      <c r="X168" s="15"/>
      <c r="Y168" s="15"/>
      <c r="Z168" s="15"/>
      <c r="AA168" s="15"/>
      <c r="AB168" s="15"/>
      <c r="AC168" s="15"/>
      <c r="AD168" s="15"/>
    </row>
    <row r="169" spans="1:30" s="9" customFormat="1" ht="12" hidden="1" customHeight="1" outlineLevel="1" x14ac:dyDescent="0.2">
      <c r="A169" s="90"/>
      <c r="B169" s="14"/>
      <c r="C169" s="15"/>
      <c r="D169" s="15"/>
      <c r="E169" s="15"/>
      <c r="F169" s="15"/>
      <c r="G169" s="37">
        <v>0</v>
      </c>
      <c r="H169" s="15"/>
      <c r="I169" s="15"/>
      <c r="J169" s="15"/>
      <c r="K169" s="15"/>
      <c r="L169" s="8"/>
      <c r="M169" s="15"/>
      <c r="N169" s="15"/>
      <c r="O169" s="15"/>
      <c r="P169" s="15"/>
      <c r="Q169" s="15"/>
      <c r="R169" s="15"/>
      <c r="S169" s="15"/>
      <c r="T169" s="15"/>
      <c r="U169" s="15"/>
      <c r="V169" s="15">
        <f t="shared" si="295"/>
        <v>0</v>
      </c>
      <c r="W169" s="37"/>
      <c r="X169" s="15"/>
      <c r="Y169" s="15"/>
      <c r="Z169" s="15"/>
      <c r="AA169" s="15"/>
      <c r="AB169" s="15"/>
      <c r="AC169" s="15"/>
      <c r="AD169" s="15"/>
    </row>
    <row r="170" spans="1:30" s="9" customFormat="1" ht="12" hidden="1" customHeight="1" outlineLevel="1" x14ac:dyDescent="0.2">
      <c r="A170" s="90"/>
      <c r="B170" s="14"/>
      <c r="C170" s="15"/>
      <c r="D170" s="15"/>
      <c r="E170" s="15"/>
      <c r="F170" s="15"/>
      <c r="G170" s="37">
        <v>0</v>
      </c>
      <c r="H170" s="15"/>
      <c r="I170" s="15"/>
      <c r="J170" s="15"/>
      <c r="K170" s="15"/>
      <c r="L170" s="8"/>
      <c r="M170" s="15"/>
      <c r="N170" s="15"/>
      <c r="O170" s="15"/>
      <c r="P170" s="15"/>
      <c r="Q170" s="15"/>
      <c r="R170" s="15"/>
      <c r="S170" s="15"/>
      <c r="T170" s="15"/>
      <c r="U170" s="15"/>
      <c r="V170" s="15">
        <f t="shared" si="295"/>
        <v>0</v>
      </c>
      <c r="W170" s="37"/>
      <c r="X170" s="15"/>
      <c r="Y170" s="15"/>
      <c r="Z170" s="15"/>
      <c r="AA170" s="15"/>
      <c r="AB170" s="15"/>
      <c r="AC170" s="15"/>
      <c r="AD170" s="15"/>
    </row>
    <row r="171" spans="1:30" s="9" customFormat="1" ht="12" customHeight="1" collapsed="1" x14ac:dyDescent="0.2">
      <c r="A171" s="90"/>
      <c r="B171" s="95" t="s">
        <v>114</v>
      </c>
      <c r="C171" s="15">
        <v>7700000</v>
      </c>
      <c r="D171" s="15">
        <v>900000</v>
      </c>
      <c r="E171" s="15">
        <v>100000</v>
      </c>
      <c r="F171" s="15">
        <v>600000</v>
      </c>
      <c r="G171" s="37">
        <v>0</v>
      </c>
      <c r="H171" s="15"/>
      <c r="I171" s="15"/>
      <c r="J171" s="15"/>
      <c r="K171" s="15"/>
      <c r="L171" s="8"/>
      <c r="M171" s="15">
        <v>6400000</v>
      </c>
      <c r="N171" s="15">
        <f t="shared" si="291"/>
        <v>7700000</v>
      </c>
      <c r="O171" s="15">
        <v>7800000</v>
      </c>
      <c r="P171" s="15">
        <f t="shared" si="292"/>
        <v>900000</v>
      </c>
      <c r="Q171" s="15">
        <v>800000</v>
      </c>
      <c r="R171" s="15">
        <f t="shared" si="293"/>
        <v>100000</v>
      </c>
      <c r="S171" s="15">
        <v>700000</v>
      </c>
      <c r="T171" s="15">
        <f t="shared" si="294"/>
        <v>600000</v>
      </c>
      <c r="U171" s="15">
        <v>0</v>
      </c>
      <c r="V171" s="15">
        <f t="shared" si="295"/>
        <v>0</v>
      </c>
      <c r="W171" s="37">
        <v>0</v>
      </c>
      <c r="X171" s="15"/>
      <c r="Y171" s="15"/>
      <c r="Z171" s="15"/>
      <c r="AA171" s="15"/>
      <c r="AB171" s="15"/>
      <c r="AC171" s="15"/>
      <c r="AD171" s="15"/>
    </row>
    <row r="172" spans="1:30" s="30" customFormat="1" ht="12" customHeight="1" x14ac:dyDescent="0.2">
      <c r="A172" s="90"/>
      <c r="B172" s="26" t="s">
        <v>115</v>
      </c>
      <c r="C172" s="27">
        <f>SUM(C163:C171)</f>
        <v>46100000</v>
      </c>
      <c r="D172" s="27">
        <f t="shared" ref="D172:T172" si="296">SUM(D163:D171)</f>
        <v>35700000</v>
      </c>
      <c r="E172" s="27">
        <f t="shared" si="296"/>
        <v>33000000</v>
      </c>
      <c r="F172" s="27">
        <f t="shared" si="296"/>
        <v>25800000</v>
      </c>
      <c r="G172" s="41">
        <f t="shared" si="296"/>
        <v>22400000</v>
      </c>
      <c r="H172" s="27">
        <f t="shared" si="296"/>
        <v>0</v>
      </c>
      <c r="I172" s="27">
        <f t="shared" si="296"/>
        <v>0</v>
      </c>
      <c r="J172" s="27">
        <f t="shared" si="296"/>
        <v>0</v>
      </c>
      <c r="K172" s="27">
        <f t="shared" si="296"/>
        <v>0</v>
      </c>
      <c r="L172" s="8"/>
      <c r="M172" s="27">
        <f t="shared" si="296"/>
        <v>42800000</v>
      </c>
      <c r="N172" s="27">
        <f t="shared" si="296"/>
        <v>46100000</v>
      </c>
      <c r="O172" s="27">
        <f t="shared" si="296"/>
        <v>44700000</v>
      </c>
      <c r="P172" s="27">
        <f t="shared" si="296"/>
        <v>35700000</v>
      </c>
      <c r="Q172" s="27">
        <f>SUM(Q163:Q171)</f>
        <v>35000000</v>
      </c>
      <c r="R172" s="27">
        <f t="shared" si="296"/>
        <v>33000000</v>
      </c>
      <c r="S172" s="27">
        <f>SUM(S163:S171)</f>
        <v>30900000</v>
      </c>
      <c r="T172" s="27">
        <f t="shared" si="296"/>
        <v>25800000</v>
      </c>
      <c r="U172" s="27">
        <f t="shared" ref="U172:W172" si="297">SUM(U163:U171)</f>
        <v>24200000</v>
      </c>
      <c r="V172" s="27">
        <f t="shared" si="297"/>
        <v>22400000</v>
      </c>
      <c r="W172" s="41">
        <f t="shared" si="297"/>
        <v>19100000</v>
      </c>
      <c r="X172" s="27">
        <f t="shared" ref="X172:AD172" si="298">SUM(X163:X171)</f>
        <v>0</v>
      </c>
      <c r="Y172" s="27">
        <f t="shared" si="298"/>
        <v>0</v>
      </c>
      <c r="Z172" s="27">
        <f t="shared" si="298"/>
        <v>0</v>
      </c>
      <c r="AA172" s="27">
        <f t="shared" si="298"/>
        <v>0</v>
      </c>
      <c r="AB172" s="27">
        <f t="shared" si="298"/>
        <v>0</v>
      </c>
      <c r="AC172" s="27">
        <f t="shared" si="298"/>
        <v>0</v>
      </c>
      <c r="AD172" s="27">
        <f t="shared" si="298"/>
        <v>0</v>
      </c>
    </row>
    <row r="173" spans="1:30" s="30" customFormat="1" ht="12" customHeight="1" x14ac:dyDescent="0.2">
      <c r="A173" s="90"/>
      <c r="B173" s="26" t="s">
        <v>116</v>
      </c>
      <c r="C173" s="27">
        <f>+C161+C172</f>
        <v>90900000</v>
      </c>
      <c r="D173" s="27">
        <f t="shared" ref="D173:T173" si="299">+D161+D172</f>
        <v>83300000</v>
      </c>
      <c r="E173" s="27">
        <f t="shared" si="299"/>
        <v>87100000</v>
      </c>
      <c r="F173" s="27">
        <f t="shared" si="299"/>
        <v>83100000</v>
      </c>
      <c r="G173" s="41">
        <f t="shared" si="299"/>
        <v>78400000</v>
      </c>
      <c r="H173" s="27">
        <f t="shared" si="299"/>
        <v>0</v>
      </c>
      <c r="I173" s="27">
        <f t="shared" si="299"/>
        <v>0</v>
      </c>
      <c r="J173" s="27">
        <f t="shared" si="299"/>
        <v>0</v>
      </c>
      <c r="K173" s="27">
        <f t="shared" si="299"/>
        <v>0</v>
      </c>
      <c r="L173" s="8"/>
      <c r="M173" s="27">
        <f t="shared" si="299"/>
        <v>93200000</v>
      </c>
      <c r="N173" s="27">
        <f t="shared" si="299"/>
        <v>90900000</v>
      </c>
      <c r="O173" s="27">
        <f t="shared" si="299"/>
        <v>85700000</v>
      </c>
      <c r="P173" s="27">
        <f t="shared" si="299"/>
        <v>83300000</v>
      </c>
      <c r="Q173" s="27">
        <f>+Q161+Q172</f>
        <v>85700000</v>
      </c>
      <c r="R173" s="27">
        <f t="shared" si="299"/>
        <v>87100000</v>
      </c>
      <c r="S173" s="27">
        <f>+S161+S172</f>
        <v>82300000</v>
      </c>
      <c r="T173" s="27">
        <f t="shared" si="299"/>
        <v>83100000</v>
      </c>
      <c r="U173" s="27">
        <f t="shared" ref="U173:W173" si="300">+U161+U172</f>
        <v>72200000</v>
      </c>
      <c r="V173" s="27">
        <f t="shared" si="300"/>
        <v>78400000</v>
      </c>
      <c r="W173" s="41">
        <f t="shared" si="300"/>
        <v>79300000</v>
      </c>
      <c r="X173" s="27">
        <f t="shared" ref="X173:AD173" si="301">+X161+X172</f>
        <v>0</v>
      </c>
      <c r="Y173" s="27">
        <f t="shared" si="301"/>
        <v>0</v>
      </c>
      <c r="Z173" s="27">
        <f t="shared" si="301"/>
        <v>0</v>
      </c>
      <c r="AA173" s="27">
        <f t="shared" si="301"/>
        <v>0</v>
      </c>
      <c r="AB173" s="27">
        <f t="shared" si="301"/>
        <v>0</v>
      </c>
      <c r="AC173" s="27">
        <f t="shared" si="301"/>
        <v>0</v>
      </c>
      <c r="AD173" s="27">
        <f t="shared" si="301"/>
        <v>0</v>
      </c>
    </row>
    <row r="174" spans="1:30" s="30" customFormat="1" ht="12" customHeight="1" thickBot="1" x14ac:dyDescent="0.25">
      <c r="A174" s="90"/>
      <c r="B174" s="19" t="s">
        <v>117</v>
      </c>
      <c r="C174" s="20">
        <f>+C149-C173</f>
        <v>161800000</v>
      </c>
      <c r="D174" s="20">
        <f t="shared" ref="D174:T174" si="302">+D149-D173</f>
        <v>159800000</v>
      </c>
      <c r="E174" s="20">
        <f t="shared" si="302"/>
        <v>148000000</v>
      </c>
      <c r="F174" s="20">
        <f t="shared" si="302"/>
        <v>137300000</v>
      </c>
      <c r="G174" s="39">
        <f t="shared" si="302"/>
        <v>145900000</v>
      </c>
      <c r="H174" s="20">
        <f t="shared" si="302"/>
        <v>0</v>
      </c>
      <c r="I174" s="20">
        <f t="shared" si="302"/>
        <v>0</v>
      </c>
      <c r="J174" s="20">
        <f t="shared" si="302"/>
        <v>0</v>
      </c>
      <c r="K174" s="20">
        <f t="shared" si="302"/>
        <v>0</v>
      </c>
      <c r="L174" s="8"/>
      <c r="M174" s="20">
        <f t="shared" si="302"/>
        <v>182800000</v>
      </c>
      <c r="N174" s="20">
        <f t="shared" si="302"/>
        <v>161800000</v>
      </c>
      <c r="O174" s="20">
        <f t="shared" si="302"/>
        <v>165200000</v>
      </c>
      <c r="P174" s="20">
        <f t="shared" si="302"/>
        <v>159800000</v>
      </c>
      <c r="Q174" s="20">
        <f>+Q149-Q173</f>
        <v>150300000</v>
      </c>
      <c r="R174" s="20">
        <f t="shared" si="302"/>
        <v>148000000</v>
      </c>
      <c r="S174" s="20">
        <f>+S149-S173</f>
        <v>144700000</v>
      </c>
      <c r="T174" s="20">
        <f t="shared" si="302"/>
        <v>137300000</v>
      </c>
      <c r="U174" s="20">
        <f t="shared" ref="U174:W174" si="303">+U149-U173</f>
        <v>137800000</v>
      </c>
      <c r="V174" s="20">
        <f t="shared" si="303"/>
        <v>145900000</v>
      </c>
      <c r="W174" s="39">
        <f t="shared" si="303"/>
        <v>142700000</v>
      </c>
      <c r="X174" s="20">
        <f t="shared" ref="X174:AD174" si="304">+X149-X173</f>
        <v>0</v>
      </c>
      <c r="Y174" s="20">
        <f t="shared" si="304"/>
        <v>0</v>
      </c>
      <c r="Z174" s="20">
        <f t="shared" si="304"/>
        <v>0</v>
      </c>
      <c r="AA174" s="20">
        <f t="shared" si="304"/>
        <v>0</v>
      </c>
      <c r="AB174" s="20">
        <f t="shared" si="304"/>
        <v>0</v>
      </c>
      <c r="AC174" s="20">
        <f t="shared" si="304"/>
        <v>0</v>
      </c>
      <c r="AD174" s="20">
        <f t="shared" si="304"/>
        <v>0</v>
      </c>
    </row>
    <row r="175" spans="1:30" s="30" customFormat="1" ht="12" customHeight="1" x14ac:dyDescent="0.2">
      <c r="A175" s="90"/>
      <c r="B175" s="32" t="s">
        <v>118</v>
      </c>
      <c r="C175" s="15"/>
      <c r="D175" s="15"/>
      <c r="E175" s="15"/>
      <c r="F175" s="15"/>
      <c r="G175" s="37"/>
      <c r="H175" s="15"/>
      <c r="I175" s="15"/>
      <c r="J175" s="15"/>
      <c r="K175" s="15"/>
      <c r="L175" s="8"/>
      <c r="M175" s="15"/>
      <c r="N175" s="15"/>
      <c r="O175" s="15"/>
      <c r="P175" s="15"/>
      <c r="Q175" s="15"/>
      <c r="R175" s="15"/>
      <c r="S175" s="15"/>
      <c r="T175" s="15"/>
      <c r="U175" s="15"/>
      <c r="V175" s="15"/>
      <c r="W175" s="37"/>
      <c r="X175" s="15"/>
      <c r="Y175" s="15"/>
      <c r="Z175" s="15"/>
      <c r="AA175" s="15"/>
      <c r="AB175" s="15"/>
      <c r="AC175" s="15"/>
      <c r="AD175" s="15"/>
    </row>
    <row r="176" spans="1:30" s="9" customFormat="1" ht="12" customHeight="1" x14ac:dyDescent="0.2">
      <c r="A176" s="90"/>
      <c r="B176" s="14" t="s">
        <v>119</v>
      </c>
      <c r="C176" s="15">
        <v>126000000</v>
      </c>
      <c r="D176" s="15">
        <v>131300000</v>
      </c>
      <c r="E176" s="15">
        <v>135000000</v>
      </c>
      <c r="F176" s="15">
        <v>140500000</v>
      </c>
      <c r="G176" s="37">
        <v>143400000</v>
      </c>
      <c r="H176" s="15"/>
      <c r="I176" s="15"/>
      <c r="J176" s="15"/>
      <c r="K176" s="15"/>
      <c r="L176" s="8"/>
      <c r="M176" s="15">
        <v>125000000</v>
      </c>
      <c r="N176" s="15">
        <f t="shared" ref="N176:N179" si="305">+C176</f>
        <v>126000000</v>
      </c>
      <c r="O176" s="15">
        <v>127000000</v>
      </c>
      <c r="P176" s="15">
        <f t="shared" ref="P176:P179" si="306">+D176</f>
        <v>131300000</v>
      </c>
      <c r="Q176" s="15">
        <v>135200000</v>
      </c>
      <c r="R176" s="15">
        <f t="shared" ref="R176:R179" si="307">+E176</f>
        <v>135000000</v>
      </c>
      <c r="S176" s="15">
        <v>140500000</v>
      </c>
      <c r="T176" s="15">
        <f t="shared" ref="T176:T179" si="308">+F176</f>
        <v>140500000</v>
      </c>
      <c r="U176" s="15">
        <v>143200000</v>
      </c>
      <c r="V176" s="15">
        <f t="shared" ref="V176:V179" si="309">G176</f>
        <v>143400000</v>
      </c>
      <c r="W176" s="37">
        <v>145700000</v>
      </c>
      <c r="X176" s="15"/>
      <c r="Y176" s="15"/>
      <c r="Z176" s="15"/>
      <c r="AA176" s="15"/>
      <c r="AB176" s="15"/>
      <c r="AC176" s="15"/>
      <c r="AD176" s="15"/>
    </row>
    <row r="177" spans="1:30" s="9" customFormat="1" ht="12" customHeight="1" x14ac:dyDescent="0.2">
      <c r="A177" s="90"/>
      <c r="B177" s="14" t="s">
        <v>120</v>
      </c>
      <c r="C177" s="15">
        <v>33100000</v>
      </c>
      <c r="D177" s="15">
        <v>23300000</v>
      </c>
      <c r="E177" s="15">
        <v>1900000</v>
      </c>
      <c r="F177" s="15">
        <v>-12000000</v>
      </c>
      <c r="G177" s="37">
        <v>-13000000</v>
      </c>
      <c r="H177" s="15"/>
      <c r="I177" s="15"/>
      <c r="J177" s="15"/>
      <c r="K177" s="15"/>
      <c r="L177" s="8"/>
      <c r="M177" s="15">
        <v>43400000</v>
      </c>
      <c r="N177" s="15">
        <f t="shared" si="305"/>
        <v>33100000</v>
      </c>
      <c r="O177" s="15">
        <v>31600000</v>
      </c>
      <c r="P177" s="15">
        <f t="shared" si="306"/>
        <v>23300000</v>
      </c>
      <c r="Q177" s="15">
        <v>5500000</v>
      </c>
      <c r="R177" s="15">
        <f t="shared" si="307"/>
        <v>1900000</v>
      </c>
      <c r="S177" s="15">
        <v>-6800000</v>
      </c>
      <c r="T177" s="15">
        <f t="shared" si="308"/>
        <v>-12000000</v>
      </c>
      <c r="U177" s="15">
        <v>-14400000</v>
      </c>
      <c r="V177" s="15">
        <f t="shared" si="309"/>
        <v>-13000000</v>
      </c>
      <c r="W177" s="37">
        <v>-14500000</v>
      </c>
      <c r="X177" s="15"/>
      <c r="Y177" s="15"/>
      <c r="Z177" s="15"/>
      <c r="AA177" s="15"/>
      <c r="AB177" s="15"/>
      <c r="AC177" s="15"/>
      <c r="AD177" s="15"/>
    </row>
    <row r="178" spans="1:30" s="9" customFormat="1" ht="12" customHeight="1" x14ac:dyDescent="0.2">
      <c r="A178" s="90"/>
      <c r="B178" s="14" t="s">
        <v>121</v>
      </c>
      <c r="C178" s="15">
        <v>-500000</v>
      </c>
      <c r="D178" s="15">
        <v>1700000</v>
      </c>
      <c r="E178" s="15">
        <v>3800000</v>
      </c>
      <c r="F178" s="15">
        <v>4500000</v>
      </c>
      <c r="G178" s="37">
        <v>11100000</v>
      </c>
      <c r="H178" s="15"/>
      <c r="I178" s="15"/>
      <c r="J178" s="15"/>
      <c r="K178" s="15"/>
      <c r="L178" s="8"/>
      <c r="M178" s="15">
        <v>4300000</v>
      </c>
      <c r="N178" s="15">
        <f t="shared" si="305"/>
        <v>-500000</v>
      </c>
      <c r="O178" s="15">
        <v>700000</v>
      </c>
      <c r="P178" s="15">
        <f t="shared" si="306"/>
        <v>1700000</v>
      </c>
      <c r="Q178" s="15">
        <v>5100000</v>
      </c>
      <c r="R178" s="15">
        <f t="shared" si="307"/>
        <v>3800000</v>
      </c>
      <c r="S178" s="15">
        <v>7600000</v>
      </c>
      <c r="T178" s="15">
        <f t="shared" si="308"/>
        <v>4500000</v>
      </c>
      <c r="U178" s="15">
        <v>6300000</v>
      </c>
      <c r="V178" s="15">
        <f t="shared" si="309"/>
        <v>11100000</v>
      </c>
      <c r="W178" s="37">
        <v>8700000</v>
      </c>
      <c r="X178" s="15"/>
      <c r="Y178" s="15"/>
      <c r="Z178" s="15"/>
      <c r="AA178" s="15"/>
      <c r="AB178" s="15"/>
      <c r="AC178" s="15"/>
      <c r="AD178" s="15"/>
    </row>
    <row r="179" spans="1:30" s="9" customFormat="1" ht="12" customHeight="1" x14ac:dyDescent="0.2">
      <c r="A179" s="90"/>
      <c r="B179" s="96" t="s">
        <v>122</v>
      </c>
      <c r="C179" s="15">
        <v>1300000</v>
      </c>
      <c r="D179" s="15">
        <v>1700000</v>
      </c>
      <c r="E179" s="15">
        <v>5300000</v>
      </c>
      <c r="F179" s="15">
        <v>2800000</v>
      </c>
      <c r="G179" s="37">
        <v>2300000</v>
      </c>
      <c r="H179" s="15"/>
      <c r="I179" s="15"/>
      <c r="J179" s="15"/>
      <c r="K179" s="15"/>
      <c r="L179" s="8"/>
      <c r="M179" s="15">
        <v>1000000</v>
      </c>
      <c r="N179" s="15">
        <f t="shared" si="305"/>
        <v>1300000</v>
      </c>
      <c r="O179" s="15">
        <v>3700000</v>
      </c>
      <c r="P179" s="15">
        <f t="shared" si="306"/>
        <v>1700000</v>
      </c>
      <c r="Q179" s="15">
        <v>2700000</v>
      </c>
      <c r="R179" s="15">
        <f t="shared" si="307"/>
        <v>5300000</v>
      </c>
      <c r="S179" s="15">
        <v>1900000</v>
      </c>
      <c r="T179" s="15">
        <f t="shared" si="308"/>
        <v>2800000</v>
      </c>
      <c r="U179" s="15">
        <v>1500000</v>
      </c>
      <c r="V179" s="15">
        <f t="shared" si="309"/>
        <v>2300000</v>
      </c>
      <c r="W179" s="37">
        <v>900000</v>
      </c>
      <c r="X179" s="15"/>
      <c r="Y179" s="15"/>
      <c r="Z179" s="15"/>
      <c r="AA179" s="15"/>
      <c r="AB179" s="15"/>
      <c r="AC179" s="15"/>
      <c r="AD179" s="15"/>
    </row>
    <row r="180" spans="1:30" s="30" customFormat="1" ht="12" customHeight="1" x14ac:dyDescent="0.2">
      <c r="A180" s="90"/>
      <c r="B180" s="25" t="s">
        <v>123</v>
      </c>
      <c r="C180" s="27">
        <f>SUM(C176:C179)</f>
        <v>159900000</v>
      </c>
      <c r="D180" s="27">
        <f t="shared" ref="D180:U180" si="310">SUM(D176:D179)</f>
        <v>158000000</v>
      </c>
      <c r="E180" s="27">
        <f t="shared" si="310"/>
        <v>146000000</v>
      </c>
      <c r="F180" s="27">
        <f t="shared" si="310"/>
        <v>135800000</v>
      </c>
      <c r="G180" s="41">
        <f t="shared" si="310"/>
        <v>143800000</v>
      </c>
      <c r="H180" s="27">
        <f t="shared" si="310"/>
        <v>0</v>
      </c>
      <c r="I180" s="27">
        <f t="shared" si="310"/>
        <v>0</v>
      </c>
      <c r="J180" s="27">
        <f t="shared" si="310"/>
        <v>0</v>
      </c>
      <c r="K180" s="27">
        <f t="shared" si="310"/>
        <v>0</v>
      </c>
      <c r="L180" s="8"/>
      <c r="M180" s="27">
        <f t="shared" si="310"/>
        <v>173700000</v>
      </c>
      <c r="N180" s="27">
        <f t="shared" si="310"/>
        <v>159900000</v>
      </c>
      <c r="O180" s="27">
        <f t="shared" si="310"/>
        <v>163000000</v>
      </c>
      <c r="P180" s="27">
        <f t="shared" si="310"/>
        <v>158000000</v>
      </c>
      <c r="Q180" s="27">
        <f>SUM(Q176:Q179)</f>
        <v>148500000</v>
      </c>
      <c r="R180" s="27">
        <f t="shared" si="310"/>
        <v>146000000</v>
      </c>
      <c r="S180" s="27">
        <f>SUM(S176:S179)</f>
        <v>143200000</v>
      </c>
      <c r="T180" s="27">
        <f t="shared" si="310"/>
        <v>135800000</v>
      </c>
      <c r="U180" s="27">
        <f t="shared" si="310"/>
        <v>136600000</v>
      </c>
      <c r="V180" s="27">
        <f>SUM(V176:V179)</f>
        <v>143800000</v>
      </c>
      <c r="W180" s="41">
        <f t="shared" ref="W180" si="311">SUM(W176:W179)</f>
        <v>140800000</v>
      </c>
      <c r="X180" s="27">
        <f t="shared" ref="X180:AD180" si="312">SUM(X176:X179)</f>
        <v>0</v>
      </c>
      <c r="Y180" s="27">
        <f t="shared" si="312"/>
        <v>0</v>
      </c>
      <c r="Z180" s="27">
        <f t="shared" si="312"/>
        <v>0</v>
      </c>
      <c r="AA180" s="27">
        <f t="shared" si="312"/>
        <v>0</v>
      </c>
      <c r="AB180" s="27">
        <f t="shared" si="312"/>
        <v>0</v>
      </c>
      <c r="AC180" s="27">
        <f t="shared" si="312"/>
        <v>0</v>
      </c>
      <c r="AD180" s="27">
        <f t="shared" si="312"/>
        <v>0</v>
      </c>
    </row>
    <row r="181" spans="1:30" s="9" customFormat="1" ht="12" customHeight="1" x14ac:dyDescent="0.2">
      <c r="A181" s="90"/>
      <c r="B181" s="14" t="s">
        <v>124</v>
      </c>
      <c r="C181" s="15">
        <v>1900000</v>
      </c>
      <c r="D181" s="15">
        <v>1800000</v>
      </c>
      <c r="E181" s="15">
        <v>2000000</v>
      </c>
      <c r="F181" s="15">
        <v>1500000</v>
      </c>
      <c r="G181" s="37">
        <v>2100000</v>
      </c>
      <c r="H181" s="15"/>
      <c r="I181" s="15"/>
      <c r="J181" s="15"/>
      <c r="K181" s="15"/>
      <c r="L181" s="8"/>
      <c r="M181" s="15">
        <v>9100000</v>
      </c>
      <c r="N181" s="15">
        <f t="shared" ref="N181" si="313">+C181</f>
        <v>1900000</v>
      </c>
      <c r="O181" s="15">
        <v>2200000</v>
      </c>
      <c r="P181" s="15">
        <f t="shared" ref="P181" si="314">+D181</f>
        <v>1800000</v>
      </c>
      <c r="Q181" s="15">
        <v>1800000</v>
      </c>
      <c r="R181" s="15">
        <f t="shared" ref="R181" si="315">+E181</f>
        <v>2000000</v>
      </c>
      <c r="S181" s="15">
        <v>1500000</v>
      </c>
      <c r="T181" s="15">
        <f t="shared" ref="T181" si="316">+F181</f>
        <v>1500000</v>
      </c>
      <c r="U181" s="15">
        <v>1200000</v>
      </c>
      <c r="V181" s="15">
        <f t="shared" ref="V181" si="317">G181</f>
        <v>2100000</v>
      </c>
      <c r="W181" s="37">
        <v>1900000</v>
      </c>
      <c r="X181" s="15"/>
      <c r="Y181" s="15"/>
      <c r="Z181" s="15"/>
      <c r="AA181" s="15"/>
      <c r="AB181" s="15"/>
      <c r="AC181" s="15"/>
      <c r="AD181" s="15"/>
    </row>
    <row r="182" spans="1:30" s="30" customFormat="1" ht="12" customHeight="1" thickBot="1" x14ac:dyDescent="0.25">
      <c r="A182" s="90"/>
      <c r="B182" s="19" t="s">
        <v>125</v>
      </c>
      <c r="C182" s="20">
        <f>SUM(C180:C181)</f>
        <v>161800000</v>
      </c>
      <c r="D182" s="20">
        <f t="shared" ref="D182:U182" si="318">SUM(D180:D181)</f>
        <v>159800000</v>
      </c>
      <c r="E182" s="20">
        <f t="shared" si="318"/>
        <v>148000000</v>
      </c>
      <c r="F182" s="20">
        <f t="shared" si="318"/>
        <v>137300000</v>
      </c>
      <c r="G182" s="39">
        <f t="shared" si="318"/>
        <v>145900000</v>
      </c>
      <c r="H182" s="20">
        <f t="shared" si="318"/>
        <v>0</v>
      </c>
      <c r="I182" s="20">
        <f t="shared" si="318"/>
        <v>0</v>
      </c>
      <c r="J182" s="20">
        <f t="shared" si="318"/>
        <v>0</v>
      </c>
      <c r="K182" s="20">
        <f t="shared" si="318"/>
        <v>0</v>
      </c>
      <c r="L182" s="8"/>
      <c r="M182" s="20">
        <f t="shared" si="318"/>
        <v>182800000</v>
      </c>
      <c r="N182" s="20">
        <f t="shared" si="318"/>
        <v>161800000</v>
      </c>
      <c r="O182" s="20">
        <f t="shared" si="318"/>
        <v>165200000</v>
      </c>
      <c r="P182" s="20">
        <f t="shared" si="318"/>
        <v>159800000</v>
      </c>
      <c r="Q182" s="20">
        <f>SUM(Q180:Q181)</f>
        <v>150300000</v>
      </c>
      <c r="R182" s="20">
        <f t="shared" si="318"/>
        <v>148000000</v>
      </c>
      <c r="S182" s="20">
        <f>SUM(S180:S181)</f>
        <v>144700000</v>
      </c>
      <c r="T182" s="20">
        <f t="shared" si="318"/>
        <v>137300000</v>
      </c>
      <c r="U182" s="20">
        <f t="shared" si="318"/>
        <v>137800000</v>
      </c>
      <c r="V182" s="20">
        <f t="shared" ref="V182:W182" si="319">SUM(V180:V181)</f>
        <v>145900000</v>
      </c>
      <c r="W182" s="39">
        <f t="shared" si="319"/>
        <v>142700000</v>
      </c>
      <c r="X182" s="20">
        <f t="shared" ref="X182:AD182" si="320">SUM(X180:X181)</f>
        <v>0</v>
      </c>
      <c r="Y182" s="20">
        <f t="shared" si="320"/>
        <v>0</v>
      </c>
      <c r="Z182" s="20">
        <f t="shared" si="320"/>
        <v>0</v>
      </c>
      <c r="AA182" s="20">
        <f t="shared" si="320"/>
        <v>0</v>
      </c>
      <c r="AB182" s="20">
        <f t="shared" si="320"/>
        <v>0</v>
      </c>
      <c r="AC182" s="20">
        <f t="shared" si="320"/>
        <v>0</v>
      </c>
      <c r="AD182" s="20">
        <f t="shared" si="320"/>
        <v>0</v>
      </c>
    </row>
    <row r="183" spans="1:30" s="9" customFormat="1" ht="12" customHeight="1" x14ac:dyDescent="0.25">
      <c r="A183" s="7"/>
      <c r="B183" s="18"/>
      <c r="C183" s="21"/>
      <c r="D183" s="21"/>
      <c r="E183" s="21"/>
      <c r="F183" s="21"/>
      <c r="G183" s="21"/>
      <c r="H183" s="21"/>
      <c r="I183" s="21"/>
      <c r="J183" s="21"/>
      <c r="K183" s="21"/>
      <c r="L183" s="8"/>
      <c r="M183" s="21"/>
      <c r="N183" s="21"/>
      <c r="O183" s="21"/>
      <c r="P183" s="21"/>
      <c r="Q183" s="21"/>
      <c r="R183" s="21"/>
      <c r="S183" s="21"/>
      <c r="T183" s="21"/>
      <c r="U183" s="21"/>
      <c r="V183" s="21"/>
      <c r="W183" s="21"/>
      <c r="X183" s="21"/>
      <c r="Y183" s="21"/>
      <c r="Z183" s="21"/>
      <c r="AA183" s="21"/>
      <c r="AB183" s="21"/>
      <c r="AC183" s="21"/>
      <c r="AD183" s="21"/>
    </row>
    <row r="184" spans="1:30" s="9" customFormat="1" ht="16.5" customHeight="1" thickBot="1" x14ac:dyDescent="0.3">
      <c r="A184" s="2"/>
      <c r="B184" s="10" t="s">
        <v>126</v>
      </c>
      <c r="C184" s="11" t="s">
        <v>5</v>
      </c>
      <c r="D184" s="11" t="s">
        <v>6</v>
      </c>
      <c r="E184" s="11" t="s">
        <v>7</v>
      </c>
      <c r="F184" s="11" t="s">
        <v>8</v>
      </c>
      <c r="G184" s="11" t="s">
        <v>9</v>
      </c>
      <c r="H184" s="11" t="s">
        <v>10</v>
      </c>
      <c r="I184" s="11" t="s">
        <v>11</v>
      </c>
      <c r="J184" s="11" t="s">
        <v>12</v>
      </c>
      <c r="K184" s="11" t="s">
        <v>13</v>
      </c>
      <c r="L184" s="12"/>
      <c r="M184" s="11" t="s">
        <v>14</v>
      </c>
      <c r="N184" s="11" t="s">
        <v>15</v>
      </c>
      <c r="O184" s="11" t="s">
        <v>16</v>
      </c>
      <c r="P184" s="11" t="s">
        <v>17</v>
      </c>
      <c r="Q184" s="11" t="s">
        <v>18</v>
      </c>
      <c r="R184" s="11" t="s">
        <v>19</v>
      </c>
      <c r="S184" s="11" t="s">
        <v>20</v>
      </c>
      <c r="T184" s="11" t="s">
        <v>21</v>
      </c>
      <c r="U184" s="11" t="s">
        <v>22</v>
      </c>
      <c r="V184" s="11" t="s">
        <v>182</v>
      </c>
      <c r="W184" s="11" t="s">
        <v>183</v>
      </c>
      <c r="X184" s="11" t="s">
        <v>184</v>
      </c>
      <c r="Y184" s="11" t="s">
        <v>185</v>
      </c>
      <c r="Z184" s="11" t="s">
        <v>186</v>
      </c>
      <c r="AA184" s="11" t="s">
        <v>187</v>
      </c>
      <c r="AB184" s="11" t="s">
        <v>188</v>
      </c>
      <c r="AC184" s="11" t="s">
        <v>189</v>
      </c>
      <c r="AD184" s="11" t="s">
        <v>190</v>
      </c>
    </row>
    <row r="185" spans="1:30" s="9" customFormat="1" ht="12" customHeight="1" thickTop="1" x14ac:dyDescent="0.2">
      <c r="A185" s="90" t="s">
        <v>127</v>
      </c>
      <c r="B185" s="28" t="s">
        <v>128</v>
      </c>
      <c r="C185" s="8"/>
      <c r="D185" s="8"/>
      <c r="E185" s="8"/>
      <c r="F185" s="8"/>
      <c r="G185" s="43"/>
      <c r="H185" s="8"/>
      <c r="I185" s="8"/>
      <c r="J185" s="8"/>
      <c r="K185" s="8"/>
      <c r="L185" s="8"/>
      <c r="M185" s="8"/>
      <c r="N185" s="8"/>
      <c r="O185" s="8"/>
      <c r="P185" s="8"/>
      <c r="Q185" s="8"/>
      <c r="R185" s="8"/>
      <c r="S185" s="8"/>
      <c r="T185" s="8"/>
      <c r="U185" s="8"/>
      <c r="V185" s="8"/>
      <c r="W185" s="43"/>
      <c r="X185" s="8"/>
      <c r="Y185" s="8"/>
      <c r="Z185" s="8"/>
      <c r="AA185" s="8"/>
      <c r="AB185" s="8"/>
      <c r="AC185" s="8"/>
      <c r="AD185" s="8"/>
    </row>
    <row r="186" spans="1:30" s="9" customFormat="1" ht="12" customHeight="1" x14ac:dyDescent="0.2">
      <c r="A186" s="90"/>
      <c r="B186" s="14" t="s">
        <v>129</v>
      </c>
      <c r="C186" s="15">
        <v>86600000</v>
      </c>
      <c r="D186" s="15">
        <v>105700000</v>
      </c>
      <c r="E186" s="15">
        <v>131500000</v>
      </c>
      <c r="F186" s="15">
        <v>149200000</v>
      </c>
      <c r="G186" s="37">
        <v>150000000</v>
      </c>
      <c r="H186" s="15"/>
      <c r="I186" s="15"/>
      <c r="J186" s="15"/>
      <c r="K186" s="15"/>
      <c r="L186" s="8"/>
      <c r="M186" s="15">
        <v>57600000</v>
      </c>
      <c r="N186" s="15">
        <f>+C186-M186</f>
        <v>29000000</v>
      </c>
      <c r="O186" s="15">
        <v>45600000</v>
      </c>
      <c r="P186" s="15">
        <f>+D186-O186</f>
        <v>60100000</v>
      </c>
      <c r="Q186" s="15">
        <v>63400000</v>
      </c>
      <c r="R186" s="15">
        <f>+E186-Q186</f>
        <v>68100000</v>
      </c>
      <c r="S186" s="15">
        <v>78400000</v>
      </c>
      <c r="T186" s="15">
        <f>+F186-S186</f>
        <v>70800000</v>
      </c>
      <c r="U186" s="15">
        <v>75300000</v>
      </c>
      <c r="V186" s="15">
        <f>+G186-U186</f>
        <v>74700000</v>
      </c>
      <c r="W186" s="37">
        <v>81900000</v>
      </c>
      <c r="X186" s="15"/>
      <c r="Y186" s="15"/>
      <c r="Z186" s="15"/>
      <c r="AA186" s="15"/>
      <c r="AB186" s="15"/>
      <c r="AC186" s="15"/>
      <c r="AD186" s="15"/>
    </row>
    <row r="187" spans="1:30" s="9" customFormat="1" ht="12" customHeight="1" x14ac:dyDescent="0.2">
      <c r="A187" s="90"/>
      <c r="B187" s="14" t="s">
        <v>130</v>
      </c>
      <c r="C187" s="15">
        <v>-90900000</v>
      </c>
      <c r="D187" s="15">
        <v>-92200000</v>
      </c>
      <c r="E187" s="15">
        <v>-117600000</v>
      </c>
      <c r="F187" s="15">
        <v>-132800000</v>
      </c>
      <c r="G187" s="37">
        <v>-130100000</v>
      </c>
      <c r="H187" s="15"/>
      <c r="I187" s="15"/>
      <c r="J187" s="15"/>
      <c r="K187" s="15"/>
      <c r="L187" s="8"/>
      <c r="M187" s="15">
        <v>-49300000</v>
      </c>
      <c r="N187" s="15">
        <f t="shared" ref="N187:N193" si="321">+C187-M187</f>
        <v>-41600000</v>
      </c>
      <c r="O187" s="15">
        <v>-43100000</v>
      </c>
      <c r="P187" s="15">
        <f t="shared" ref="P187:P193" si="322">+D187-O187</f>
        <v>-49100000</v>
      </c>
      <c r="Q187" s="15">
        <v>-57200000</v>
      </c>
      <c r="R187" s="15">
        <f t="shared" ref="R187:R193" si="323">+E187-Q187</f>
        <v>-60400000</v>
      </c>
      <c r="S187" s="15">
        <v>-71700000</v>
      </c>
      <c r="T187" s="15">
        <f t="shared" ref="T187:T193" si="324">+F187-S187</f>
        <v>-61100000</v>
      </c>
      <c r="U187" s="15">
        <v>-70400000</v>
      </c>
      <c r="V187" s="15">
        <f t="shared" ref="V187:V193" si="325">+G187-U187</f>
        <v>-59700000</v>
      </c>
      <c r="W187" s="37">
        <v>-66900000</v>
      </c>
      <c r="X187" s="15"/>
      <c r="Y187" s="15"/>
      <c r="Z187" s="15"/>
      <c r="AA187" s="15"/>
      <c r="AB187" s="15"/>
      <c r="AC187" s="15"/>
      <c r="AD187" s="15"/>
    </row>
    <row r="188" spans="1:30" s="9" customFormat="1" ht="12" customHeight="1" x14ac:dyDescent="0.2">
      <c r="A188" s="90"/>
      <c r="B188" s="14" t="s">
        <v>131</v>
      </c>
      <c r="C188" s="15">
        <v>9900000</v>
      </c>
      <c r="D188" s="15">
        <v>900000</v>
      </c>
      <c r="E188" s="15">
        <v>0</v>
      </c>
      <c r="F188" s="15">
        <v>-5000000</v>
      </c>
      <c r="G188" s="37">
        <v>-800000</v>
      </c>
      <c r="H188" s="15"/>
      <c r="I188" s="15"/>
      <c r="J188" s="15"/>
      <c r="K188" s="15"/>
      <c r="L188" s="8"/>
      <c r="M188" s="15">
        <v>7600000</v>
      </c>
      <c r="N188" s="15">
        <f t="shared" si="321"/>
        <v>2300000</v>
      </c>
      <c r="O188" s="15">
        <v>900000</v>
      </c>
      <c r="P188" s="15">
        <f t="shared" si="322"/>
        <v>0</v>
      </c>
      <c r="Q188" s="15">
        <v>0</v>
      </c>
      <c r="R188" s="15">
        <f t="shared" si="323"/>
        <v>0</v>
      </c>
      <c r="S188" s="15">
        <v>0</v>
      </c>
      <c r="T188" s="15">
        <f t="shared" si="324"/>
        <v>-5000000</v>
      </c>
      <c r="U188" s="15">
        <v>-500000</v>
      </c>
      <c r="V188" s="15">
        <f t="shared" si="325"/>
        <v>-300000</v>
      </c>
      <c r="W188" s="37">
        <v>500000</v>
      </c>
      <c r="X188" s="15"/>
      <c r="Y188" s="15"/>
      <c r="Z188" s="15"/>
      <c r="AA188" s="15"/>
      <c r="AB188" s="15"/>
      <c r="AC188" s="15"/>
      <c r="AD188" s="15"/>
    </row>
    <row r="189" spans="1:30" s="9" customFormat="1" ht="12" customHeight="1" x14ac:dyDescent="0.2">
      <c r="A189" s="90"/>
      <c r="B189" s="14" t="s">
        <v>132</v>
      </c>
      <c r="C189" s="15">
        <v>-900000</v>
      </c>
      <c r="D189" s="15">
        <v>-1600000</v>
      </c>
      <c r="E189" s="15">
        <v>400000</v>
      </c>
      <c r="F189" s="15">
        <v>100000</v>
      </c>
      <c r="G189" s="37">
        <v>-400000</v>
      </c>
      <c r="H189" s="15"/>
      <c r="I189" s="15"/>
      <c r="J189" s="15"/>
      <c r="K189" s="15"/>
      <c r="L189" s="8"/>
      <c r="M189" s="15">
        <v>1600000</v>
      </c>
      <c r="N189" s="15">
        <f t="shared" si="321"/>
        <v>-2500000</v>
      </c>
      <c r="O189" s="15">
        <v>-1600000</v>
      </c>
      <c r="P189" s="15">
        <f t="shared" si="322"/>
        <v>0</v>
      </c>
      <c r="Q189" s="15">
        <v>-200000</v>
      </c>
      <c r="R189" s="15">
        <f t="shared" si="323"/>
        <v>600000</v>
      </c>
      <c r="S189" s="15">
        <v>100000</v>
      </c>
      <c r="T189" s="15">
        <f t="shared" si="324"/>
        <v>0</v>
      </c>
      <c r="U189" s="15">
        <v>-200000</v>
      </c>
      <c r="V189" s="15">
        <f t="shared" si="325"/>
        <v>-200000</v>
      </c>
      <c r="W189" s="37">
        <v>100000</v>
      </c>
      <c r="X189" s="15"/>
      <c r="Y189" s="15"/>
      <c r="Z189" s="15"/>
      <c r="AA189" s="15"/>
      <c r="AB189" s="15"/>
      <c r="AC189" s="15"/>
      <c r="AD189" s="15"/>
    </row>
    <row r="190" spans="1:30" s="9" customFormat="1" ht="12" hidden="1" customHeight="1" outlineLevel="1" x14ac:dyDescent="0.2">
      <c r="A190" s="90"/>
      <c r="B190" s="14"/>
      <c r="C190" s="15"/>
      <c r="D190" s="15"/>
      <c r="E190" s="15"/>
      <c r="F190" s="15"/>
      <c r="G190" s="37">
        <v>0</v>
      </c>
      <c r="H190" s="15"/>
      <c r="I190" s="15"/>
      <c r="J190" s="15"/>
      <c r="K190" s="15"/>
      <c r="L190" s="8"/>
      <c r="M190" s="15"/>
      <c r="N190" s="15"/>
      <c r="O190" s="15"/>
      <c r="P190" s="15"/>
      <c r="Q190" s="15"/>
      <c r="R190" s="15"/>
      <c r="S190" s="15"/>
      <c r="T190" s="15"/>
      <c r="U190" s="15"/>
      <c r="V190" s="15">
        <f t="shared" si="325"/>
        <v>0</v>
      </c>
      <c r="W190" s="37"/>
      <c r="X190" s="15"/>
      <c r="Y190" s="15"/>
      <c r="Z190" s="15"/>
      <c r="AA190" s="15"/>
      <c r="AB190" s="15"/>
      <c r="AC190" s="15"/>
      <c r="AD190" s="15"/>
    </row>
    <row r="191" spans="1:30" s="9" customFormat="1" ht="12" hidden="1" customHeight="1" outlineLevel="1" x14ac:dyDescent="0.2">
      <c r="A191" s="90"/>
      <c r="B191" s="14"/>
      <c r="C191" s="15"/>
      <c r="D191" s="15"/>
      <c r="E191" s="15"/>
      <c r="F191" s="15"/>
      <c r="G191" s="37">
        <v>0</v>
      </c>
      <c r="H191" s="15"/>
      <c r="I191" s="15"/>
      <c r="J191" s="15"/>
      <c r="K191" s="15"/>
      <c r="L191" s="8"/>
      <c r="M191" s="15"/>
      <c r="N191" s="15"/>
      <c r="O191" s="15"/>
      <c r="P191" s="15"/>
      <c r="Q191" s="15"/>
      <c r="R191" s="15"/>
      <c r="S191" s="15"/>
      <c r="T191" s="15"/>
      <c r="U191" s="15"/>
      <c r="V191" s="15">
        <f t="shared" si="325"/>
        <v>0</v>
      </c>
      <c r="W191" s="37"/>
      <c r="X191" s="15"/>
      <c r="Y191" s="15"/>
      <c r="Z191" s="15"/>
      <c r="AA191" s="15"/>
      <c r="AB191" s="15"/>
      <c r="AC191" s="15"/>
      <c r="AD191" s="15"/>
    </row>
    <row r="192" spans="1:30" s="9" customFormat="1" ht="12" hidden="1" customHeight="1" outlineLevel="1" x14ac:dyDescent="0.2">
      <c r="A192" s="90"/>
      <c r="B192" s="14"/>
      <c r="C192" s="15"/>
      <c r="D192" s="15"/>
      <c r="E192" s="15"/>
      <c r="F192" s="15"/>
      <c r="G192" s="37">
        <v>0</v>
      </c>
      <c r="H192" s="15"/>
      <c r="I192" s="15"/>
      <c r="J192" s="15"/>
      <c r="K192" s="15"/>
      <c r="L192" s="8"/>
      <c r="M192" s="15"/>
      <c r="N192" s="15"/>
      <c r="O192" s="15"/>
      <c r="P192" s="15"/>
      <c r="Q192" s="15"/>
      <c r="R192" s="15"/>
      <c r="S192" s="15"/>
      <c r="T192" s="15"/>
      <c r="U192" s="15"/>
      <c r="V192" s="15">
        <f t="shared" si="325"/>
        <v>0</v>
      </c>
      <c r="W192" s="37"/>
      <c r="X192" s="15"/>
      <c r="Y192" s="15"/>
      <c r="Z192" s="15"/>
      <c r="AA192" s="15"/>
      <c r="AB192" s="15"/>
      <c r="AC192" s="15"/>
      <c r="AD192" s="15"/>
    </row>
    <row r="193" spans="1:30" s="9" customFormat="1" ht="12" customHeight="1" collapsed="1" x14ac:dyDescent="0.2">
      <c r="A193" s="90"/>
      <c r="B193" s="14" t="s">
        <v>133</v>
      </c>
      <c r="C193" s="15">
        <v>-1700000</v>
      </c>
      <c r="D193" s="15">
        <v>-1500000</v>
      </c>
      <c r="E193" s="15">
        <v>-1900000</v>
      </c>
      <c r="F193" s="15">
        <v>-2500000</v>
      </c>
      <c r="G193" s="37">
        <v>-1900000</v>
      </c>
      <c r="H193" s="15"/>
      <c r="I193" s="15"/>
      <c r="J193" s="15"/>
      <c r="K193" s="15"/>
      <c r="L193" s="8"/>
      <c r="M193" s="15">
        <v>-800000</v>
      </c>
      <c r="N193" s="15">
        <f t="shared" si="321"/>
        <v>-900000</v>
      </c>
      <c r="O193" s="15">
        <v>-800000</v>
      </c>
      <c r="P193" s="15">
        <f t="shared" si="322"/>
        <v>-700000</v>
      </c>
      <c r="Q193" s="15">
        <v>-900000</v>
      </c>
      <c r="R193" s="15">
        <f t="shared" si="323"/>
        <v>-1000000</v>
      </c>
      <c r="S193" s="15">
        <v>-600000</v>
      </c>
      <c r="T193" s="15">
        <f t="shared" si="324"/>
        <v>-1900000</v>
      </c>
      <c r="U193" s="15">
        <v>-1200000</v>
      </c>
      <c r="V193" s="15">
        <f t="shared" si="325"/>
        <v>-700000</v>
      </c>
      <c r="W193" s="37">
        <v>-1500000</v>
      </c>
      <c r="X193" s="15"/>
      <c r="Y193" s="15"/>
      <c r="Z193" s="15"/>
      <c r="AA193" s="15"/>
      <c r="AB193" s="15"/>
      <c r="AC193" s="15"/>
      <c r="AD193" s="15"/>
    </row>
    <row r="194" spans="1:30" s="30" customFormat="1" ht="12" customHeight="1" thickBot="1" x14ac:dyDescent="0.25">
      <c r="A194" s="90"/>
      <c r="B194" s="19" t="s">
        <v>134</v>
      </c>
      <c r="C194" s="20">
        <f t="shared" ref="C194:K194" si="326">SUM(C186:C193)</f>
        <v>3000000</v>
      </c>
      <c r="D194" s="20">
        <f t="shared" si="326"/>
        <v>11300000</v>
      </c>
      <c r="E194" s="20">
        <f t="shared" si="326"/>
        <v>12400000</v>
      </c>
      <c r="F194" s="20">
        <f t="shared" si="326"/>
        <v>9000000</v>
      </c>
      <c r="G194" s="39">
        <f t="shared" si="326"/>
        <v>16800000</v>
      </c>
      <c r="H194" s="20">
        <f t="shared" si="326"/>
        <v>0</v>
      </c>
      <c r="I194" s="20">
        <f t="shared" si="326"/>
        <v>0</v>
      </c>
      <c r="J194" s="20">
        <f t="shared" si="326"/>
        <v>0</v>
      </c>
      <c r="K194" s="20">
        <f t="shared" si="326"/>
        <v>0</v>
      </c>
      <c r="L194" s="8"/>
      <c r="M194" s="20">
        <f t="shared" ref="M194:U194" si="327">SUM(M186:M193)</f>
        <v>16700000</v>
      </c>
      <c r="N194" s="20">
        <f t="shared" si="327"/>
        <v>-13700000</v>
      </c>
      <c r="O194" s="20">
        <f t="shared" si="327"/>
        <v>1000000</v>
      </c>
      <c r="P194" s="20">
        <f t="shared" si="327"/>
        <v>10300000</v>
      </c>
      <c r="Q194" s="20">
        <f t="shared" si="327"/>
        <v>5100000</v>
      </c>
      <c r="R194" s="20">
        <f t="shared" si="327"/>
        <v>7300000</v>
      </c>
      <c r="S194" s="20">
        <f t="shared" si="327"/>
        <v>6200000</v>
      </c>
      <c r="T194" s="20">
        <f t="shared" si="327"/>
        <v>2800000</v>
      </c>
      <c r="U194" s="20">
        <f t="shared" si="327"/>
        <v>3000000</v>
      </c>
      <c r="V194" s="20">
        <f t="shared" ref="V194:W194" si="328">SUM(V186:V193)</f>
        <v>13800000</v>
      </c>
      <c r="W194" s="39">
        <f t="shared" si="328"/>
        <v>14100000</v>
      </c>
      <c r="X194" s="20">
        <f t="shared" ref="X194:AD194" si="329">SUM(X186:X193)</f>
        <v>0</v>
      </c>
      <c r="Y194" s="20">
        <f t="shared" si="329"/>
        <v>0</v>
      </c>
      <c r="Z194" s="20">
        <f t="shared" si="329"/>
        <v>0</v>
      </c>
      <c r="AA194" s="20">
        <f t="shared" si="329"/>
        <v>0</v>
      </c>
      <c r="AB194" s="20">
        <f t="shared" si="329"/>
        <v>0</v>
      </c>
      <c r="AC194" s="20">
        <f t="shared" si="329"/>
        <v>0</v>
      </c>
      <c r="AD194" s="20">
        <f t="shared" si="329"/>
        <v>0</v>
      </c>
    </row>
    <row r="195" spans="1:30" s="9" customFormat="1" ht="12" customHeight="1" x14ac:dyDescent="0.2">
      <c r="A195" s="90"/>
      <c r="B195" s="25" t="s">
        <v>135</v>
      </c>
      <c r="C195" s="15"/>
      <c r="D195" s="15"/>
      <c r="E195" s="15"/>
      <c r="F195" s="15"/>
      <c r="G195" s="37"/>
      <c r="H195" s="15"/>
      <c r="I195" s="15"/>
      <c r="J195" s="15"/>
      <c r="K195" s="15"/>
      <c r="L195" s="8"/>
      <c r="M195" s="15"/>
      <c r="N195" s="15"/>
      <c r="O195" s="15"/>
      <c r="P195" s="15"/>
      <c r="Q195" s="15"/>
      <c r="R195" s="15"/>
      <c r="S195" s="15"/>
      <c r="T195" s="15"/>
      <c r="U195" s="15"/>
      <c r="V195" s="15"/>
      <c r="W195" s="37"/>
      <c r="X195" s="15"/>
      <c r="Y195" s="15"/>
      <c r="Z195" s="15"/>
      <c r="AA195" s="15"/>
      <c r="AB195" s="15"/>
      <c r="AC195" s="15"/>
      <c r="AD195" s="15"/>
    </row>
    <row r="196" spans="1:30" s="9" customFormat="1" ht="12" customHeight="1" x14ac:dyDescent="0.2">
      <c r="A196" s="90"/>
      <c r="B196" s="14" t="s">
        <v>136</v>
      </c>
      <c r="C196" s="15">
        <v>-1400000</v>
      </c>
      <c r="D196" s="15">
        <v>-900000</v>
      </c>
      <c r="E196" s="15">
        <v>-2100000</v>
      </c>
      <c r="F196" s="15">
        <v>-800000</v>
      </c>
      <c r="G196" s="37">
        <v>-500000</v>
      </c>
      <c r="H196" s="15"/>
      <c r="I196" s="15"/>
      <c r="J196" s="15"/>
      <c r="K196" s="15"/>
      <c r="L196" s="8"/>
      <c r="M196" s="15">
        <v>-600000</v>
      </c>
      <c r="N196" s="15">
        <f t="shared" ref="N196:N203" si="330">+C196-M196</f>
        <v>-800000</v>
      </c>
      <c r="O196" s="15">
        <v>-300000</v>
      </c>
      <c r="P196" s="15">
        <f t="shared" ref="P196:P203" si="331">+D196-O196</f>
        <v>-600000</v>
      </c>
      <c r="Q196" s="15">
        <v>-700000</v>
      </c>
      <c r="R196" s="15">
        <f t="shared" ref="R196:R203" si="332">+E196-Q196</f>
        <v>-1400000</v>
      </c>
      <c r="S196" s="15">
        <v>-500000</v>
      </c>
      <c r="T196" s="15">
        <f t="shared" ref="T196:T203" si="333">+F196-S196</f>
        <v>-300000</v>
      </c>
      <c r="U196" s="15">
        <v>-200000</v>
      </c>
      <c r="V196" s="15">
        <f t="shared" ref="V196:V203" si="334">+G196-U196</f>
        <v>-300000</v>
      </c>
      <c r="W196" s="37">
        <v>-300000</v>
      </c>
      <c r="X196" s="15"/>
      <c r="Y196" s="15"/>
      <c r="Z196" s="15"/>
      <c r="AA196" s="15"/>
      <c r="AB196" s="15"/>
      <c r="AC196" s="15"/>
      <c r="AD196" s="15"/>
    </row>
    <row r="197" spans="1:30" s="9" customFormat="1" ht="12" customHeight="1" x14ac:dyDescent="0.2">
      <c r="A197" s="90"/>
      <c r="B197" s="14" t="s">
        <v>137</v>
      </c>
      <c r="C197" s="15">
        <v>-12800000</v>
      </c>
      <c r="D197" s="15">
        <v>-11900000</v>
      </c>
      <c r="E197" s="15">
        <v>-16800000</v>
      </c>
      <c r="F197" s="15">
        <v>-19500000</v>
      </c>
      <c r="G197" s="37">
        <v>-17600000</v>
      </c>
      <c r="H197" s="15"/>
      <c r="I197" s="15"/>
      <c r="J197" s="15"/>
      <c r="K197" s="15"/>
      <c r="L197" s="8"/>
      <c r="M197" s="15">
        <v>-7500000</v>
      </c>
      <c r="N197" s="15">
        <f t="shared" si="330"/>
        <v>-5300000</v>
      </c>
      <c r="O197" s="15">
        <v>-5800000</v>
      </c>
      <c r="P197" s="15">
        <f t="shared" si="331"/>
        <v>-6100000</v>
      </c>
      <c r="Q197" s="15">
        <v>-7600000</v>
      </c>
      <c r="R197" s="15">
        <f t="shared" si="332"/>
        <v>-9200000</v>
      </c>
      <c r="S197" s="15">
        <v>-10800000</v>
      </c>
      <c r="T197" s="15">
        <f t="shared" si="333"/>
        <v>-8700000</v>
      </c>
      <c r="U197" s="15">
        <v>-9200000</v>
      </c>
      <c r="V197" s="15">
        <f t="shared" si="334"/>
        <v>-8400000</v>
      </c>
      <c r="W197" s="37">
        <v>-8700000</v>
      </c>
      <c r="X197" s="15"/>
      <c r="Y197" s="15"/>
      <c r="Z197" s="15"/>
      <c r="AA197" s="15"/>
      <c r="AB197" s="15"/>
      <c r="AC197" s="15"/>
      <c r="AD197" s="15"/>
    </row>
    <row r="198" spans="1:30" s="9" customFormat="1" ht="12" customHeight="1" x14ac:dyDescent="0.2">
      <c r="A198" s="90"/>
      <c r="B198" s="14" t="s">
        <v>138</v>
      </c>
      <c r="C198" s="15">
        <v>500000</v>
      </c>
      <c r="D198" s="15">
        <v>200000</v>
      </c>
      <c r="E198" s="15">
        <v>400000</v>
      </c>
      <c r="F198" s="15">
        <v>1100000</v>
      </c>
      <c r="G198" s="37">
        <v>600000</v>
      </c>
      <c r="H198" s="15"/>
      <c r="I198" s="15"/>
      <c r="J198" s="15"/>
      <c r="K198" s="15"/>
      <c r="L198" s="8"/>
      <c r="M198" s="15">
        <v>100000</v>
      </c>
      <c r="N198" s="15">
        <f t="shared" si="330"/>
        <v>400000</v>
      </c>
      <c r="O198" s="15">
        <v>200000</v>
      </c>
      <c r="P198" s="15">
        <f t="shared" si="331"/>
        <v>0</v>
      </c>
      <c r="Q198" s="15">
        <v>0</v>
      </c>
      <c r="R198" s="15">
        <f t="shared" si="332"/>
        <v>400000</v>
      </c>
      <c r="S198" s="15">
        <v>600000</v>
      </c>
      <c r="T198" s="15">
        <f t="shared" si="333"/>
        <v>500000</v>
      </c>
      <c r="U198" s="15">
        <v>400000</v>
      </c>
      <c r="V198" s="15">
        <f t="shared" si="334"/>
        <v>200000</v>
      </c>
      <c r="W198" s="37">
        <v>100000</v>
      </c>
      <c r="X198" s="15"/>
      <c r="Y198" s="15"/>
      <c r="Z198" s="15"/>
      <c r="AA198" s="15"/>
      <c r="AB198" s="15"/>
      <c r="AC198" s="15"/>
      <c r="AD198" s="15"/>
    </row>
    <row r="199" spans="1:30" s="9" customFormat="1" ht="12" customHeight="1" x14ac:dyDescent="0.2">
      <c r="A199" s="90"/>
      <c r="B199" s="14" t="s">
        <v>139</v>
      </c>
      <c r="C199" s="15">
        <v>0</v>
      </c>
      <c r="D199" s="15">
        <v>-300000</v>
      </c>
      <c r="E199" s="15">
        <v>0</v>
      </c>
      <c r="F199" s="15">
        <v>-1300000</v>
      </c>
      <c r="G199" s="37">
        <v>-500000</v>
      </c>
      <c r="H199" s="15"/>
      <c r="I199" s="15"/>
      <c r="J199" s="15"/>
      <c r="K199" s="15"/>
      <c r="L199" s="8"/>
      <c r="M199" s="15">
        <v>0</v>
      </c>
      <c r="N199" s="15">
        <f t="shared" si="330"/>
        <v>0</v>
      </c>
      <c r="O199" s="15">
        <v>-400000</v>
      </c>
      <c r="P199" s="15">
        <f t="shared" si="331"/>
        <v>100000</v>
      </c>
      <c r="Q199" s="15">
        <v>0</v>
      </c>
      <c r="R199" s="15">
        <f t="shared" si="332"/>
        <v>0</v>
      </c>
      <c r="S199" s="15">
        <v>-1300000</v>
      </c>
      <c r="T199" s="15">
        <f t="shared" si="333"/>
        <v>0</v>
      </c>
      <c r="U199" s="15">
        <v>-500000</v>
      </c>
      <c r="V199" s="15">
        <f t="shared" si="334"/>
        <v>0</v>
      </c>
      <c r="W199" s="37">
        <v>0</v>
      </c>
      <c r="X199" s="15"/>
      <c r="Y199" s="15"/>
      <c r="Z199" s="15"/>
      <c r="AA199" s="15"/>
      <c r="AB199" s="15"/>
      <c r="AC199" s="15"/>
      <c r="AD199" s="15"/>
    </row>
    <row r="200" spans="1:30" s="9" customFormat="1" ht="12" hidden="1" customHeight="1" outlineLevel="1" x14ac:dyDescent="0.2">
      <c r="A200" s="90"/>
      <c r="B200" s="14"/>
      <c r="C200" s="15"/>
      <c r="D200" s="15"/>
      <c r="E200" s="15"/>
      <c r="F200" s="15"/>
      <c r="G200" s="37">
        <v>0</v>
      </c>
      <c r="H200" s="15"/>
      <c r="I200" s="15"/>
      <c r="J200" s="15"/>
      <c r="K200" s="15"/>
      <c r="L200" s="8"/>
      <c r="M200" s="15"/>
      <c r="N200" s="15"/>
      <c r="O200" s="15"/>
      <c r="P200" s="15"/>
      <c r="Q200" s="15"/>
      <c r="R200" s="15"/>
      <c r="S200" s="15"/>
      <c r="T200" s="15"/>
      <c r="U200" s="15"/>
      <c r="V200" s="15">
        <f t="shared" si="334"/>
        <v>0</v>
      </c>
      <c r="W200" s="37"/>
      <c r="X200" s="15"/>
      <c r="Y200" s="15"/>
      <c r="Z200" s="15"/>
      <c r="AA200" s="15"/>
      <c r="AB200" s="15"/>
      <c r="AC200" s="15"/>
      <c r="AD200" s="15"/>
    </row>
    <row r="201" spans="1:30" s="9" customFormat="1" ht="12" hidden="1" customHeight="1" outlineLevel="1" x14ac:dyDescent="0.2">
      <c r="A201" s="90"/>
      <c r="B201" s="14"/>
      <c r="C201" s="15"/>
      <c r="D201" s="15"/>
      <c r="E201" s="15"/>
      <c r="F201" s="15"/>
      <c r="G201" s="37">
        <v>0</v>
      </c>
      <c r="H201" s="15"/>
      <c r="I201" s="15"/>
      <c r="J201" s="15"/>
      <c r="K201" s="15"/>
      <c r="L201" s="8"/>
      <c r="M201" s="15"/>
      <c r="N201" s="15"/>
      <c r="O201" s="15"/>
      <c r="P201" s="15"/>
      <c r="Q201" s="15"/>
      <c r="R201" s="15"/>
      <c r="S201" s="15"/>
      <c r="T201" s="15"/>
      <c r="U201" s="15"/>
      <c r="V201" s="15">
        <f t="shared" si="334"/>
        <v>0</v>
      </c>
      <c r="W201" s="37"/>
      <c r="X201" s="15"/>
      <c r="Y201" s="15"/>
      <c r="Z201" s="15"/>
      <c r="AA201" s="15"/>
      <c r="AB201" s="15"/>
      <c r="AC201" s="15"/>
      <c r="AD201" s="15"/>
    </row>
    <row r="202" spans="1:30" s="9" customFormat="1" ht="12" hidden="1" customHeight="1" outlineLevel="1" x14ac:dyDescent="0.2">
      <c r="A202" s="90"/>
      <c r="B202" s="14"/>
      <c r="C202" s="15"/>
      <c r="D202" s="15"/>
      <c r="E202" s="15"/>
      <c r="F202" s="15"/>
      <c r="G202" s="37">
        <v>0</v>
      </c>
      <c r="H202" s="15"/>
      <c r="I202" s="15"/>
      <c r="J202" s="15"/>
      <c r="K202" s="15"/>
      <c r="L202" s="8"/>
      <c r="M202" s="15"/>
      <c r="N202" s="15"/>
      <c r="O202" s="15"/>
      <c r="P202" s="15"/>
      <c r="Q202" s="15"/>
      <c r="R202" s="15"/>
      <c r="S202" s="15"/>
      <c r="T202" s="15"/>
      <c r="U202" s="15"/>
      <c r="V202" s="15">
        <f t="shared" si="334"/>
        <v>0</v>
      </c>
      <c r="W202" s="37"/>
      <c r="X202" s="15"/>
      <c r="Y202" s="15"/>
      <c r="Z202" s="15"/>
      <c r="AA202" s="15"/>
      <c r="AB202" s="15"/>
      <c r="AC202" s="15"/>
      <c r="AD202" s="15"/>
    </row>
    <row r="203" spans="1:30" s="9" customFormat="1" ht="12" customHeight="1" collapsed="1" x14ac:dyDescent="0.2">
      <c r="A203" s="90"/>
      <c r="B203" s="14" t="s">
        <v>140</v>
      </c>
      <c r="C203" s="15">
        <v>-3300000</v>
      </c>
      <c r="D203" s="15">
        <v>0</v>
      </c>
      <c r="E203" s="15">
        <v>-3300000</v>
      </c>
      <c r="F203" s="15">
        <v>0</v>
      </c>
      <c r="G203" s="37">
        <v>0</v>
      </c>
      <c r="H203" s="15"/>
      <c r="I203" s="15"/>
      <c r="J203" s="15"/>
      <c r="K203" s="15"/>
      <c r="L203" s="8"/>
      <c r="M203" s="15">
        <v>0</v>
      </c>
      <c r="N203" s="15">
        <f t="shared" si="330"/>
        <v>-3300000</v>
      </c>
      <c r="O203" s="15">
        <v>0</v>
      </c>
      <c r="P203" s="15">
        <f t="shared" si="331"/>
        <v>0</v>
      </c>
      <c r="Q203" s="15">
        <v>-3300000</v>
      </c>
      <c r="R203" s="15">
        <f t="shared" si="332"/>
        <v>0</v>
      </c>
      <c r="S203" s="15">
        <v>0</v>
      </c>
      <c r="T203" s="15">
        <f t="shared" si="333"/>
        <v>0</v>
      </c>
      <c r="U203" s="15">
        <v>0</v>
      </c>
      <c r="V203" s="15">
        <f t="shared" si="334"/>
        <v>0</v>
      </c>
      <c r="W203" s="37">
        <v>0</v>
      </c>
      <c r="X203" s="15"/>
      <c r="Y203" s="15"/>
      <c r="Z203" s="15"/>
      <c r="AA203" s="15"/>
      <c r="AB203" s="15"/>
      <c r="AC203" s="15"/>
      <c r="AD203" s="15"/>
    </row>
    <row r="204" spans="1:30" s="30" customFormat="1" ht="12" customHeight="1" thickBot="1" x14ac:dyDescent="0.25">
      <c r="A204" s="90"/>
      <c r="B204" s="19" t="s">
        <v>141</v>
      </c>
      <c r="C204" s="20">
        <f t="shared" ref="C204:K204" si="335">SUM(C196:C203)</f>
        <v>-17000000</v>
      </c>
      <c r="D204" s="20">
        <f t="shared" si="335"/>
        <v>-12900000</v>
      </c>
      <c r="E204" s="20">
        <f t="shared" si="335"/>
        <v>-21800000</v>
      </c>
      <c r="F204" s="20">
        <f t="shared" si="335"/>
        <v>-20500000</v>
      </c>
      <c r="G204" s="39">
        <f t="shared" si="335"/>
        <v>-18000000</v>
      </c>
      <c r="H204" s="20">
        <f t="shared" si="335"/>
        <v>0</v>
      </c>
      <c r="I204" s="20">
        <f t="shared" si="335"/>
        <v>0</v>
      </c>
      <c r="J204" s="20">
        <f t="shared" si="335"/>
        <v>0</v>
      </c>
      <c r="K204" s="20">
        <f t="shared" si="335"/>
        <v>0</v>
      </c>
      <c r="L204" s="8"/>
      <c r="M204" s="20">
        <f t="shared" ref="M204:U204" si="336">SUM(M196:M203)</f>
        <v>-8000000</v>
      </c>
      <c r="N204" s="20">
        <f t="shared" si="336"/>
        <v>-9000000</v>
      </c>
      <c r="O204" s="20">
        <f t="shared" si="336"/>
        <v>-6300000</v>
      </c>
      <c r="P204" s="20">
        <f t="shared" si="336"/>
        <v>-6600000</v>
      </c>
      <c r="Q204" s="20">
        <f t="shared" si="336"/>
        <v>-11600000</v>
      </c>
      <c r="R204" s="20">
        <f t="shared" si="336"/>
        <v>-10200000</v>
      </c>
      <c r="S204" s="20">
        <f t="shared" si="336"/>
        <v>-12000000</v>
      </c>
      <c r="T204" s="20">
        <f t="shared" si="336"/>
        <v>-8500000</v>
      </c>
      <c r="U204" s="20">
        <f t="shared" si="336"/>
        <v>-9500000</v>
      </c>
      <c r="V204" s="20">
        <f t="shared" ref="V204:W204" si="337">SUM(V196:V203)</f>
        <v>-8500000</v>
      </c>
      <c r="W204" s="39">
        <f t="shared" si="337"/>
        <v>-8900000</v>
      </c>
      <c r="X204" s="20">
        <f t="shared" ref="X204:AD204" si="338">SUM(X196:X203)</f>
        <v>0</v>
      </c>
      <c r="Y204" s="20">
        <f t="shared" si="338"/>
        <v>0</v>
      </c>
      <c r="Z204" s="20">
        <f t="shared" si="338"/>
        <v>0</v>
      </c>
      <c r="AA204" s="20">
        <f t="shared" si="338"/>
        <v>0</v>
      </c>
      <c r="AB204" s="20">
        <f t="shared" si="338"/>
        <v>0</v>
      </c>
      <c r="AC204" s="20">
        <f t="shared" si="338"/>
        <v>0</v>
      </c>
      <c r="AD204" s="20">
        <f t="shared" si="338"/>
        <v>0</v>
      </c>
    </row>
    <row r="205" spans="1:30" s="9" customFormat="1" ht="12" customHeight="1" x14ac:dyDescent="0.2">
      <c r="A205" s="90"/>
      <c r="B205" s="25" t="s">
        <v>142</v>
      </c>
      <c r="C205" s="15"/>
      <c r="D205" s="15"/>
      <c r="E205" s="15"/>
      <c r="F205" s="15"/>
      <c r="G205" s="37"/>
      <c r="H205" s="15"/>
      <c r="I205" s="15"/>
      <c r="J205" s="15"/>
      <c r="K205" s="15"/>
      <c r="L205" s="8"/>
      <c r="M205" s="15"/>
      <c r="N205" s="15"/>
      <c r="O205" s="15"/>
      <c r="P205" s="15"/>
      <c r="Q205" s="15"/>
      <c r="R205" s="15"/>
      <c r="S205" s="15"/>
      <c r="T205" s="15"/>
      <c r="U205" s="15"/>
      <c r="V205" s="15"/>
      <c r="W205" s="37"/>
      <c r="X205" s="15"/>
      <c r="Y205" s="15"/>
      <c r="Z205" s="15"/>
      <c r="AA205" s="15"/>
      <c r="AB205" s="15"/>
      <c r="AC205" s="15"/>
      <c r="AD205" s="15"/>
    </row>
    <row r="206" spans="1:30" s="9" customFormat="1" ht="12" customHeight="1" x14ac:dyDescent="0.2">
      <c r="A206" s="90"/>
      <c r="B206" s="14" t="s">
        <v>143</v>
      </c>
      <c r="C206" s="15">
        <v>62300000</v>
      </c>
      <c r="D206" s="15">
        <v>0</v>
      </c>
      <c r="E206" s="15">
        <v>0</v>
      </c>
      <c r="F206" s="15">
        <v>0</v>
      </c>
      <c r="G206" s="37">
        <v>0</v>
      </c>
      <c r="H206" s="15"/>
      <c r="I206" s="15"/>
      <c r="J206" s="15"/>
      <c r="K206" s="15"/>
      <c r="L206" s="8"/>
      <c r="M206" s="15">
        <v>62400000</v>
      </c>
      <c r="N206" s="15">
        <f t="shared" ref="N206:N214" si="339">+C206-M206</f>
        <v>-100000</v>
      </c>
      <c r="O206" s="15">
        <v>0</v>
      </c>
      <c r="P206" s="15">
        <f t="shared" ref="P206:P214" si="340">+D206-O206</f>
        <v>0</v>
      </c>
      <c r="Q206" s="15">
        <v>0</v>
      </c>
      <c r="R206" s="15">
        <f t="shared" ref="R206:R214" si="341">+E206-Q206</f>
        <v>0</v>
      </c>
      <c r="S206" s="15">
        <v>0</v>
      </c>
      <c r="T206" s="15">
        <f t="shared" ref="T206:T214" si="342">+F206-S206</f>
        <v>0</v>
      </c>
      <c r="U206" s="15">
        <v>0</v>
      </c>
      <c r="V206" s="15">
        <f t="shared" ref="V206:V218" si="343">+G206-U206</f>
        <v>0</v>
      </c>
      <c r="W206" s="37">
        <v>0</v>
      </c>
      <c r="X206" s="15"/>
      <c r="Y206" s="15"/>
      <c r="Z206" s="15"/>
      <c r="AA206" s="15"/>
      <c r="AB206" s="15"/>
      <c r="AC206" s="15"/>
      <c r="AD206" s="15"/>
    </row>
    <row r="207" spans="1:30" s="9" customFormat="1" ht="12" customHeight="1" x14ac:dyDescent="0.2">
      <c r="A207" s="90"/>
      <c r="B207" s="14" t="s">
        <v>144</v>
      </c>
      <c r="C207" s="15">
        <v>-5600000</v>
      </c>
      <c r="D207" s="15">
        <v>-3000000</v>
      </c>
      <c r="E207" s="15">
        <v>-5100000</v>
      </c>
      <c r="F207" s="15">
        <v>-5300000</v>
      </c>
      <c r="G207" s="37">
        <v>-6000000</v>
      </c>
      <c r="H207" s="15"/>
      <c r="I207" s="15"/>
      <c r="J207" s="15"/>
      <c r="K207" s="15"/>
      <c r="L207" s="8"/>
      <c r="M207" s="15">
        <v>-2100000</v>
      </c>
      <c r="N207" s="15">
        <f t="shared" si="339"/>
        <v>-3500000</v>
      </c>
      <c r="O207" s="15">
        <v>-1600000</v>
      </c>
      <c r="P207" s="15">
        <f t="shared" si="340"/>
        <v>-1400000</v>
      </c>
      <c r="Q207" s="15">
        <v>-2500000</v>
      </c>
      <c r="R207" s="15">
        <f t="shared" si="341"/>
        <v>-2600000</v>
      </c>
      <c r="S207" s="15">
        <v>-2700000</v>
      </c>
      <c r="T207" s="15">
        <f t="shared" si="342"/>
        <v>-2600000</v>
      </c>
      <c r="U207" s="15">
        <v>-3000000</v>
      </c>
      <c r="V207" s="15">
        <f t="shared" si="343"/>
        <v>-3000000</v>
      </c>
      <c r="W207" s="37">
        <v>-3300000</v>
      </c>
      <c r="X207" s="15"/>
      <c r="Y207" s="15"/>
      <c r="Z207" s="15"/>
      <c r="AA207" s="15"/>
      <c r="AB207" s="15"/>
      <c r="AC207" s="15"/>
      <c r="AD207" s="15"/>
    </row>
    <row r="208" spans="1:30" s="9" customFormat="1" ht="12" customHeight="1" x14ac:dyDescent="0.2">
      <c r="A208" s="90"/>
      <c r="B208" s="33" t="s">
        <v>145</v>
      </c>
      <c r="C208" s="15">
        <v>6900000</v>
      </c>
      <c r="D208" s="15">
        <v>0</v>
      </c>
      <c r="E208" s="15">
        <v>0</v>
      </c>
      <c r="F208" s="15">
        <v>0</v>
      </c>
      <c r="G208" s="37">
        <f>1800000-1900000</f>
        <v>-100000</v>
      </c>
      <c r="H208" s="15"/>
      <c r="I208" s="15"/>
      <c r="J208" s="15"/>
      <c r="K208" s="15"/>
      <c r="L208" s="8"/>
      <c r="M208" s="15">
        <v>7200000</v>
      </c>
      <c r="N208" s="15">
        <f t="shared" si="339"/>
        <v>-300000</v>
      </c>
      <c r="O208" s="15">
        <v>0</v>
      </c>
      <c r="P208" s="15">
        <f t="shared" si="340"/>
        <v>0</v>
      </c>
      <c r="Q208" s="15">
        <v>0</v>
      </c>
      <c r="R208" s="15">
        <f t="shared" si="341"/>
        <v>0</v>
      </c>
      <c r="S208" s="15">
        <v>0</v>
      </c>
      <c r="T208" s="15">
        <f t="shared" si="342"/>
        <v>0</v>
      </c>
      <c r="U208" s="15">
        <v>800000</v>
      </c>
      <c r="V208" s="15">
        <f t="shared" si="343"/>
        <v>-900000</v>
      </c>
      <c r="W208" s="37">
        <v>0</v>
      </c>
      <c r="X208" s="15"/>
      <c r="Y208" s="15"/>
      <c r="Z208" s="15"/>
      <c r="AA208" s="15"/>
      <c r="AB208" s="15"/>
      <c r="AC208" s="15"/>
      <c r="AD208" s="15"/>
    </row>
    <row r="209" spans="1:30" s="9" customFormat="1" ht="12" customHeight="1" x14ac:dyDescent="0.2">
      <c r="A209" s="90"/>
      <c r="B209" s="33" t="s">
        <v>146</v>
      </c>
      <c r="C209" s="15">
        <v>-900000</v>
      </c>
      <c r="D209" s="15">
        <v>600000</v>
      </c>
      <c r="E209" s="15">
        <v>-100000</v>
      </c>
      <c r="F209" s="15">
        <v>-100000</v>
      </c>
      <c r="G209" s="37">
        <v>-200000</v>
      </c>
      <c r="H209" s="15"/>
      <c r="I209" s="15"/>
      <c r="J209" s="15"/>
      <c r="K209" s="15"/>
      <c r="L209" s="8"/>
      <c r="M209" s="15">
        <v>0</v>
      </c>
      <c r="N209" s="15">
        <f t="shared" si="339"/>
        <v>-900000</v>
      </c>
      <c r="O209" s="15">
        <v>600000</v>
      </c>
      <c r="P209" s="15">
        <f t="shared" si="340"/>
        <v>0</v>
      </c>
      <c r="Q209" s="15">
        <v>-100000</v>
      </c>
      <c r="R209" s="15">
        <f t="shared" si="341"/>
        <v>0</v>
      </c>
      <c r="S209" s="15">
        <v>0</v>
      </c>
      <c r="T209" s="15">
        <f t="shared" si="342"/>
        <v>-100000</v>
      </c>
      <c r="U209" s="15">
        <v>-200000</v>
      </c>
      <c r="V209" s="15">
        <f t="shared" si="343"/>
        <v>0</v>
      </c>
      <c r="W209" s="37">
        <v>0</v>
      </c>
      <c r="X209" s="15"/>
      <c r="Y209" s="15"/>
      <c r="Z209" s="15"/>
      <c r="AA209" s="15"/>
      <c r="AB209" s="15"/>
      <c r="AC209" s="15"/>
      <c r="AD209" s="15"/>
    </row>
    <row r="210" spans="1:30" s="9" customFormat="1" ht="12" customHeight="1" x14ac:dyDescent="0.2">
      <c r="A210" s="90"/>
      <c r="B210" s="33" t="s">
        <v>147</v>
      </c>
      <c r="C210" s="15">
        <v>3200000</v>
      </c>
      <c r="D210" s="15">
        <v>-2800000</v>
      </c>
      <c r="E210" s="15">
        <v>0</v>
      </c>
      <c r="F210" s="15">
        <v>500000</v>
      </c>
      <c r="G210" s="37">
        <v>200000</v>
      </c>
      <c r="H210" s="15"/>
      <c r="I210" s="15"/>
      <c r="J210" s="15"/>
      <c r="K210" s="15"/>
      <c r="L210" s="8"/>
      <c r="M210" s="15">
        <v>3100000</v>
      </c>
      <c r="N210" s="15">
        <f t="shared" si="339"/>
        <v>100000</v>
      </c>
      <c r="O210" s="15">
        <v>-2800000</v>
      </c>
      <c r="P210" s="15">
        <f t="shared" si="340"/>
        <v>0</v>
      </c>
      <c r="Q210" s="15">
        <v>0</v>
      </c>
      <c r="R210" s="15">
        <f t="shared" si="341"/>
        <v>0</v>
      </c>
      <c r="S210" s="15">
        <v>0</v>
      </c>
      <c r="T210" s="15">
        <f t="shared" si="342"/>
        <v>500000</v>
      </c>
      <c r="U210" s="15">
        <v>200000</v>
      </c>
      <c r="V210" s="15">
        <f t="shared" si="343"/>
        <v>0</v>
      </c>
      <c r="W210" s="37">
        <v>-700000</v>
      </c>
      <c r="X210" s="15"/>
      <c r="Y210" s="15"/>
      <c r="Z210" s="15"/>
      <c r="AA210" s="15"/>
      <c r="AB210" s="15"/>
      <c r="AC210" s="15"/>
      <c r="AD210" s="15"/>
    </row>
    <row r="211" spans="1:30" s="9" customFormat="1" ht="12" hidden="1" customHeight="1" outlineLevel="1" x14ac:dyDescent="0.2">
      <c r="A211" s="90"/>
      <c r="B211" s="33"/>
      <c r="C211" s="15"/>
      <c r="D211" s="15"/>
      <c r="E211" s="15"/>
      <c r="F211" s="15"/>
      <c r="G211" s="37">
        <v>0</v>
      </c>
      <c r="H211" s="15"/>
      <c r="I211" s="15"/>
      <c r="J211" s="15"/>
      <c r="K211" s="15"/>
      <c r="L211" s="8"/>
      <c r="M211" s="15"/>
      <c r="N211" s="15"/>
      <c r="O211" s="15"/>
      <c r="P211" s="15"/>
      <c r="Q211" s="15"/>
      <c r="R211" s="15"/>
      <c r="S211" s="15"/>
      <c r="T211" s="15"/>
      <c r="U211" s="15"/>
      <c r="V211" s="15">
        <f t="shared" si="343"/>
        <v>0</v>
      </c>
      <c r="W211" s="37"/>
      <c r="X211" s="15"/>
      <c r="Y211" s="15"/>
      <c r="Z211" s="15"/>
      <c r="AA211" s="15"/>
      <c r="AB211" s="15"/>
      <c r="AC211" s="15"/>
      <c r="AD211" s="15"/>
    </row>
    <row r="212" spans="1:30" s="9" customFormat="1" ht="12" hidden="1" customHeight="1" outlineLevel="1" x14ac:dyDescent="0.2">
      <c r="A212" s="90"/>
      <c r="B212" s="33"/>
      <c r="C212" s="15"/>
      <c r="D212" s="15"/>
      <c r="E212" s="15"/>
      <c r="F212" s="15"/>
      <c r="G212" s="37">
        <v>0</v>
      </c>
      <c r="H212" s="15"/>
      <c r="I212" s="15"/>
      <c r="J212" s="15"/>
      <c r="K212" s="15"/>
      <c r="L212" s="8"/>
      <c r="M212" s="15"/>
      <c r="N212" s="15"/>
      <c r="O212" s="15"/>
      <c r="P212" s="15"/>
      <c r="Q212" s="15"/>
      <c r="R212" s="15"/>
      <c r="S212" s="15"/>
      <c r="T212" s="15"/>
      <c r="U212" s="15"/>
      <c r="V212" s="15">
        <f t="shared" si="343"/>
        <v>0</v>
      </c>
      <c r="W212" s="37"/>
      <c r="X212" s="15"/>
      <c r="Y212" s="15"/>
      <c r="Z212" s="15"/>
      <c r="AA212" s="15"/>
      <c r="AB212" s="15"/>
      <c r="AC212" s="15"/>
      <c r="AD212" s="15"/>
    </row>
    <row r="213" spans="1:30" s="9" customFormat="1" ht="12" hidden="1" customHeight="1" outlineLevel="1" x14ac:dyDescent="0.2">
      <c r="A213" s="90"/>
      <c r="B213" s="33"/>
      <c r="C213" s="15"/>
      <c r="D213" s="15"/>
      <c r="E213" s="15"/>
      <c r="F213" s="15"/>
      <c r="G213" s="37">
        <v>0</v>
      </c>
      <c r="H213" s="15"/>
      <c r="I213" s="15"/>
      <c r="J213" s="15"/>
      <c r="K213" s="15"/>
      <c r="L213" s="8"/>
      <c r="M213" s="15"/>
      <c r="N213" s="15"/>
      <c r="O213" s="15"/>
      <c r="P213" s="15"/>
      <c r="Q213" s="15"/>
      <c r="R213" s="15"/>
      <c r="S213" s="15"/>
      <c r="T213" s="15"/>
      <c r="U213" s="15"/>
      <c r="V213" s="15">
        <f t="shared" si="343"/>
        <v>0</v>
      </c>
      <c r="W213" s="37"/>
      <c r="X213" s="15"/>
      <c r="Y213" s="15"/>
      <c r="Z213" s="15"/>
      <c r="AA213" s="15"/>
      <c r="AB213" s="15"/>
      <c r="AC213" s="15"/>
      <c r="AD213" s="15"/>
    </row>
    <row r="214" spans="1:30" s="9" customFormat="1" ht="12" customHeight="1" collapsed="1" x14ac:dyDescent="0.2">
      <c r="A214" s="90"/>
      <c r="B214" s="94" t="s">
        <v>148</v>
      </c>
      <c r="C214" s="15">
        <v>-1400000</v>
      </c>
      <c r="D214" s="15">
        <v>-100000</v>
      </c>
      <c r="E214" s="15">
        <v>-500000</v>
      </c>
      <c r="F214" s="15">
        <v>-800000</v>
      </c>
      <c r="G214" s="37">
        <v>0</v>
      </c>
      <c r="H214" s="15"/>
      <c r="I214" s="15"/>
      <c r="J214" s="15"/>
      <c r="K214" s="15"/>
      <c r="L214" s="8"/>
      <c r="M214" s="15">
        <v>-1500000</v>
      </c>
      <c r="N214" s="15">
        <f t="shared" si="339"/>
        <v>100000</v>
      </c>
      <c r="O214" s="15">
        <v>0</v>
      </c>
      <c r="P214" s="15">
        <f t="shared" si="340"/>
        <v>-100000</v>
      </c>
      <c r="Q214" s="15">
        <v>0</v>
      </c>
      <c r="R214" s="15">
        <f t="shared" si="341"/>
        <v>-500000</v>
      </c>
      <c r="S214" s="15">
        <v>-700000</v>
      </c>
      <c r="T214" s="15">
        <f t="shared" si="342"/>
        <v>-100000</v>
      </c>
      <c r="U214" s="15">
        <v>0</v>
      </c>
      <c r="V214" s="15">
        <f t="shared" si="343"/>
        <v>0</v>
      </c>
      <c r="W214" s="37">
        <v>-400000</v>
      </c>
      <c r="X214" s="15"/>
      <c r="Y214" s="15"/>
      <c r="Z214" s="15"/>
      <c r="AA214" s="15"/>
      <c r="AB214" s="15"/>
      <c r="AC214" s="15"/>
      <c r="AD214" s="15"/>
    </row>
    <row r="215" spans="1:30" s="30" customFormat="1" ht="12" customHeight="1" thickBot="1" x14ac:dyDescent="0.25">
      <c r="A215" s="90"/>
      <c r="B215" s="19" t="s">
        <v>149</v>
      </c>
      <c r="C215" s="20">
        <f t="shared" ref="C215:K215" si="344">SUM(C206:C214)</f>
        <v>64500000</v>
      </c>
      <c r="D215" s="20">
        <f t="shared" si="344"/>
        <v>-5300000</v>
      </c>
      <c r="E215" s="20">
        <f t="shared" si="344"/>
        <v>-5700000</v>
      </c>
      <c r="F215" s="20">
        <f t="shared" si="344"/>
        <v>-5700000</v>
      </c>
      <c r="G215" s="39">
        <f t="shared" si="344"/>
        <v>-6100000</v>
      </c>
      <c r="H215" s="20">
        <f t="shared" si="344"/>
        <v>0</v>
      </c>
      <c r="I215" s="20">
        <f t="shared" si="344"/>
        <v>0</v>
      </c>
      <c r="J215" s="20">
        <f t="shared" si="344"/>
        <v>0</v>
      </c>
      <c r="K215" s="20">
        <f t="shared" si="344"/>
        <v>0</v>
      </c>
      <c r="L215" s="8"/>
      <c r="M215" s="20">
        <f t="shared" ref="M215:T215" si="345">SUM(M206:M214)</f>
        <v>69100000</v>
      </c>
      <c r="N215" s="20">
        <f t="shared" si="345"/>
        <v>-4600000</v>
      </c>
      <c r="O215" s="20">
        <f t="shared" si="345"/>
        <v>-3800000</v>
      </c>
      <c r="P215" s="20">
        <f t="shared" si="345"/>
        <v>-1500000</v>
      </c>
      <c r="Q215" s="20">
        <f t="shared" si="345"/>
        <v>-2600000</v>
      </c>
      <c r="R215" s="20">
        <f t="shared" si="345"/>
        <v>-3100000</v>
      </c>
      <c r="S215" s="20">
        <f t="shared" si="345"/>
        <v>-3400000</v>
      </c>
      <c r="T215" s="20">
        <f t="shared" si="345"/>
        <v>-2300000</v>
      </c>
      <c r="U215" s="20">
        <f t="shared" ref="U215:V215" si="346">SUM(U206:U214)</f>
        <v>-2200000</v>
      </c>
      <c r="V215" s="20">
        <f t="shared" si="346"/>
        <v>-3900000</v>
      </c>
      <c r="W215" s="39">
        <f t="shared" ref="W215:AD215" si="347">SUM(W206:W214)</f>
        <v>-4400000</v>
      </c>
      <c r="X215" s="20">
        <f t="shared" si="347"/>
        <v>0</v>
      </c>
      <c r="Y215" s="20">
        <f t="shared" si="347"/>
        <v>0</v>
      </c>
      <c r="Z215" s="20">
        <f t="shared" si="347"/>
        <v>0</v>
      </c>
      <c r="AA215" s="20">
        <f t="shared" si="347"/>
        <v>0</v>
      </c>
      <c r="AB215" s="20">
        <f t="shared" si="347"/>
        <v>0</v>
      </c>
      <c r="AC215" s="20">
        <f t="shared" si="347"/>
        <v>0</v>
      </c>
      <c r="AD215" s="20">
        <f t="shared" si="347"/>
        <v>0</v>
      </c>
    </row>
    <row r="216" spans="1:30" s="9" customFormat="1" ht="12" customHeight="1" x14ac:dyDescent="0.2">
      <c r="A216" s="90"/>
      <c r="B216" s="34" t="s">
        <v>150</v>
      </c>
      <c r="C216" s="15">
        <f t="shared" ref="C216:K216" si="348">+C194+C204++C215</f>
        <v>50500000</v>
      </c>
      <c r="D216" s="15">
        <f t="shared" si="348"/>
        <v>-6900000</v>
      </c>
      <c r="E216" s="15">
        <f t="shared" si="348"/>
        <v>-15100000</v>
      </c>
      <c r="F216" s="15">
        <f t="shared" si="348"/>
        <v>-17200000</v>
      </c>
      <c r="G216" s="37">
        <f t="shared" si="348"/>
        <v>-7300000</v>
      </c>
      <c r="H216" s="15">
        <f t="shared" si="348"/>
        <v>0</v>
      </c>
      <c r="I216" s="15">
        <f t="shared" si="348"/>
        <v>0</v>
      </c>
      <c r="J216" s="15">
        <f t="shared" si="348"/>
        <v>0</v>
      </c>
      <c r="K216" s="15">
        <f t="shared" si="348"/>
        <v>0</v>
      </c>
      <c r="L216" s="8"/>
      <c r="M216" s="15">
        <f t="shared" ref="M216:P216" si="349">+M194+M204++M215</f>
        <v>77800000</v>
      </c>
      <c r="N216" s="15">
        <f t="shared" si="349"/>
        <v>-27300000</v>
      </c>
      <c r="O216" s="15">
        <f t="shared" si="349"/>
        <v>-9100000</v>
      </c>
      <c r="P216" s="15">
        <f t="shared" si="349"/>
        <v>2200000</v>
      </c>
      <c r="Q216" s="15">
        <f>+Q194+Q204++Q215</f>
        <v>-9100000</v>
      </c>
      <c r="R216" s="15">
        <f t="shared" ref="R216:R218" si="350">+E216-Q216</f>
        <v>-6000000</v>
      </c>
      <c r="S216" s="15">
        <f>+S194+S204++S215</f>
        <v>-9200000</v>
      </c>
      <c r="T216" s="15">
        <f t="shared" ref="T216:T218" si="351">+F216-S216</f>
        <v>-8000000</v>
      </c>
      <c r="U216" s="15">
        <f>+U194+U204++U215</f>
        <v>-8700000</v>
      </c>
      <c r="V216" s="15">
        <f>+V194+V204++V215</f>
        <v>1400000</v>
      </c>
      <c r="W216" s="37">
        <f t="shared" ref="W216:AD216" si="352">+W194+W204++W215</f>
        <v>800000</v>
      </c>
      <c r="X216" s="15">
        <f t="shared" si="352"/>
        <v>0</v>
      </c>
      <c r="Y216" s="15">
        <f t="shared" si="352"/>
        <v>0</v>
      </c>
      <c r="Z216" s="15">
        <f t="shared" si="352"/>
        <v>0</v>
      </c>
      <c r="AA216" s="15">
        <f t="shared" si="352"/>
        <v>0</v>
      </c>
      <c r="AB216" s="15">
        <f t="shared" si="352"/>
        <v>0</v>
      </c>
      <c r="AC216" s="15">
        <f t="shared" si="352"/>
        <v>0</v>
      </c>
      <c r="AD216" s="15">
        <f t="shared" si="352"/>
        <v>0</v>
      </c>
    </row>
    <row r="217" spans="1:30" s="9" customFormat="1" ht="12" customHeight="1" x14ac:dyDescent="0.2">
      <c r="A217" s="90"/>
      <c r="B217" s="14" t="s">
        <v>151</v>
      </c>
      <c r="C217" s="15">
        <v>19500000</v>
      </c>
      <c r="D217" s="15">
        <f>+C219</f>
        <v>67100000</v>
      </c>
      <c r="E217" s="15">
        <f t="shared" ref="E217:F217" si="353">+D219</f>
        <v>60400000</v>
      </c>
      <c r="F217" s="15">
        <f t="shared" si="353"/>
        <v>46000000</v>
      </c>
      <c r="G217" s="37">
        <f>F219</f>
        <v>28500000</v>
      </c>
      <c r="H217" s="15"/>
      <c r="I217" s="15"/>
      <c r="J217" s="15"/>
      <c r="K217" s="15"/>
      <c r="L217" s="8"/>
      <c r="M217" s="15">
        <f>+C217</f>
        <v>19500000</v>
      </c>
      <c r="N217" s="15">
        <f t="shared" ref="N217:S217" si="354">+M219</f>
        <v>96000000</v>
      </c>
      <c r="O217" s="15">
        <f t="shared" si="354"/>
        <v>67100000</v>
      </c>
      <c r="P217" s="15">
        <f t="shared" si="354"/>
        <v>58100000</v>
      </c>
      <c r="Q217" s="15">
        <f t="shared" si="354"/>
        <v>60400000</v>
      </c>
      <c r="R217" s="15">
        <f t="shared" si="354"/>
        <v>51900000</v>
      </c>
      <c r="S217" s="15">
        <f t="shared" si="354"/>
        <v>46000000</v>
      </c>
      <c r="T217" s="15">
        <f>+S219</f>
        <v>37100000</v>
      </c>
      <c r="U217" s="15">
        <f>+T219</f>
        <v>28500000</v>
      </c>
      <c r="V217" s="15">
        <f>+U219</f>
        <v>20000000</v>
      </c>
      <c r="W217" s="37">
        <f>+V219</f>
        <v>21800000</v>
      </c>
      <c r="X217" s="15"/>
      <c r="Y217" s="15"/>
      <c r="Z217" s="15"/>
      <c r="AA217" s="15"/>
      <c r="AB217" s="15"/>
      <c r="AC217" s="15"/>
      <c r="AD217" s="15"/>
    </row>
    <row r="218" spans="1:30" s="9" customFormat="1" ht="12" customHeight="1" x14ac:dyDescent="0.2">
      <c r="A218" s="90"/>
      <c r="B218" s="14" t="s">
        <v>152</v>
      </c>
      <c r="C218" s="15">
        <v>-2900000</v>
      </c>
      <c r="D218" s="15">
        <v>200000</v>
      </c>
      <c r="E218" s="15">
        <v>700000</v>
      </c>
      <c r="F218" s="15">
        <v>-300000</v>
      </c>
      <c r="G218" s="37">
        <v>600000</v>
      </c>
      <c r="H218" s="15"/>
      <c r="I218" s="15"/>
      <c r="J218" s="15"/>
      <c r="K218" s="15"/>
      <c r="L218" s="8"/>
      <c r="M218" s="15">
        <v>-1300000</v>
      </c>
      <c r="N218" s="15">
        <f t="shared" ref="N218" si="355">+C218-M218</f>
        <v>-1600000</v>
      </c>
      <c r="O218" s="15">
        <v>100000</v>
      </c>
      <c r="P218" s="15">
        <f>+D218-O218</f>
        <v>100000</v>
      </c>
      <c r="Q218" s="15">
        <v>600000</v>
      </c>
      <c r="R218" s="15">
        <f t="shared" si="350"/>
        <v>100000</v>
      </c>
      <c r="S218" s="15">
        <v>300000</v>
      </c>
      <c r="T218" s="15">
        <f t="shared" si="351"/>
        <v>-600000</v>
      </c>
      <c r="U218" s="15">
        <v>200000</v>
      </c>
      <c r="V218" s="15">
        <f t="shared" si="343"/>
        <v>400000</v>
      </c>
      <c r="W218" s="37">
        <v>-700000</v>
      </c>
      <c r="X218" s="15"/>
      <c r="Y218" s="15"/>
      <c r="Z218" s="15"/>
      <c r="AA218" s="15"/>
      <c r="AB218" s="15"/>
      <c r="AC218" s="15"/>
      <c r="AD218" s="15"/>
    </row>
    <row r="219" spans="1:30" s="30" customFormat="1" ht="12" customHeight="1" thickBot="1" x14ac:dyDescent="0.25">
      <c r="A219" s="90"/>
      <c r="B219" s="19" t="s">
        <v>153</v>
      </c>
      <c r="C219" s="20">
        <f>SUM(C216:C218)</f>
        <v>67100000</v>
      </c>
      <c r="D219" s="20">
        <f t="shared" ref="D219:K219" si="356">SUM(D216:D218)</f>
        <v>60400000</v>
      </c>
      <c r="E219" s="20">
        <f t="shared" si="356"/>
        <v>46000000</v>
      </c>
      <c r="F219" s="20">
        <f t="shared" si="356"/>
        <v>28500000</v>
      </c>
      <c r="G219" s="39">
        <f t="shared" si="356"/>
        <v>21800000</v>
      </c>
      <c r="H219" s="20">
        <f t="shared" si="356"/>
        <v>0</v>
      </c>
      <c r="I219" s="20">
        <f t="shared" si="356"/>
        <v>0</v>
      </c>
      <c r="J219" s="20">
        <f t="shared" si="356"/>
        <v>0</v>
      </c>
      <c r="K219" s="20">
        <f t="shared" si="356"/>
        <v>0</v>
      </c>
      <c r="L219" s="8"/>
      <c r="M219" s="20">
        <f t="shared" ref="M219:U219" si="357">SUM(M216:M218)</f>
        <v>96000000</v>
      </c>
      <c r="N219" s="20">
        <f t="shared" si="357"/>
        <v>67100000</v>
      </c>
      <c r="O219" s="20">
        <f t="shared" si="357"/>
        <v>58100000</v>
      </c>
      <c r="P219" s="20">
        <f t="shared" si="357"/>
        <v>60400000</v>
      </c>
      <c r="Q219" s="20">
        <f t="shared" si="357"/>
        <v>51900000</v>
      </c>
      <c r="R219" s="20">
        <f t="shared" si="357"/>
        <v>46000000</v>
      </c>
      <c r="S219" s="20">
        <f t="shared" si="357"/>
        <v>37100000</v>
      </c>
      <c r="T219" s="20">
        <f t="shared" si="357"/>
        <v>28500000</v>
      </c>
      <c r="U219" s="20">
        <f t="shared" si="357"/>
        <v>20000000</v>
      </c>
      <c r="V219" s="20">
        <f t="shared" ref="V219:W219" si="358">SUM(V216:V218)</f>
        <v>21800000</v>
      </c>
      <c r="W219" s="39">
        <f t="shared" si="358"/>
        <v>21900000</v>
      </c>
      <c r="X219" s="20">
        <f t="shared" ref="X219:AD219" si="359">SUM(X216:X218)</f>
        <v>0</v>
      </c>
      <c r="Y219" s="20">
        <f t="shared" si="359"/>
        <v>0</v>
      </c>
      <c r="Z219" s="20">
        <f t="shared" si="359"/>
        <v>0</v>
      </c>
      <c r="AA219" s="20">
        <f t="shared" si="359"/>
        <v>0</v>
      </c>
      <c r="AB219" s="20">
        <f t="shared" si="359"/>
        <v>0</v>
      </c>
      <c r="AC219" s="20">
        <f t="shared" si="359"/>
        <v>0</v>
      </c>
      <c r="AD219" s="20">
        <f t="shared" si="359"/>
        <v>0</v>
      </c>
    </row>
    <row r="220" spans="1:30" s="9" customFormat="1" ht="12" customHeight="1" x14ac:dyDescent="0.25">
      <c r="A220" s="7"/>
      <c r="B220" s="8"/>
      <c r="C220" s="15"/>
      <c r="D220" s="15"/>
      <c r="E220" s="15"/>
      <c r="F220" s="15"/>
      <c r="G220" s="15"/>
      <c r="H220" s="15"/>
      <c r="I220" s="15"/>
      <c r="J220" s="15"/>
      <c r="K220" s="15"/>
      <c r="L220" s="8"/>
      <c r="M220" s="15"/>
      <c r="N220" s="15"/>
      <c r="O220" s="15"/>
      <c r="P220" s="15"/>
      <c r="Q220" s="15"/>
      <c r="R220" s="15"/>
      <c r="S220" s="15"/>
      <c r="T220" s="15"/>
      <c r="U220" s="15"/>
      <c r="V220" s="15"/>
      <c r="W220" s="15"/>
      <c r="X220" s="15"/>
      <c r="Y220" s="15"/>
      <c r="Z220" s="15"/>
      <c r="AA220" s="15"/>
      <c r="AB220" s="15"/>
      <c r="AC220" s="15"/>
      <c r="AD220" s="15"/>
    </row>
    <row r="221" spans="1:30" s="9" customFormat="1" ht="28.5" thickBot="1" x14ac:dyDescent="0.3">
      <c r="A221" s="2"/>
      <c r="B221" s="57" t="s">
        <v>154</v>
      </c>
      <c r="C221" s="58" t="s">
        <v>5</v>
      </c>
      <c r="D221" s="58" t="s">
        <v>6</v>
      </c>
      <c r="E221" s="58" t="s">
        <v>7</v>
      </c>
      <c r="F221" s="58" t="s">
        <v>8</v>
      </c>
      <c r="G221" s="58" t="s">
        <v>9</v>
      </c>
      <c r="H221" s="58" t="s">
        <v>10</v>
      </c>
      <c r="I221" s="58" t="s">
        <v>11</v>
      </c>
      <c r="J221" s="58" t="s">
        <v>12</v>
      </c>
      <c r="K221" s="58" t="s">
        <v>13</v>
      </c>
      <c r="L221" s="59"/>
      <c r="M221" s="58" t="s">
        <v>14</v>
      </c>
      <c r="N221" s="58" t="s">
        <v>15</v>
      </c>
      <c r="O221" s="58" t="s">
        <v>16</v>
      </c>
      <c r="P221" s="58" t="s">
        <v>17</v>
      </c>
      <c r="Q221" s="58" t="s">
        <v>18</v>
      </c>
      <c r="R221" s="58" t="s">
        <v>19</v>
      </c>
      <c r="S221" s="58" t="s">
        <v>64</v>
      </c>
      <c r="T221" s="58" t="s">
        <v>155</v>
      </c>
      <c r="U221" s="58" t="s">
        <v>22</v>
      </c>
      <c r="V221" s="58" t="s">
        <v>182</v>
      </c>
      <c r="W221" s="58" t="s">
        <v>183</v>
      </c>
      <c r="X221" s="58" t="s">
        <v>184</v>
      </c>
      <c r="Y221" s="58" t="s">
        <v>185</v>
      </c>
      <c r="Z221" s="58" t="s">
        <v>186</v>
      </c>
      <c r="AA221" s="58" t="s">
        <v>187</v>
      </c>
      <c r="AB221" s="58" t="s">
        <v>188</v>
      </c>
      <c r="AC221" s="58" t="s">
        <v>189</v>
      </c>
      <c r="AD221" s="58" t="s">
        <v>190</v>
      </c>
    </row>
    <row r="222" spans="1:30" s="9" customFormat="1" ht="12" customHeight="1" thickTop="1" x14ac:dyDescent="0.2">
      <c r="A222" s="90" t="s">
        <v>156</v>
      </c>
      <c r="B222" s="62" t="s">
        <v>157</v>
      </c>
      <c r="C222" s="22">
        <f>+C70</f>
        <v>-57100000</v>
      </c>
      <c r="D222" s="22">
        <f t="shared" ref="D222:G222" si="360">+D70</f>
        <v>-9900000</v>
      </c>
      <c r="E222" s="22">
        <f t="shared" si="360"/>
        <v>-20900000</v>
      </c>
      <c r="F222" s="22">
        <f t="shared" si="360"/>
        <v>-13600000</v>
      </c>
      <c r="G222" s="40">
        <f t="shared" si="360"/>
        <v>-600000</v>
      </c>
      <c r="H222" s="22">
        <f>+ROUND(H70,-5)</f>
        <v>0</v>
      </c>
      <c r="I222" s="22">
        <f>+ROUND(I70,-5)</f>
        <v>0</v>
      </c>
      <c r="J222" s="22">
        <f>+ROUND(J70,-5)</f>
        <v>0</v>
      </c>
      <c r="K222" s="22">
        <f>+ROUND(K70,-5)</f>
        <v>0</v>
      </c>
      <c r="L222" s="8"/>
      <c r="M222" s="22">
        <f t="shared" ref="M222:W222" si="361">+M70</f>
        <v>-43200000</v>
      </c>
      <c r="N222" s="22">
        <f t="shared" si="361"/>
        <v>-13900000</v>
      </c>
      <c r="O222" s="22">
        <f t="shared" si="361"/>
        <v>-2600000</v>
      </c>
      <c r="P222" s="22">
        <f t="shared" si="361"/>
        <v>-7300000</v>
      </c>
      <c r="Q222" s="22">
        <f t="shared" si="361"/>
        <v>-18000000</v>
      </c>
      <c r="R222" s="22">
        <f t="shared" si="361"/>
        <v>-2900000</v>
      </c>
      <c r="S222" s="22">
        <f t="shared" si="361"/>
        <v>-8500000</v>
      </c>
      <c r="T222" s="22">
        <f t="shared" si="361"/>
        <v>-5100000</v>
      </c>
      <c r="U222" s="22">
        <f t="shared" si="361"/>
        <v>-2700000</v>
      </c>
      <c r="V222" s="22">
        <f t="shared" si="361"/>
        <v>2100000</v>
      </c>
      <c r="W222" s="40">
        <f t="shared" si="361"/>
        <v>-1200000</v>
      </c>
      <c r="X222" s="22">
        <f t="shared" ref="X222:AD222" si="362">+ROUND(X70,-5)</f>
        <v>0</v>
      </c>
      <c r="Y222" s="22">
        <f t="shared" si="362"/>
        <v>0</v>
      </c>
      <c r="Z222" s="22">
        <f t="shared" si="362"/>
        <v>0</v>
      </c>
      <c r="AA222" s="22">
        <f t="shared" si="362"/>
        <v>0</v>
      </c>
      <c r="AB222" s="22">
        <f t="shared" si="362"/>
        <v>0</v>
      </c>
      <c r="AC222" s="22">
        <f t="shared" si="362"/>
        <v>0</v>
      </c>
      <c r="AD222" s="22">
        <f t="shared" si="362"/>
        <v>0</v>
      </c>
    </row>
    <row r="223" spans="1:30" s="67" customFormat="1" ht="12" customHeight="1" x14ac:dyDescent="0.2">
      <c r="A223" s="90"/>
      <c r="B223" s="63" t="s">
        <v>158</v>
      </c>
      <c r="C223" s="64"/>
      <c r="D223" s="64"/>
      <c r="E223" s="64"/>
      <c r="F223" s="64"/>
      <c r="G223" s="65"/>
      <c r="H223" s="64"/>
      <c r="I223" s="64"/>
      <c r="J223" s="64"/>
      <c r="K223" s="64"/>
      <c r="L223" s="66"/>
      <c r="M223" s="64"/>
      <c r="N223" s="64"/>
      <c r="O223" s="64"/>
      <c r="P223" s="64"/>
      <c r="Q223" s="64"/>
      <c r="R223" s="64"/>
      <c r="S223" s="64"/>
      <c r="T223" s="64"/>
      <c r="U223" s="64"/>
      <c r="V223" s="64"/>
      <c r="W223" s="65"/>
      <c r="X223" s="64"/>
      <c r="Y223" s="64"/>
      <c r="Z223" s="64"/>
      <c r="AA223" s="64"/>
      <c r="AB223" s="64"/>
      <c r="AC223" s="64"/>
      <c r="AD223" s="64"/>
    </row>
    <row r="224" spans="1:30" s="9" customFormat="1" ht="12" customHeight="1" x14ac:dyDescent="0.2">
      <c r="A224" s="90"/>
      <c r="B224" s="33" t="s">
        <v>159</v>
      </c>
      <c r="C224" s="15">
        <f>-C62</f>
        <v>7300000</v>
      </c>
      <c r="D224" s="15">
        <f t="shared" ref="D224:G224" si="363">-D62</f>
        <v>7800000</v>
      </c>
      <c r="E224" s="15">
        <f t="shared" si="363"/>
        <v>11500000</v>
      </c>
      <c r="F224" s="15">
        <f t="shared" si="363"/>
        <v>13000000</v>
      </c>
      <c r="G224" s="37">
        <f t="shared" si="363"/>
        <v>14000000</v>
      </c>
      <c r="H224" s="15">
        <f t="shared" ref="H224:K225" si="364">-ROUND(H62,-5)</f>
        <v>0</v>
      </c>
      <c r="I224" s="15">
        <f t="shared" si="364"/>
        <v>0</v>
      </c>
      <c r="J224" s="15">
        <f t="shared" si="364"/>
        <v>0</v>
      </c>
      <c r="K224" s="15">
        <f t="shared" si="364"/>
        <v>0</v>
      </c>
      <c r="L224" s="8"/>
      <c r="M224" s="15">
        <f t="shared" ref="M224:W224" si="365">-M62</f>
        <v>3700000</v>
      </c>
      <c r="N224" s="15">
        <f t="shared" si="365"/>
        <v>3600000</v>
      </c>
      <c r="O224" s="15">
        <f t="shared" si="365"/>
        <v>4000000</v>
      </c>
      <c r="P224" s="15">
        <f t="shared" si="365"/>
        <v>3800000</v>
      </c>
      <c r="Q224" s="15">
        <f t="shared" si="365"/>
        <v>5700000</v>
      </c>
      <c r="R224" s="15">
        <f t="shared" si="365"/>
        <v>5800000</v>
      </c>
      <c r="S224" s="15">
        <f t="shared" si="365"/>
        <v>6600000</v>
      </c>
      <c r="T224" s="15">
        <f t="shared" si="365"/>
        <v>6400000</v>
      </c>
      <c r="U224" s="15">
        <f t="shared" si="365"/>
        <v>6700000</v>
      </c>
      <c r="V224" s="15">
        <f t="shared" si="365"/>
        <v>7300000</v>
      </c>
      <c r="W224" s="37">
        <f t="shared" si="365"/>
        <v>7400000</v>
      </c>
      <c r="X224" s="15">
        <f t="shared" ref="X224:AD225" si="366">-ROUND(X62,-5)</f>
        <v>0</v>
      </c>
      <c r="Y224" s="15">
        <f t="shared" si="366"/>
        <v>0</v>
      </c>
      <c r="Z224" s="15">
        <f t="shared" si="366"/>
        <v>0</v>
      </c>
      <c r="AA224" s="15">
        <f t="shared" si="366"/>
        <v>0</v>
      </c>
      <c r="AB224" s="15">
        <f t="shared" si="366"/>
        <v>0</v>
      </c>
      <c r="AC224" s="15">
        <f t="shared" si="366"/>
        <v>0</v>
      </c>
      <c r="AD224" s="15">
        <f t="shared" si="366"/>
        <v>0</v>
      </c>
    </row>
    <row r="225" spans="1:31" s="9" customFormat="1" ht="12" customHeight="1" x14ac:dyDescent="0.2">
      <c r="A225" s="90"/>
      <c r="B225" s="33" t="s">
        <v>47</v>
      </c>
      <c r="C225" s="15">
        <f t="shared" ref="C225:G225" si="367">-C63</f>
        <v>10400000</v>
      </c>
      <c r="D225" s="15">
        <f t="shared" si="367"/>
        <v>6100000</v>
      </c>
      <c r="E225" s="15">
        <f t="shared" si="367"/>
        <v>5700000</v>
      </c>
      <c r="F225" s="15">
        <f t="shared" si="367"/>
        <v>6900000</v>
      </c>
      <c r="G225" s="37">
        <f t="shared" si="367"/>
        <v>5800000</v>
      </c>
      <c r="H225" s="15">
        <f t="shared" si="364"/>
        <v>0</v>
      </c>
      <c r="I225" s="15">
        <f t="shared" si="364"/>
        <v>0</v>
      </c>
      <c r="J225" s="15">
        <f t="shared" si="364"/>
        <v>0</v>
      </c>
      <c r="K225" s="15">
        <f t="shared" si="364"/>
        <v>0</v>
      </c>
      <c r="L225" s="8"/>
      <c r="M225" s="15">
        <f t="shared" ref="M225:W225" si="368">-M63</f>
        <v>4500000</v>
      </c>
      <c r="N225" s="15">
        <f t="shared" si="368"/>
        <v>5900000</v>
      </c>
      <c r="O225" s="15">
        <f t="shared" si="368"/>
        <v>3400000</v>
      </c>
      <c r="P225" s="15">
        <f t="shared" si="368"/>
        <v>2700000</v>
      </c>
      <c r="Q225" s="15">
        <f t="shared" si="368"/>
        <v>2700000</v>
      </c>
      <c r="R225" s="15">
        <f t="shared" si="368"/>
        <v>3000000</v>
      </c>
      <c r="S225" s="15">
        <f t="shared" si="368"/>
        <v>3200000</v>
      </c>
      <c r="T225" s="15">
        <f t="shared" si="368"/>
        <v>3700000</v>
      </c>
      <c r="U225" s="15">
        <f t="shared" si="368"/>
        <v>3000000</v>
      </c>
      <c r="V225" s="15">
        <f t="shared" si="368"/>
        <v>2800000</v>
      </c>
      <c r="W225" s="37">
        <f t="shared" si="368"/>
        <v>2800000</v>
      </c>
      <c r="X225" s="15">
        <f t="shared" si="366"/>
        <v>0</v>
      </c>
      <c r="Y225" s="15">
        <f t="shared" si="366"/>
        <v>0</v>
      </c>
      <c r="Z225" s="15">
        <f t="shared" si="366"/>
        <v>0</v>
      </c>
      <c r="AA225" s="15">
        <f t="shared" si="366"/>
        <v>0</v>
      </c>
      <c r="AB225" s="15">
        <f t="shared" si="366"/>
        <v>0</v>
      </c>
      <c r="AC225" s="15">
        <f t="shared" si="366"/>
        <v>0</v>
      </c>
      <c r="AD225" s="15">
        <f t="shared" si="366"/>
        <v>0</v>
      </c>
    </row>
    <row r="226" spans="1:31" s="9" customFormat="1" ht="12" customHeight="1" x14ac:dyDescent="0.2">
      <c r="A226" s="90"/>
      <c r="B226" s="33" t="s">
        <v>160</v>
      </c>
      <c r="C226" s="15">
        <v>28400000</v>
      </c>
      <c r="D226" s="15">
        <v>700000</v>
      </c>
      <c r="E226" s="15">
        <v>11700000</v>
      </c>
      <c r="F226" s="15">
        <v>3800000</v>
      </c>
      <c r="G226" s="37">
        <v>0</v>
      </c>
      <c r="H226" s="15"/>
      <c r="I226" s="15"/>
      <c r="J226" s="15"/>
      <c r="K226" s="15"/>
      <c r="L226" s="8"/>
      <c r="M226" s="15">
        <v>28500000</v>
      </c>
      <c r="N226" s="15">
        <f>+C226-M226</f>
        <v>-100000</v>
      </c>
      <c r="O226" s="15">
        <v>0</v>
      </c>
      <c r="P226" s="15">
        <f>+D226-O226</f>
        <v>700000</v>
      </c>
      <c r="Q226" s="15">
        <v>10900000</v>
      </c>
      <c r="R226" s="15">
        <f>+E226-Q226</f>
        <v>800000</v>
      </c>
      <c r="S226" s="15">
        <v>1300000</v>
      </c>
      <c r="T226" s="15">
        <f>+F226-S226</f>
        <v>2500000</v>
      </c>
      <c r="U226" s="15">
        <v>0</v>
      </c>
      <c r="V226" s="15">
        <f t="shared" ref="V226:V227" si="369">+G226-U226</f>
        <v>0</v>
      </c>
      <c r="W226" s="37">
        <v>0</v>
      </c>
      <c r="X226" s="15"/>
      <c r="Y226" s="15"/>
      <c r="Z226" s="15"/>
      <c r="AA226" s="15"/>
      <c r="AB226" s="15"/>
      <c r="AC226" s="15"/>
      <c r="AD226" s="15"/>
    </row>
    <row r="227" spans="1:31" s="9" customFormat="1" ht="12" customHeight="1" x14ac:dyDescent="0.2">
      <c r="A227" s="90"/>
      <c r="B227" s="69" t="s">
        <v>161</v>
      </c>
      <c r="C227" s="15">
        <v>0</v>
      </c>
      <c r="D227" s="15">
        <v>0</v>
      </c>
      <c r="E227" s="15">
        <v>0</v>
      </c>
      <c r="F227" s="15">
        <v>-1100000</v>
      </c>
      <c r="G227" s="37">
        <v>0</v>
      </c>
      <c r="H227" s="15"/>
      <c r="I227" s="15"/>
      <c r="J227" s="15"/>
      <c r="K227" s="15"/>
      <c r="L227" s="8"/>
      <c r="M227" s="15">
        <v>100000</v>
      </c>
      <c r="N227" s="15">
        <f>+C227-M227</f>
        <v>-100000</v>
      </c>
      <c r="O227" s="15">
        <v>0</v>
      </c>
      <c r="P227" s="15">
        <f>+D227-O227</f>
        <v>0</v>
      </c>
      <c r="Q227" s="15">
        <v>0</v>
      </c>
      <c r="R227" s="15">
        <f>+E227-Q227</f>
        <v>0</v>
      </c>
      <c r="S227" s="15">
        <v>-800000</v>
      </c>
      <c r="T227" s="15">
        <f>+F227-S227</f>
        <v>-300000</v>
      </c>
      <c r="U227" s="15">
        <v>0</v>
      </c>
      <c r="V227" s="15">
        <f t="shared" si="369"/>
        <v>0</v>
      </c>
      <c r="W227" s="37">
        <v>0</v>
      </c>
      <c r="X227" s="15"/>
      <c r="Y227" s="15"/>
      <c r="Z227" s="15"/>
      <c r="AA227" s="15"/>
      <c r="AB227" s="15"/>
      <c r="AC227" s="15"/>
      <c r="AD227" s="15"/>
    </row>
    <row r="228" spans="1:31" s="9" customFormat="1" ht="12" customHeight="1" x14ac:dyDescent="0.2">
      <c r="A228" s="90"/>
      <c r="B228" s="33" t="s">
        <v>68</v>
      </c>
      <c r="C228" s="15">
        <f>+C88</f>
        <v>500000</v>
      </c>
      <c r="D228" s="15">
        <f t="shared" ref="D228:G228" si="370">+D88</f>
        <v>5200000</v>
      </c>
      <c r="E228" s="15">
        <f t="shared" si="370"/>
        <v>4500000</v>
      </c>
      <c r="F228" s="15">
        <f t="shared" si="370"/>
        <v>3200000</v>
      </c>
      <c r="G228" s="37">
        <f t="shared" si="370"/>
        <v>1800000</v>
      </c>
      <c r="H228" s="15">
        <f>ROUND(H88,-5)</f>
        <v>0</v>
      </c>
      <c r="I228" s="15">
        <f>ROUND(I88,-5)</f>
        <v>0</v>
      </c>
      <c r="J228" s="15">
        <f>ROUND(J88,-5)</f>
        <v>0</v>
      </c>
      <c r="K228" s="15">
        <f>ROUND(K88,-5)</f>
        <v>0</v>
      </c>
      <c r="L228" s="8"/>
      <c r="M228" s="15">
        <f t="shared" ref="M228:W228" si="371">+M88</f>
        <v>-300000</v>
      </c>
      <c r="N228" s="15">
        <f t="shared" si="371"/>
        <v>800000</v>
      </c>
      <c r="O228" s="15">
        <f t="shared" si="371"/>
        <v>3000000</v>
      </c>
      <c r="P228" s="15">
        <f t="shared" si="371"/>
        <v>2200000</v>
      </c>
      <c r="Q228" s="15">
        <f t="shared" si="371"/>
        <v>1900000</v>
      </c>
      <c r="R228" s="15">
        <f t="shared" si="371"/>
        <v>2600000</v>
      </c>
      <c r="S228" s="15">
        <f t="shared" si="371"/>
        <v>2300000</v>
      </c>
      <c r="T228" s="15">
        <f t="shared" si="371"/>
        <v>900000</v>
      </c>
      <c r="U228" s="15">
        <f t="shared" si="371"/>
        <v>1100000</v>
      </c>
      <c r="V228" s="15">
        <f t="shared" si="371"/>
        <v>700000</v>
      </c>
      <c r="W228" s="37">
        <f t="shared" si="371"/>
        <v>600000</v>
      </c>
      <c r="X228" s="15"/>
      <c r="Y228" s="15"/>
      <c r="Z228" s="15"/>
      <c r="AA228" s="15"/>
      <c r="AB228" s="15"/>
      <c r="AC228" s="15"/>
      <c r="AD228" s="15"/>
    </row>
    <row r="229" spans="1:31" s="9" customFormat="1" ht="12" customHeight="1" x14ac:dyDescent="0.2">
      <c r="A229" s="90"/>
      <c r="B229" s="33" t="s">
        <v>162</v>
      </c>
      <c r="C229" s="15">
        <v>-8300000</v>
      </c>
      <c r="D229" s="15">
        <v>-3900000</v>
      </c>
      <c r="E229" s="15">
        <v>-4400000</v>
      </c>
      <c r="F229" s="15">
        <v>-6000000</v>
      </c>
      <c r="G229" s="37">
        <v>100000</v>
      </c>
      <c r="H229" s="15"/>
      <c r="I229" s="15"/>
      <c r="J229" s="15"/>
      <c r="K229" s="15"/>
      <c r="L229" s="8"/>
      <c r="M229" s="15">
        <v>0</v>
      </c>
      <c r="N229" s="15">
        <f>+C229-M229</f>
        <v>-8300000</v>
      </c>
      <c r="O229" s="15">
        <v>-1400000</v>
      </c>
      <c r="P229" s="15">
        <f>+D229-O229</f>
        <v>-2500000</v>
      </c>
      <c r="Q229" s="15">
        <v>-4000000</v>
      </c>
      <c r="R229" s="15">
        <f>+E229-Q229</f>
        <v>-400000</v>
      </c>
      <c r="S229" s="15">
        <v>-3100000</v>
      </c>
      <c r="T229" s="15">
        <f t="shared" ref="T229:T238" si="372">+F229-S229</f>
        <v>-2900000</v>
      </c>
      <c r="U229" s="15">
        <v>-1900000</v>
      </c>
      <c r="V229" s="15">
        <f t="shared" ref="V229:V230" si="373">+G229-U229</f>
        <v>2000000</v>
      </c>
      <c r="W229" s="37">
        <v>-2000000</v>
      </c>
      <c r="X229" s="15"/>
      <c r="Y229" s="15"/>
      <c r="Z229" s="15"/>
      <c r="AA229" s="15"/>
      <c r="AB229" s="15"/>
      <c r="AC229" s="15"/>
      <c r="AD229" s="15"/>
    </row>
    <row r="230" spans="1:31" s="9" customFormat="1" ht="12" customHeight="1" x14ac:dyDescent="0.2">
      <c r="A230" s="90"/>
      <c r="B230" s="33" t="s">
        <v>163</v>
      </c>
      <c r="C230" s="15">
        <v>500000</v>
      </c>
      <c r="D230" s="15">
        <v>0</v>
      </c>
      <c r="E230" s="15">
        <v>200000</v>
      </c>
      <c r="F230" s="15">
        <v>200000</v>
      </c>
      <c r="G230" s="37">
        <v>1100000</v>
      </c>
      <c r="H230" s="15"/>
      <c r="I230" s="15"/>
      <c r="J230" s="15"/>
      <c r="K230" s="15"/>
      <c r="L230" s="8"/>
      <c r="M230" s="15">
        <v>400000</v>
      </c>
      <c r="N230" s="15">
        <f>+C230-M230</f>
        <v>100000</v>
      </c>
      <c r="O230" s="15">
        <v>300000</v>
      </c>
      <c r="P230" s="15">
        <f>+D230-O230</f>
        <v>-300000</v>
      </c>
      <c r="Q230" s="15">
        <v>200000</v>
      </c>
      <c r="R230" s="15">
        <f>+E230-Q230</f>
        <v>0</v>
      </c>
      <c r="S230" s="15">
        <v>800000</v>
      </c>
      <c r="T230" s="15">
        <f t="shared" si="372"/>
        <v>-600000</v>
      </c>
      <c r="U230" s="15">
        <v>300000</v>
      </c>
      <c r="V230" s="15">
        <f t="shared" si="373"/>
        <v>800000</v>
      </c>
      <c r="W230" s="37">
        <v>-300000</v>
      </c>
      <c r="X230" s="15"/>
      <c r="Y230" s="15"/>
      <c r="Z230" s="15"/>
      <c r="AA230" s="15"/>
      <c r="AB230" s="15"/>
      <c r="AC230" s="15"/>
      <c r="AD230" s="15"/>
    </row>
    <row r="231" spans="1:31" s="9" customFormat="1" ht="12" customHeight="1" x14ac:dyDescent="0.2">
      <c r="A231" s="90"/>
      <c r="B231" s="35" t="s">
        <v>164</v>
      </c>
      <c r="C231" s="15">
        <f>-C66</f>
        <v>3000000</v>
      </c>
      <c r="D231" s="15">
        <f t="shared" ref="D231:G231" si="374">-D66</f>
        <v>2000000</v>
      </c>
      <c r="E231" s="15">
        <f t="shared" si="374"/>
        <v>2700000</v>
      </c>
      <c r="F231" s="15">
        <f t="shared" si="374"/>
        <v>0</v>
      </c>
      <c r="G231" s="37">
        <f t="shared" si="374"/>
        <v>0</v>
      </c>
      <c r="H231" s="15">
        <f>-ROUND(H66,-5)</f>
        <v>0</v>
      </c>
      <c r="I231" s="15">
        <f>-ROUND(I66,-5)</f>
        <v>0</v>
      </c>
      <c r="J231" s="15">
        <f>-ROUND(J66,-5)</f>
        <v>0</v>
      </c>
      <c r="K231" s="15">
        <f>-ROUND(K66,-5)</f>
        <v>0</v>
      </c>
      <c r="L231" s="8"/>
      <c r="M231" s="15">
        <f t="shared" ref="M231:W231" si="375">-M66</f>
        <v>1900000</v>
      </c>
      <c r="N231" s="15">
        <f t="shared" si="375"/>
        <v>1100000</v>
      </c>
      <c r="O231" s="15">
        <f t="shared" si="375"/>
        <v>300000</v>
      </c>
      <c r="P231" s="15">
        <f t="shared" si="375"/>
        <v>1700000</v>
      </c>
      <c r="Q231" s="15">
        <f t="shared" si="375"/>
        <v>2700000</v>
      </c>
      <c r="R231" s="15">
        <f t="shared" si="375"/>
        <v>0</v>
      </c>
      <c r="S231" s="15">
        <f t="shared" si="375"/>
        <v>0</v>
      </c>
      <c r="T231" s="15">
        <f t="shared" si="375"/>
        <v>0</v>
      </c>
      <c r="U231" s="15">
        <f t="shared" si="375"/>
        <v>0</v>
      </c>
      <c r="V231" s="15">
        <f t="shared" si="375"/>
        <v>0</v>
      </c>
      <c r="W231" s="37">
        <f t="shared" si="375"/>
        <v>0</v>
      </c>
      <c r="X231" s="15">
        <f t="shared" ref="X231:AD231" si="376">-ROUND(X66,-5)</f>
        <v>0</v>
      </c>
      <c r="Y231" s="15">
        <f t="shared" si="376"/>
        <v>0</v>
      </c>
      <c r="Z231" s="15">
        <f t="shared" si="376"/>
        <v>0</v>
      </c>
      <c r="AA231" s="15">
        <f t="shared" si="376"/>
        <v>0</v>
      </c>
      <c r="AB231" s="15">
        <f t="shared" si="376"/>
        <v>0</v>
      </c>
      <c r="AC231" s="15">
        <f t="shared" si="376"/>
        <v>0</v>
      </c>
      <c r="AD231" s="15">
        <f t="shared" si="376"/>
        <v>0</v>
      </c>
    </row>
    <row r="232" spans="1:31" s="9" customFormat="1" ht="12" customHeight="1" x14ac:dyDescent="0.2">
      <c r="A232" s="90"/>
      <c r="B232" s="33" t="s">
        <v>165</v>
      </c>
      <c r="C232" s="15">
        <v>-800000</v>
      </c>
      <c r="D232" s="15">
        <v>1500000</v>
      </c>
      <c r="E232" s="15">
        <v>-1800000</v>
      </c>
      <c r="F232" s="15">
        <v>-200000</v>
      </c>
      <c r="G232" s="37">
        <v>-100000</v>
      </c>
      <c r="H232" s="15"/>
      <c r="I232" s="15"/>
      <c r="J232" s="15"/>
      <c r="K232" s="15"/>
      <c r="L232" s="8"/>
      <c r="M232" s="15">
        <v>-1400000</v>
      </c>
      <c r="N232" s="15">
        <f>+C232-M232</f>
        <v>600000</v>
      </c>
      <c r="O232" s="15">
        <v>900000</v>
      </c>
      <c r="P232" s="15">
        <f>+D232-O232</f>
        <v>600000</v>
      </c>
      <c r="Q232" s="15">
        <v>200000</v>
      </c>
      <c r="R232" s="15">
        <f>+E232-Q232</f>
        <v>-2000000</v>
      </c>
      <c r="S232" s="15">
        <v>-600000</v>
      </c>
      <c r="T232" s="15">
        <f t="shared" si="372"/>
        <v>400000</v>
      </c>
      <c r="U232" s="15">
        <v>300000</v>
      </c>
      <c r="V232" s="15">
        <f t="shared" ref="V232:V238" si="377">+G232-U232</f>
        <v>-400000</v>
      </c>
      <c r="W232" s="37">
        <v>200000</v>
      </c>
      <c r="X232" s="15"/>
      <c r="Y232" s="15"/>
      <c r="Z232" s="15"/>
      <c r="AA232" s="15"/>
      <c r="AB232" s="15"/>
      <c r="AC232" s="15"/>
      <c r="AD232" s="15"/>
    </row>
    <row r="233" spans="1:31" s="9" customFormat="1" ht="12" hidden="1" customHeight="1" outlineLevel="1" x14ac:dyDescent="0.2">
      <c r="A233" s="90"/>
      <c r="B233" s="33"/>
      <c r="C233" s="15"/>
      <c r="D233" s="15"/>
      <c r="E233" s="15"/>
      <c r="F233" s="15"/>
      <c r="G233" s="37">
        <v>0</v>
      </c>
      <c r="H233" s="15"/>
      <c r="I233" s="15"/>
      <c r="J233" s="15"/>
      <c r="K233" s="15"/>
      <c r="L233" s="8"/>
      <c r="M233" s="15"/>
      <c r="N233" s="15"/>
      <c r="O233" s="15"/>
      <c r="P233" s="15"/>
      <c r="Q233" s="15"/>
      <c r="R233" s="15"/>
      <c r="S233" s="15"/>
      <c r="T233" s="15"/>
      <c r="U233" s="15"/>
      <c r="V233" s="15">
        <f t="shared" si="377"/>
        <v>0</v>
      </c>
      <c r="W233" s="37"/>
      <c r="X233" s="15"/>
      <c r="Y233" s="15"/>
      <c r="Z233" s="15"/>
      <c r="AA233" s="15"/>
      <c r="AB233" s="15"/>
      <c r="AC233" s="15"/>
      <c r="AD233" s="15"/>
    </row>
    <row r="234" spans="1:31" s="9" customFormat="1" ht="12" hidden="1" customHeight="1" outlineLevel="1" x14ac:dyDescent="0.2">
      <c r="A234" s="90"/>
      <c r="B234" s="33"/>
      <c r="C234" s="15"/>
      <c r="D234" s="15"/>
      <c r="E234" s="15"/>
      <c r="F234" s="15"/>
      <c r="G234" s="37">
        <v>0</v>
      </c>
      <c r="H234" s="15"/>
      <c r="I234" s="15"/>
      <c r="J234" s="15"/>
      <c r="K234" s="15"/>
      <c r="L234" s="8"/>
      <c r="M234" s="15"/>
      <c r="N234" s="15"/>
      <c r="O234" s="15"/>
      <c r="P234" s="15"/>
      <c r="Q234" s="15"/>
      <c r="R234" s="15"/>
      <c r="S234" s="15"/>
      <c r="T234" s="15"/>
      <c r="U234" s="15"/>
      <c r="V234" s="15">
        <f t="shared" si="377"/>
        <v>0</v>
      </c>
      <c r="W234" s="37"/>
      <c r="X234" s="15"/>
      <c r="Y234" s="15"/>
      <c r="Z234" s="15"/>
      <c r="AA234" s="15"/>
      <c r="AB234" s="15"/>
      <c r="AC234" s="15"/>
      <c r="AD234" s="15"/>
    </row>
    <row r="235" spans="1:31" s="9" customFormat="1" ht="12" hidden="1" customHeight="1" outlineLevel="1" x14ac:dyDescent="0.2">
      <c r="A235" s="90"/>
      <c r="B235" s="33"/>
      <c r="C235" s="15"/>
      <c r="D235" s="15"/>
      <c r="E235" s="15"/>
      <c r="F235" s="15"/>
      <c r="G235" s="37">
        <v>0</v>
      </c>
      <c r="H235" s="15"/>
      <c r="I235" s="15"/>
      <c r="J235" s="15"/>
      <c r="K235" s="15"/>
      <c r="L235" s="8"/>
      <c r="M235" s="15"/>
      <c r="N235" s="15"/>
      <c r="O235" s="15"/>
      <c r="P235" s="15"/>
      <c r="Q235" s="15"/>
      <c r="R235" s="15"/>
      <c r="S235" s="15"/>
      <c r="T235" s="15"/>
      <c r="U235" s="15"/>
      <c r="V235" s="15">
        <f t="shared" si="377"/>
        <v>0</v>
      </c>
      <c r="W235" s="37"/>
      <c r="X235" s="15"/>
      <c r="Y235" s="15"/>
      <c r="Z235" s="15"/>
      <c r="AA235" s="15"/>
      <c r="AB235" s="15"/>
      <c r="AC235" s="15"/>
      <c r="AD235" s="15"/>
    </row>
    <row r="236" spans="1:31" s="9" customFormat="1" ht="12" customHeight="1" collapsed="1" x14ac:dyDescent="0.2">
      <c r="A236" s="90"/>
      <c r="B236" s="33" t="s">
        <v>166</v>
      </c>
      <c r="C236" s="15">
        <v>6900000</v>
      </c>
      <c r="D236" s="15">
        <v>-3100000</v>
      </c>
      <c r="E236" s="15">
        <v>-1000000</v>
      </c>
      <c r="F236" s="15">
        <v>-2300000</v>
      </c>
      <c r="G236" s="37">
        <v>700000</v>
      </c>
      <c r="H236" s="15"/>
      <c r="I236" s="15"/>
      <c r="J236" s="15"/>
      <c r="K236" s="15"/>
      <c r="L236" s="8"/>
      <c r="M236" s="15">
        <v>5800000</v>
      </c>
      <c r="N236" s="15">
        <f>+C236-M236</f>
        <v>1100000</v>
      </c>
      <c r="O236" s="15">
        <v>-3700000</v>
      </c>
      <c r="P236" s="15">
        <f>+D236-O236</f>
        <v>600000</v>
      </c>
      <c r="Q236" s="15">
        <v>300000</v>
      </c>
      <c r="R236" s="15">
        <f>+E236-Q236</f>
        <v>-1300000</v>
      </c>
      <c r="S236" s="15">
        <v>-1500000</v>
      </c>
      <c r="T236" s="15">
        <f t="shared" si="372"/>
        <v>-800000</v>
      </c>
      <c r="U236" s="15">
        <v>400000</v>
      </c>
      <c r="V236" s="15">
        <f t="shared" si="377"/>
        <v>300000</v>
      </c>
      <c r="W236" s="37">
        <v>-100000</v>
      </c>
      <c r="X236" s="15"/>
      <c r="Y236" s="15"/>
      <c r="Z236" s="15"/>
      <c r="AA236" s="15"/>
      <c r="AB236" s="15"/>
      <c r="AC236" s="15"/>
      <c r="AD236" s="15"/>
    </row>
    <row r="237" spans="1:31" s="9" customFormat="1" ht="12" customHeight="1" x14ac:dyDescent="0.2">
      <c r="A237" s="90"/>
      <c r="B237" s="33" t="s">
        <v>167</v>
      </c>
      <c r="C237" s="15">
        <v>12000000</v>
      </c>
      <c r="D237" s="15">
        <v>-1400000</v>
      </c>
      <c r="E237" s="15">
        <v>-4400000</v>
      </c>
      <c r="F237" s="15">
        <v>-4900000</v>
      </c>
      <c r="G237" s="37">
        <v>-300000</v>
      </c>
      <c r="H237" s="15"/>
      <c r="I237" s="15"/>
      <c r="J237" s="15"/>
      <c r="K237" s="15"/>
      <c r="L237" s="8"/>
      <c r="M237" s="15">
        <v>6000000</v>
      </c>
      <c r="N237" s="15">
        <f>+C237-M237</f>
        <v>6000000</v>
      </c>
      <c r="O237" s="15">
        <v>-900000</v>
      </c>
      <c r="P237" s="15">
        <f>+D237-O237</f>
        <v>-500000</v>
      </c>
      <c r="Q237" s="15">
        <v>-2600000</v>
      </c>
      <c r="R237" s="15">
        <f>+E237-Q237</f>
        <v>-1800000</v>
      </c>
      <c r="S237" s="15">
        <v>-2500000</v>
      </c>
      <c r="T237" s="15">
        <f t="shared" si="372"/>
        <v>-2400000</v>
      </c>
      <c r="U237" s="15">
        <v>-200000</v>
      </c>
      <c r="V237" s="15">
        <f t="shared" si="377"/>
        <v>-100000</v>
      </c>
      <c r="W237" s="37">
        <v>-100000</v>
      </c>
      <c r="X237" s="15"/>
      <c r="Y237" s="15"/>
      <c r="Z237" s="15"/>
      <c r="AA237" s="15"/>
      <c r="AB237" s="15"/>
      <c r="AC237" s="15"/>
      <c r="AD237" s="15"/>
    </row>
    <row r="238" spans="1:31" s="9" customFormat="1" ht="12" customHeight="1" x14ac:dyDescent="0.2">
      <c r="A238" s="90"/>
      <c r="B238" s="33" t="s">
        <v>168</v>
      </c>
      <c r="C238" s="15">
        <v>1900000</v>
      </c>
      <c r="D238" s="15">
        <v>-700000</v>
      </c>
      <c r="E238" s="15">
        <v>-400000</v>
      </c>
      <c r="F238" s="15">
        <v>600000</v>
      </c>
      <c r="G238" s="37">
        <v>0</v>
      </c>
      <c r="H238" s="15"/>
      <c r="I238" s="15"/>
      <c r="J238" s="15"/>
      <c r="K238" s="15"/>
      <c r="L238" s="8"/>
      <c r="M238" s="15">
        <v>1800000</v>
      </c>
      <c r="N238" s="15">
        <f>+C238-M238</f>
        <v>100000</v>
      </c>
      <c r="O238" s="15">
        <v>-200000</v>
      </c>
      <c r="P238" s="15">
        <f>+D238-O238</f>
        <v>-500000</v>
      </c>
      <c r="Q238" s="15">
        <v>-1500000</v>
      </c>
      <c r="R238" s="15">
        <f>+E238-Q238</f>
        <v>1100000</v>
      </c>
      <c r="S238" s="15">
        <v>400000</v>
      </c>
      <c r="T238" s="15">
        <f t="shared" si="372"/>
        <v>200000</v>
      </c>
      <c r="U238" s="15">
        <v>-900000</v>
      </c>
      <c r="V238" s="15">
        <f t="shared" si="377"/>
        <v>900000</v>
      </c>
      <c r="W238" s="37">
        <v>0</v>
      </c>
      <c r="X238" s="15"/>
      <c r="Y238" s="15"/>
      <c r="Z238" s="15"/>
      <c r="AA238" s="15"/>
      <c r="AB238" s="15"/>
      <c r="AC238" s="15"/>
      <c r="AD238" s="15"/>
    </row>
    <row r="239" spans="1:31" s="30" customFormat="1" ht="12" customHeight="1" x14ac:dyDescent="0.2">
      <c r="A239" s="90"/>
      <c r="B239" s="26" t="s">
        <v>169</v>
      </c>
      <c r="C239" s="27">
        <f t="shared" ref="C239:K239" si="378">SUM(C224:C238)</f>
        <v>61800000</v>
      </c>
      <c r="D239" s="27">
        <f t="shared" si="378"/>
        <v>14200000</v>
      </c>
      <c r="E239" s="27">
        <f t="shared" si="378"/>
        <v>24300000</v>
      </c>
      <c r="F239" s="27">
        <f t="shared" si="378"/>
        <v>13200000</v>
      </c>
      <c r="G239" s="41">
        <f t="shared" si="378"/>
        <v>23100000</v>
      </c>
      <c r="H239" s="27">
        <f t="shared" si="378"/>
        <v>0</v>
      </c>
      <c r="I239" s="27">
        <f t="shared" si="378"/>
        <v>0</v>
      </c>
      <c r="J239" s="27">
        <f t="shared" si="378"/>
        <v>0</v>
      </c>
      <c r="K239" s="27">
        <f t="shared" si="378"/>
        <v>0</v>
      </c>
      <c r="L239" s="8"/>
      <c r="M239" s="27">
        <f t="shared" ref="M239:T239" si="379">SUM(M224:M238)</f>
        <v>51000000</v>
      </c>
      <c r="N239" s="27">
        <f t="shared" si="379"/>
        <v>10800000</v>
      </c>
      <c r="O239" s="27">
        <f t="shared" si="379"/>
        <v>5700000</v>
      </c>
      <c r="P239" s="27">
        <f t="shared" si="379"/>
        <v>8500000</v>
      </c>
      <c r="Q239" s="27">
        <f t="shared" si="379"/>
        <v>16500000</v>
      </c>
      <c r="R239" s="27">
        <f t="shared" si="379"/>
        <v>7800000</v>
      </c>
      <c r="S239" s="27">
        <f t="shared" si="379"/>
        <v>6100000</v>
      </c>
      <c r="T239" s="27">
        <f t="shared" si="379"/>
        <v>7100000</v>
      </c>
      <c r="U239" s="27">
        <f t="shared" ref="U239:W239" si="380">SUM(U224:U238)</f>
        <v>8800000</v>
      </c>
      <c r="V239" s="27">
        <f t="shared" si="380"/>
        <v>14300000</v>
      </c>
      <c r="W239" s="41">
        <f t="shared" si="380"/>
        <v>8500000</v>
      </c>
      <c r="X239" s="27">
        <f t="shared" ref="X239:AD239" si="381">SUM(X224:X238)</f>
        <v>0</v>
      </c>
      <c r="Y239" s="27">
        <f t="shared" si="381"/>
        <v>0</v>
      </c>
      <c r="Z239" s="27">
        <f t="shared" si="381"/>
        <v>0</v>
      </c>
      <c r="AA239" s="27">
        <f t="shared" si="381"/>
        <v>0</v>
      </c>
      <c r="AB239" s="27">
        <f t="shared" si="381"/>
        <v>0</v>
      </c>
      <c r="AC239" s="27">
        <f t="shared" si="381"/>
        <v>0</v>
      </c>
      <c r="AD239" s="27">
        <f t="shared" si="381"/>
        <v>0</v>
      </c>
      <c r="AE239" s="9"/>
    </row>
    <row r="240" spans="1:31" s="67" customFormat="1" ht="12" customHeight="1" x14ac:dyDescent="0.2">
      <c r="A240" s="90"/>
      <c r="B240" s="63" t="s">
        <v>170</v>
      </c>
      <c r="C240" s="64"/>
      <c r="D240" s="64"/>
      <c r="E240" s="64"/>
      <c r="F240" s="64"/>
      <c r="G240" s="65"/>
      <c r="H240" s="64"/>
      <c r="I240" s="64"/>
      <c r="J240" s="64"/>
      <c r="K240" s="64"/>
      <c r="L240" s="66"/>
      <c r="M240" s="64"/>
      <c r="N240" s="64"/>
      <c r="O240" s="64"/>
      <c r="P240" s="64"/>
      <c r="Q240" s="64"/>
      <c r="R240" s="64"/>
      <c r="S240" s="64"/>
      <c r="T240" s="64"/>
      <c r="U240" s="64"/>
      <c r="V240" s="64"/>
      <c r="W240" s="65"/>
      <c r="X240" s="64"/>
      <c r="Y240" s="64"/>
      <c r="Z240" s="64"/>
      <c r="AA240" s="64"/>
      <c r="AB240" s="64"/>
      <c r="AC240" s="64"/>
      <c r="AD240" s="64"/>
      <c r="AE240" s="9"/>
    </row>
    <row r="241" spans="1:31" s="9" customFormat="1" ht="12" customHeight="1" x14ac:dyDescent="0.2">
      <c r="A241" s="90"/>
      <c r="B241" s="33" t="s">
        <v>171</v>
      </c>
      <c r="C241" s="15">
        <v>600000</v>
      </c>
      <c r="D241" s="15">
        <v>500000</v>
      </c>
      <c r="E241" s="15">
        <v>-800000</v>
      </c>
      <c r="F241" s="15">
        <v>-400000</v>
      </c>
      <c r="G241" s="37">
        <v>0</v>
      </c>
      <c r="H241" s="15"/>
      <c r="I241" s="15"/>
      <c r="J241" s="15"/>
      <c r="K241" s="15"/>
      <c r="L241" s="8"/>
      <c r="M241" s="15">
        <v>200000</v>
      </c>
      <c r="N241" s="15">
        <f t="shared" ref="N241:N245" si="382">+C241-M241</f>
        <v>400000</v>
      </c>
      <c r="O241" s="15">
        <v>-500000</v>
      </c>
      <c r="P241" s="15">
        <f t="shared" ref="P241:P245" si="383">+D241-O241</f>
        <v>1000000</v>
      </c>
      <c r="Q241" s="15">
        <v>100000</v>
      </c>
      <c r="R241" s="15">
        <f>+E241-Q241</f>
        <v>-900000</v>
      </c>
      <c r="S241" s="15">
        <v>-100000</v>
      </c>
      <c r="T241" s="15">
        <f>+F241-S241</f>
        <v>-300000</v>
      </c>
      <c r="U241" s="15">
        <v>0</v>
      </c>
      <c r="V241" s="15">
        <f t="shared" ref="V241:V245" si="384">+G241-U241</f>
        <v>0</v>
      </c>
      <c r="W241" s="37">
        <v>0</v>
      </c>
      <c r="X241" s="15"/>
      <c r="Y241" s="15"/>
      <c r="Z241" s="15"/>
      <c r="AA241" s="15"/>
      <c r="AB241" s="15"/>
      <c r="AC241" s="15"/>
      <c r="AD241" s="15"/>
    </row>
    <row r="242" spans="1:31" s="9" customFormat="1" ht="12" customHeight="1" x14ac:dyDescent="0.2">
      <c r="A242" s="90"/>
      <c r="B242" s="33" t="s">
        <v>172</v>
      </c>
      <c r="C242" s="15">
        <v>-600000</v>
      </c>
      <c r="D242" s="15">
        <v>1800000</v>
      </c>
      <c r="E242" s="15">
        <v>-1500000</v>
      </c>
      <c r="F242" s="15">
        <v>1400000</v>
      </c>
      <c r="G242" s="37">
        <v>0</v>
      </c>
      <c r="H242" s="15"/>
      <c r="I242" s="15"/>
      <c r="J242" s="15"/>
      <c r="K242" s="15"/>
      <c r="L242" s="8"/>
      <c r="M242" s="15">
        <v>-2100000</v>
      </c>
      <c r="N242" s="15">
        <f t="shared" si="382"/>
        <v>1500000</v>
      </c>
      <c r="O242" s="15">
        <v>-500000</v>
      </c>
      <c r="P242" s="15">
        <f t="shared" si="383"/>
        <v>2300000</v>
      </c>
      <c r="Q242" s="15">
        <v>-1200000</v>
      </c>
      <c r="R242" s="15">
        <f>+E242-Q242</f>
        <v>-300000</v>
      </c>
      <c r="S242" s="15">
        <v>200000</v>
      </c>
      <c r="T242" s="15">
        <f>+F242-S242</f>
        <v>1200000</v>
      </c>
      <c r="U242" s="15">
        <v>0</v>
      </c>
      <c r="V242" s="15">
        <f t="shared" si="384"/>
        <v>0</v>
      </c>
      <c r="W242" s="37">
        <v>0</v>
      </c>
      <c r="X242" s="15"/>
      <c r="Y242" s="15"/>
      <c r="Z242" s="15"/>
      <c r="AA242" s="15"/>
      <c r="AB242" s="15"/>
      <c r="AC242" s="15"/>
      <c r="AD242" s="15"/>
    </row>
    <row r="243" spans="1:31" s="9" customFormat="1" ht="12" customHeight="1" x14ac:dyDescent="0.2">
      <c r="A243" s="90"/>
      <c r="B243" s="33" t="s">
        <v>173</v>
      </c>
      <c r="C243" s="15">
        <v>4900000</v>
      </c>
      <c r="D243" s="15">
        <v>-900000</v>
      </c>
      <c r="E243" s="15">
        <v>8200000</v>
      </c>
      <c r="F243" s="15">
        <v>-2800000</v>
      </c>
      <c r="G243" s="37">
        <v>-1100000</v>
      </c>
      <c r="H243" s="15"/>
      <c r="I243" s="15"/>
      <c r="J243" s="15"/>
      <c r="K243" s="15"/>
      <c r="L243" s="8"/>
      <c r="M243" s="15">
        <v>5500000</v>
      </c>
      <c r="N243" s="15">
        <f t="shared" si="382"/>
        <v>-600000</v>
      </c>
      <c r="O243" s="15">
        <v>-3500000</v>
      </c>
      <c r="P243" s="15">
        <f t="shared" si="383"/>
        <v>2600000</v>
      </c>
      <c r="Q243" s="15">
        <v>-500000</v>
      </c>
      <c r="R243" s="15">
        <f>+E243-Q243</f>
        <v>8700000</v>
      </c>
      <c r="S243" s="15">
        <v>-4400000</v>
      </c>
      <c r="T243" s="15">
        <f>+F243-S243</f>
        <v>1600000</v>
      </c>
      <c r="U243" s="15">
        <v>-8200000</v>
      </c>
      <c r="V243" s="15">
        <f t="shared" si="384"/>
        <v>7100000</v>
      </c>
      <c r="W243" s="37">
        <v>4600000</v>
      </c>
      <c r="X243" s="15"/>
      <c r="Y243" s="15"/>
      <c r="Z243" s="15"/>
      <c r="AA243" s="15"/>
      <c r="AB243" s="15"/>
      <c r="AC243" s="15"/>
      <c r="AD243" s="15"/>
    </row>
    <row r="244" spans="1:31" s="9" customFormat="1" ht="12" customHeight="1" x14ac:dyDescent="0.2">
      <c r="A244" s="90"/>
      <c r="B244" s="33" t="s">
        <v>174</v>
      </c>
      <c r="C244" s="15">
        <v>-6600000</v>
      </c>
      <c r="D244" s="15">
        <v>7200000</v>
      </c>
      <c r="E244" s="15">
        <v>2000000</v>
      </c>
      <c r="F244" s="15">
        <v>10500000</v>
      </c>
      <c r="G244" s="37">
        <v>-5300000</v>
      </c>
      <c r="H244" s="15"/>
      <c r="I244" s="15"/>
      <c r="J244" s="15"/>
      <c r="K244" s="15"/>
      <c r="L244" s="8"/>
      <c r="M244" s="15">
        <v>6800000</v>
      </c>
      <c r="N244" s="15">
        <f t="shared" si="382"/>
        <v>-13400000</v>
      </c>
      <c r="O244" s="15">
        <v>2500000</v>
      </c>
      <c r="P244" s="15">
        <f t="shared" si="383"/>
        <v>4700000</v>
      </c>
      <c r="Q244" s="15">
        <v>6800000</v>
      </c>
      <c r="R244" s="15">
        <f>+E244-Q244</f>
        <v>-4800000</v>
      </c>
      <c r="S244" s="15">
        <v>12300000</v>
      </c>
      <c r="T244" s="15">
        <f>+F244-S244</f>
        <v>-1800000</v>
      </c>
      <c r="U244" s="15">
        <v>4800000</v>
      </c>
      <c r="V244" s="15">
        <f t="shared" si="384"/>
        <v>-10100000</v>
      </c>
      <c r="W244" s="37">
        <v>1700000</v>
      </c>
      <c r="X244" s="15"/>
      <c r="Y244" s="15"/>
      <c r="Z244" s="15"/>
      <c r="AA244" s="15"/>
      <c r="AB244" s="15"/>
      <c r="AC244" s="15"/>
      <c r="AD244" s="15"/>
    </row>
    <row r="245" spans="1:31" s="9" customFormat="1" ht="12" customHeight="1" x14ac:dyDescent="0.25">
      <c r="A245" s="90"/>
      <c r="B245" s="33" t="s">
        <v>175</v>
      </c>
      <c r="C245" s="15">
        <v>0</v>
      </c>
      <c r="D245" s="15">
        <v>-1600000</v>
      </c>
      <c r="E245" s="15">
        <v>1100000</v>
      </c>
      <c r="F245" s="15">
        <v>700000</v>
      </c>
      <c r="G245" s="37">
        <v>700000</v>
      </c>
      <c r="H245" s="15"/>
      <c r="I245" s="15"/>
      <c r="J245" s="15"/>
      <c r="K245" s="15"/>
      <c r="L245" s="8"/>
      <c r="M245" s="15">
        <v>-1500000</v>
      </c>
      <c r="N245" s="15">
        <f t="shared" si="382"/>
        <v>1500000</v>
      </c>
      <c r="O245" s="15">
        <v>-100000</v>
      </c>
      <c r="P245" s="15">
        <f t="shared" si="383"/>
        <v>-1500000</v>
      </c>
      <c r="Q245" s="15">
        <v>1400000</v>
      </c>
      <c r="R245" s="15">
        <f>+E245-Q245</f>
        <v>-300000</v>
      </c>
      <c r="S245" s="15">
        <v>600000</v>
      </c>
      <c r="T245" s="15">
        <f>+F245-S245</f>
        <v>100000</v>
      </c>
      <c r="U245" s="15">
        <v>300000</v>
      </c>
      <c r="V245" s="15">
        <f t="shared" si="384"/>
        <v>400000</v>
      </c>
      <c r="W245" s="37">
        <v>500000</v>
      </c>
      <c r="X245" s="15"/>
      <c r="Y245" s="15"/>
      <c r="Z245" s="15"/>
      <c r="AA245" s="15"/>
      <c r="AB245" s="15"/>
      <c r="AC245" s="15"/>
      <c r="AD245" s="15"/>
      <c r="AE245" s="4"/>
    </row>
    <row r="246" spans="1:31" s="30" customFormat="1" ht="12" customHeight="1" x14ac:dyDescent="0.25">
      <c r="A246" s="90"/>
      <c r="B246" s="36" t="s">
        <v>176</v>
      </c>
      <c r="C246" s="27">
        <f>SUM(C241:C245)</f>
        <v>-1700000</v>
      </c>
      <c r="D246" s="27">
        <f t="shared" ref="D246:T246" si="385">SUM(D241:D245)</f>
        <v>7000000</v>
      </c>
      <c r="E246" s="27">
        <f t="shared" si="385"/>
        <v>9000000</v>
      </c>
      <c r="F246" s="27">
        <f t="shared" si="385"/>
        <v>9400000</v>
      </c>
      <c r="G246" s="41">
        <f t="shared" si="385"/>
        <v>-5700000</v>
      </c>
      <c r="H246" s="27">
        <f t="shared" si="385"/>
        <v>0</v>
      </c>
      <c r="I246" s="27">
        <f t="shared" si="385"/>
        <v>0</v>
      </c>
      <c r="J246" s="27">
        <f t="shared" si="385"/>
        <v>0</v>
      </c>
      <c r="K246" s="27">
        <f t="shared" si="385"/>
        <v>0</v>
      </c>
      <c r="L246" s="8"/>
      <c r="M246" s="27">
        <f t="shared" si="385"/>
        <v>8900000</v>
      </c>
      <c r="N246" s="27">
        <f t="shared" si="385"/>
        <v>-10600000</v>
      </c>
      <c r="O246" s="27">
        <f t="shared" si="385"/>
        <v>-2100000</v>
      </c>
      <c r="P246" s="27">
        <f t="shared" si="385"/>
        <v>9100000</v>
      </c>
      <c r="Q246" s="27">
        <f t="shared" si="385"/>
        <v>6600000</v>
      </c>
      <c r="R246" s="27">
        <f t="shared" si="385"/>
        <v>2400000</v>
      </c>
      <c r="S246" s="27">
        <f t="shared" si="385"/>
        <v>8600000</v>
      </c>
      <c r="T246" s="27">
        <f t="shared" si="385"/>
        <v>800000</v>
      </c>
      <c r="U246" s="27">
        <f t="shared" ref="U246:W246" si="386">SUM(U241:U245)</f>
        <v>-3100000</v>
      </c>
      <c r="V246" s="27">
        <f t="shared" si="386"/>
        <v>-2600000</v>
      </c>
      <c r="W246" s="41">
        <f t="shared" si="386"/>
        <v>6800000</v>
      </c>
      <c r="X246" s="27">
        <f t="shared" ref="X246:AD246" si="387">SUM(X241:X245)</f>
        <v>0</v>
      </c>
      <c r="Y246" s="27">
        <f t="shared" si="387"/>
        <v>0</v>
      </c>
      <c r="Z246" s="27">
        <f t="shared" si="387"/>
        <v>0</v>
      </c>
      <c r="AA246" s="27">
        <f t="shared" si="387"/>
        <v>0</v>
      </c>
      <c r="AB246" s="27">
        <f t="shared" si="387"/>
        <v>0</v>
      </c>
      <c r="AC246" s="27">
        <f t="shared" si="387"/>
        <v>0</v>
      </c>
      <c r="AD246" s="27">
        <f t="shared" si="387"/>
        <v>0</v>
      </c>
      <c r="AE246" s="4"/>
    </row>
    <row r="247" spans="1:31" s="30" customFormat="1" ht="12" customHeight="1" thickBot="1" x14ac:dyDescent="0.3">
      <c r="A247" s="90"/>
      <c r="B247" s="19" t="s">
        <v>177</v>
      </c>
      <c r="C247" s="20">
        <f t="shared" ref="C247:K247" si="388">+C222+C239+C246</f>
        <v>3000000</v>
      </c>
      <c r="D247" s="20">
        <f t="shared" si="388"/>
        <v>11300000</v>
      </c>
      <c r="E247" s="20">
        <f t="shared" si="388"/>
        <v>12400000</v>
      </c>
      <c r="F247" s="20">
        <f t="shared" si="388"/>
        <v>9000000</v>
      </c>
      <c r="G247" s="39">
        <f t="shared" si="388"/>
        <v>16800000</v>
      </c>
      <c r="H247" s="20">
        <f t="shared" si="388"/>
        <v>0</v>
      </c>
      <c r="I247" s="20">
        <f t="shared" si="388"/>
        <v>0</v>
      </c>
      <c r="J247" s="20">
        <f t="shared" si="388"/>
        <v>0</v>
      </c>
      <c r="K247" s="20">
        <f t="shared" si="388"/>
        <v>0</v>
      </c>
      <c r="L247" s="8"/>
      <c r="M247" s="20">
        <f t="shared" ref="M247:T247" si="389">+M222+M239+M246</f>
        <v>16700000</v>
      </c>
      <c r="N247" s="20">
        <f t="shared" si="389"/>
        <v>-13700000</v>
      </c>
      <c r="O247" s="20">
        <f t="shared" si="389"/>
        <v>1000000</v>
      </c>
      <c r="P247" s="20">
        <f t="shared" si="389"/>
        <v>10300000</v>
      </c>
      <c r="Q247" s="20">
        <f t="shared" si="389"/>
        <v>5100000</v>
      </c>
      <c r="R247" s="20">
        <f t="shared" si="389"/>
        <v>7300000</v>
      </c>
      <c r="S247" s="20">
        <f t="shared" si="389"/>
        <v>6200000</v>
      </c>
      <c r="T247" s="20">
        <f t="shared" si="389"/>
        <v>2800000</v>
      </c>
      <c r="U247" s="20">
        <f t="shared" ref="U247:W247" si="390">+U222+U239+U246</f>
        <v>3000000</v>
      </c>
      <c r="V247" s="20">
        <f t="shared" si="390"/>
        <v>13800000</v>
      </c>
      <c r="W247" s="39">
        <f t="shared" si="390"/>
        <v>14100000</v>
      </c>
      <c r="X247" s="20">
        <f t="shared" ref="X247:AD247" si="391">+X222+X239+X246</f>
        <v>0</v>
      </c>
      <c r="Y247" s="20">
        <f t="shared" si="391"/>
        <v>0</v>
      </c>
      <c r="Z247" s="20">
        <f t="shared" si="391"/>
        <v>0</v>
      </c>
      <c r="AA247" s="20">
        <f t="shared" si="391"/>
        <v>0</v>
      </c>
      <c r="AB247" s="20">
        <f t="shared" si="391"/>
        <v>0</v>
      </c>
      <c r="AC247" s="20">
        <f t="shared" si="391"/>
        <v>0</v>
      </c>
      <c r="AD247" s="20">
        <f t="shared" si="391"/>
        <v>0</v>
      </c>
      <c r="AE247" s="4"/>
    </row>
    <row r="248" spans="1:31" s="9" customFormat="1" ht="12" customHeight="1" x14ac:dyDescent="0.25">
      <c r="A248" s="7"/>
      <c r="B248" s="18"/>
      <c r="C248" s="21"/>
      <c r="D248" s="21"/>
      <c r="E248" s="21"/>
      <c r="F248" s="21"/>
      <c r="G248" s="21"/>
      <c r="H248" s="21"/>
      <c r="I248" s="21"/>
      <c r="J248" s="21"/>
      <c r="K248" s="21"/>
      <c r="L248" s="8"/>
      <c r="M248" s="21"/>
      <c r="N248" s="21"/>
      <c r="O248" s="21"/>
      <c r="P248" s="21"/>
      <c r="Q248" s="21"/>
      <c r="R248" s="21"/>
      <c r="S248" s="21"/>
      <c r="T248" s="21"/>
      <c r="U248" s="21"/>
      <c r="V248" s="21"/>
      <c r="W248" s="21"/>
      <c r="X248" s="21"/>
      <c r="Y248" s="21"/>
      <c r="Z248" s="21"/>
      <c r="AA248" s="21"/>
      <c r="AB248" s="21"/>
      <c r="AC248" s="21"/>
      <c r="AD248" s="21"/>
      <c r="AE248" s="4"/>
    </row>
    <row r="249" spans="1:31" s="9" customFormat="1" ht="16.5" customHeight="1" x14ac:dyDescent="0.25">
      <c r="A249" s="2"/>
      <c r="B249" s="79" t="s">
        <v>211</v>
      </c>
      <c r="C249" s="80"/>
      <c r="D249" s="80"/>
      <c r="E249" s="80"/>
      <c r="F249" s="80"/>
      <c r="G249" s="80"/>
      <c r="H249" s="81"/>
      <c r="I249" s="81"/>
      <c r="J249" s="81"/>
      <c r="K249" s="81"/>
      <c r="L249" s="82"/>
      <c r="M249" s="80"/>
      <c r="N249" s="80"/>
      <c r="O249" s="80"/>
      <c r="P249" s="80"/>
      <c r="Q249" s="80"/>
      <c r="R249" s="80"/>
      <c r="S249" s="80"/>
      <c r="T249" s="80"/>
      <c r="U249" s="80"/>
      <c r="V249" s="80"/>
      <c r="W249" s="80"/>
      <c r="X249" s="21"/>
      <c r="Y249" s="21"/>
      <c r="Z249" s="21"/>
      <c r="AA249" s="21"/>
      <c r="AB249" s="21"/>
      <c r="AC249" s="21"/>
      <c r="AD249" s="21"/>
      <c r="AE249" s="4"/>
    </row>
    <row r="250" spans="1:31" s="9" customFormat="1" ht="16.5" customHeight="1" thickBot="1" x14ac:dyDescent="0.3">
      <c r="A250" s="90" t="s">
        <v>211</v>
      </c>
      <c r="B250" s="57" t="s">
        <v>212</v>
      </c>
      <c r="C250" s="58" t="s">
        <v>5</v>
      </c>
      <c r="D250" s="58" t="s">
        <v>6</v>
      </c>
      <c r="E250" s="58" t="s">
        <v>7</v>
      </c>
      <c r="F250" s="58" t="s">
        <v>8</v>
      </c>
      <c r="G250" s="58" t="s">
        <v>9</v>
      </c>
      <c r="H250" s="58" t="s">
        <v>10</v>
      </c>
      <c r="I250" s="58" t="s">
        <v>11</v>
      </c>
      <c r="J250" s="58" t="s">
        <v>12</v>
      </c>
      <c r="K250" s="58" t="s">
        <v>13</v>
      </c>
      <c r="L250" s="59"/>
      <c r="M250" s="58" t="s">
        <v>14</v>
      </c>
      <c r="N250" s="58" t="s">
        <v>15</v>
      </c>
      <c r="O250" s="58" t="s">
        <v>16</v>
      </c>
      <c r="P250" s="58" t="s">
        <v>17</v>
      </c>
      <c r="Q250" s="58" t="s">
        <v>18</v>
      </c>
      <c r="R250" s="58" t="s">
        <v>19</v>
      </c>
      <c r="S250" s="58" t="s">
        <v>20</v>
      </c>
      <c r="T250" s="58" t="s">
        <v>21</v>
      </c>
      <c r="U250" s="58" t="s">
        <v>22</v>
      </c>
      <c r="V250" s="58" t="s">
        <v>182</v>
      </c>
      <c r="W250" s="58" t="s">
        <v>183</v>
      </c>
      <c r="X250" s="21"/>
      <c r="Y250" s="21"/>
      <c r="Z250" s="21"/>
      <c r="AA250" s="21"/>
      <c r="AB250" s="21"/>
      <c r="AC250" s="21"/>
      <c r="AD250" s="21"/>
      <c r="AE250" s="4"/>
    </row>
    <row r="251" spans="1:31" s="9" customFormat="1" ht="12" customHeight="1" thickTop="1" x14ac:dyDescent="0.25">
      <c r="A251" s="90"/>
      <c r="B251" s="14" t="s">
        <v>213</v>
      </c>
      <c r="C251" s="71">
        <f>+M251</f>
        <v>5462</v>
      </c>
      <c r="D251" s="71">
        <f>+C254</f>
        <v>5499</v>
      </c>
      <c r="E251" s="71">
        <f>+D254</f>
        <v>5128</v>
      </c>
      <c r="F251" s="71">
        <f>+E254</f>
        <v>4984</v>
      </c>
      <c r="G251" s="72">
        <f>F254</f>
        <v>4630</v>
      </c>
      <c r="H251" s="71"/>
      <c r="I251" s="71"/>
      <c r="J251" s="71"/>
      <c r="K251" s="71"/>
      <c r="L251" s="8"/>
      <c r="M251" s="71">
        <v>5462</v>
      </c>
      <c r="N251" s="71">
        <f t="shared" ref="N251:T251" si="392">+M254</f>
        <v>5425</v>
      </c>
      <c r="O251" s="71">
        <f t="shared" si="392"/>
        <v>5499</v>
      </c>
      <c r="P251" s="71">
        <f t="shared" si="392"/>
        <v>5125</v>
      </c>
      <c r="Q251" s="71">
        <f t="shared" si="392"/>
        <v>5128</v>
      </c>
      <c r="R251" s="71">
        <f t="shared" si="392"/>
        <v>5058</v>
      </c>
      <c r="S251" s="71">
        <f t="shared" si="392"/>
        <v>4984</v>
      </c>
      <c r="T251" s="71">
        <f t="shared" si="392"/>
        <v>4984</v>
      </c>
      <c r="U251" s="71">
        <f>+T254</f>
        <v>4630</v>
      </c>
      <c r="V251" s="71">
        <f t="shared" ref="V251:W251" si="393">+U254</f>
        <v>4631</v>
      </c>
      <c r="W251" s="72">
        <f t="shared" si="393"/>
        <v>4618</v>
      </c>
      <c r="X251" s="21"/>
      <c r="Y251" s="21"/>
      <c r="Z251" s="21"/>
      <c r="AA251" s="21"/>
      <c r="AB251" s="21"/>
      <c r="AC251" s="21"/>
      <c r="AD251" s="21"/>
      <c r="AE251" s="4"/>
    </row>
    <row r="252" spans="1:31" s="9" customFormat="1" ht="12" customHeight="1" x14ac:dyDescent="0.25">
      <c r="A252" s="90"/>
      <c r="B252" s="14" t="s">
        <v>214</v>
      </c>
      <c r="C252" s="71">
        <f>+M252+N252</f>
        <v>216</v>
      </c>
      <c r="D252" s="71">
        <f>+O252+P252</f>
        <v>94</v>
      </c>
      <c r="E252" s="71">
        <f>+Q252+R252</f>
        <v>185</v>
      </c>
      <c r="F252" s="71">
        <f>+S252+T252</f>
        <v>151</v>
      </c>
      <c r="G252" s="72">
        <f>U252+V252</f>
        <v>77</v>
      </c>
      <c r="H252" s="71"/>
      <c r="I252" s="71"/>
      <c r="J252" s="71"/>
      <c r="K252" s="71"/>
      <c r="L252" s="8"/>
      <c r="M252" s="71">
        <v>42</v>
      </c>
      <c r="N252" s="71">
        <v>174</v>
      </c>
      <c r="O252" s="71">
        <v>40</v>
      </c>
      <c r="P252" s="71">
        <v>54</v>
      </c>
      <c r="Q252" s="71">
        <v>46</v>
      </c>
      <c r="R252" s="71">
        <v>139</v>
      </c>
      <c r="S252" s="71">
        <v>62</v>
      </c>
      <c r="T252" s="71">
        <v>89</v>
      </c>
      <c r="U252" s="71">
        <v>50</v>
      </c>
      <c r="V252" s="71">
        <v>27</v>
      </c>
      <c r="W252" s="72">
        <v>148</v>
      </c>
      <c r="X252" s="21"/>
      <c r="Y252" s="21"/>
      <c r="Z252" s="21"/>
      <c r="AA252" s="21"/>
      <c r="AB252" s="21"/>
      <c r="AC252" s="21"/>
      <c r="AD252" s="21"/>
      <c r="AE252" s="4"/>
    </row>
    <row r="253" spans="1:31" s="9" customFormat="1" ht="12" customHeight="1" x14ac:dyDescent="0.25">
      <c r="A253" s="90"/>
      <c r="B253" s="14" t="s">
        <v>215</v>
      </c>
      <c r="C253" s="71">
        <f>+M253+N253</f>
        <v>-179</v>
      </c>
      <c r="D253" s="71">
        <f>+O253+P253</f>
        <v>-465</v>
      </c>
      <c r="E253" s="71">
        <f>+Q253+R253</f>
        <v>-329</v>
      </c>
      <c r="F253" s="71">
        <f>+S253+T253</f>
        <v>-505</v>
      </c>
      <c r="G253" s="72">
        <f>U253+V253</f>
        <v>-89</v>
      </c>
      <c r="H253" s="71"/>
      <c r="I253" s="71"/>
      <c r="J253" s="71"/>
      <c r="K253" s="71"/>
      <c r="L253" s="8"/>
      <c r="M253" s="71">
        <v>-79</v>
      </c>
      <c r="N253" s="71">
        <v>-100</v>
      </c>
      <c r="O253" s="71">
        <v>-414</v>
      </c>
      <c r="P253" s="71">
        <v>-51</v>
      </c>
      <c r="Q253" s="71">
        <v>-116</v>
      </c>
      <c r="R253" s="71">
        <v>-213</v>
      </c>
      <c r="S253" s="71">
        <v>-62</v>
      </c>
      <c r="T253" s="71">
        <v>-443</v>
      </c>
      <c r="U253" s="71">
        <v>-49</v>
      </c>
      <c r="V253" s="71">
        <v>-40</v>
      </c>
      <c r="W253" s="72">
        <v>-303</v>
      </c>
      <c r="X253" s="21"/>
      <c r="Y253" s="21"/>
      <c r="Z253" s="21"/>
      <c r="AA253" s="21"/>
      <c r="AB253" s="21"/>
      <c r="AC253" s="21"/>
      <c r="AD253" s="21"/>
      <c r="AE253" s="4"/>
    </row>
    <row r="254" spans="1:31" s="9" customFormat="1" ht="12" customHeight="1" thickBot="1" x14ac:dyDescent="0.3">
      <c r="A254" s="90"/>
      <c r="B254" s="19" t="s">
        <v>216</v>
      </c>
      <c r="C254" s="73">
        <f t="shared" ref="C254:K254" si="394">SUM(C251:C253)</f>
        <v>5499</v>
      </c>
      <c r="D254" s="73">
        <f t="shared" si="394"/>
        <v>5128</v>
      </c>
      <c r="E254" s="73">
        <f t="shared" si="394"/>
        <v>4984</v>
      </c>
      <c r="F254" s="73">
        <f t="shared" si="394"/>
        <v>4630</v>
      </c>
      <c r="G254" s="74">
        <f t="shared" si="394"/>
        <v>4618</v>
      </c>
      <c r="H254" s="73">
        <f t="shared" si="394"/>
        <v>0</v>
      </c>
      <c r="I254" s="73">
        <f t="shared" si="394"/>
        <v>0</v>
      </c>
      <c r="J254" s="73">
        <f t="shared" si="394"/>
        <v>0</v>
      </c>
      <c r="K254" s="73">
        <f t="shared" si="394"/>
        <v>0</v>
      </c>
      <c r="L254" s="8"/>
      <c r="M254" s="73">
        <f t="shared" ref="M254:W254" si="395">SUM(M251:M253)</f>
        <v>5425</v>
      </c>
      <c r="N254" s="73">
        <f t="shared" si="395"/>
        <v>5499</v>
      </c>
      <c r="O254" s="73">
        <f t="shared" si="395"/>
        <v>5125</v>
      </c>
      <c r="P254" s="73">
        <f t="shared" si="395"/>
        <v>5128</v>
      </c>
      <c r="Q254" s="73">
        <f t="shared" si="395"/>
        <v>5058</v>
      </c>
      <c r="R254" s="73">
        <f t="shared" si="395"/>
        <v>4984</v>
      </c>
      <c r="S254" s="73">
        <f t="shared" si="395"/>
        <v>4984</v>
      </c>
      <c r="T254" s="73">
        <f t="shared" si="395"/>
        <v>4630</v>
      </c>
      <c r="U254" s="73">
        <f t="shared" si="395"/>
        <v>4631</v>
      </c>
      <c r="V254" s="73">
        <f t="shared" si="395"/>
        <v>4618</v>
      </c>
      <c r="W254" s="74">
        <f t="shared" si="395"/>
        <v>4463</v>
      </c>
      <c r="X254" s="21"/>
      <c r="Y254" s="21"/>
      <c r="Z254" s="21"/>
      <c r="AA254" s="21"/>
      <c r="AB254" s="21"/>
      <c r="AC254" s="21"/>
      <c r="AD254" s="21"/>
      <c r="AE254" s="4"/>
    </row>
    <row r="255" spans="1:31" s="9" customFormat="1" ht="12" customHeight="1" x14ac:dyDescent="0.25">
      <c r="A255" s="90"/>
      <c r="B255" s="25"/>
      <c r="C255" s="75"/>
      <c r="D255" s="75"/>
      <c r="E255" s="75"/>
      <c r="F255" s="75"/>
      <c r="G255" s="75"/>
      <c r="H255" s="76"/>
      <c r="I255" s="76"/>
      <c r="J255" s="76"/>
      <c r="K255" s="76"/>
      <c r="L255" s="8"/>
      <c r="M255" s="75"/>
      <c r="N255" s="75"/>
      <c r="O255" s="75"/>
      <c r="P255" s="75"/>
      <c r="Q255" s="75"/>
      <c r="R255" s="75"/>
      <c r="S255" s="75"/>
      <c r="T255" s="75"/>
      <c r="U255" s="75"/>
      <c r="V255" s="75"/>
      <c r="W255" s="75"/>
      <c r="X255" s="21"/>
      <c r="Y255" s="21"/>
      <c r="Z255" s="21"/>
      <c r="AA255" s="21"/>
      <c r="AB255" s="21"/>
      <c r="AC255" s="21"/>
      <c r="AD255" s="21"/>
      <c r="AE255" s="4"/>
    </row>
    <row r="256" spans="1:31" s="9" customFormat="1" ht="28.5" thickBot="1" x14ac:dyDescent="0.3">
      <c r="A256" s="90"/>
      <c r="B256" s="57" t="s">
        <v>217</v>
      </c>
      <c r="C256" s="83" t="s">
        <v>224</v>
      </c>
      <c r="D256" s="86" t="s">
        <v>6</v>
      </c>
      <c r="E256" s="86" t="s">
        <v>7</v>
      </c>
      <c r="F256" s="86" t="s">
        <v>8</v>
      </c>
      <c r="G256" s="86" t="s">
        <v>9</v>
      </c>
      <c r="H256" s="84"/>
      <c r="I256" s="84"/>
      <c r="J256" s="84"/>
      <c r="K256" s="84"/>
      <c r="L256" s="85"/>
      <c r="M256" s="83" t="s">
        <v>225</v>
      </c>
      <c r="N256" s="83" t="s">
        <v>226</v>
      </c>
      <c r="O256" s="86" t="s">
        <v>16</v>
      </c>
      <c r="P256" s="86" t="s">
        <v>17</v>
      </c>
      <c r="Q256" s="86" t="s">
        <v>18</v>
      </c>
      <c r="R256" s="86" t="s">
        <v>19</v>
      </c>
      <c r="S256" s="86" t="s">
        <v>20</v>
      </c>
      <c r="T256" s="86" t="s">
        <v>21</v>
      </c>
      <c r="U256" s="86" t="s">
        <v>22</v>
      </c>
      <c r="V256" s="86" t="s">
        <v>182</v>
      </c>
      <c r="W256" s="87" t="s">
        <v>183</v>
      </c>
      <c r="X256" s="21"/>
      <c r="Y256" s="21"/>
      <c r="Z256" s="21"/>
      <c r="AA256" s="21"/>
      <c r="AB256" s="21"/>
      <c r="AC256" s="21"/>
      <c r="AD256" s="21"/>
      <c r="AE256" s="4"/>
    </row>
    <row r="257" spans="1:31" s="9" customFormat="1" ht="12" customHeight="1" thickTop="1" x14ac:dyDescent="0.25">
      <c r="A257" s="90"/>
      <c r="B257" s="14" t="s">
        <v>218</v>
      </c>
      <c r="C257" s="71">
        <f>+M257</f>
        <v>678</v>
      </c>
      <c r="D257" s="71">
        <f>+C260</f>
        <v>739</v>
      </c>
      <c r="E257" s="71">
        <f>+D260</f>
        <v>933</v>
      </c>
      <c r="F257" s="71">
        <f>+E260</f>
        <v>956</v>
      </c>
      <c r="G257" s="72">
        <f>F260</f>
        <v>1008</v>
      </c>
      <c r="H257" s="71"/>
      <c r="I257" s="71"/>
      <c r="J257" s="71"/>
      <c r="K257" s="71"/>
      <c r="L257" s="8"/>
      <c r="M257" s="71">
        <v>678</v>
      </c>
      <c r="N257" s="71">
        <f>+M260</f>
        <v>709</v>
      </c>
      <c r="O257" s="71">
        <f>+N260</f>
        <v>739</v>
      </c>
      <c r="P257" s="71">
        <f t="shared" ref="P257:W257" si="396">+O260</f>
        <v>852</v>
      </c>
      <c r="Q257" s="71">
        <f t="shared" si="396"/>
        <v>933</v>
      </c>
      <c r="R257" s="71">
        <f t="shared" si="396"/>
        <v>974</v>
      </c>
      <c r="S257" s="71">
        <f t="shared" si="396"/>
        <v>956</v>
      </c>
      <c r="T257" s="71">
        <f t="shared" si="396"/>
        <v>975</v>
      </c>
      <c r="U257" s="71">
        <f t="shared" si="396"/>
        <v>1008</v>
      </c>
      <c r="V257" s="71">
        <f t="shared" si="396"/>
        <v>987</v>
      </c>
      <c r="W257" s="72">
        <f t="shared" si="396"/>
        <v>961</v>
      </c>
      <c r="X257" s="21"/>
      <c r="Y257" s="21"/>
      <c r="Z257" s="21"/>
      <c r="AA257" s="21"/>
      <c r="AB257" s="21"/>
      <c r="AC257" s="21"/>
      <c r="AD257" s="21"/>
      <c r="AE257" s="4"/>
    </row>
    <row r="258" spans="1:31" s="9" customFormat="1" ht="12" customHeight="1" x14ac:dyDescent="0.25">
      <c r="A258" s="90"/>
      <c r="B258" s="14" t="s">
        <v>219</v>
      </c>
      <c r="C258" s="71">
        <f>+M258+N258</f>
        <v>214</v>
      </c>
      <c r="D258" s="71">
        <f>+O258+P258</f>
        <v>194</v>
      </c>
      <c r="E258" s="71">
        <f>+Q258+R258</f>
        <v>96</v>
      </c>
      <c r="F258" s="71">
        <f>+S258+T258</f>
        <v>52</v>
      </c>
      <c r="G258" s="72">
        <f>U258+V258</f>
        <v>92</v>
      </c>
      <c r="H258" s="71"/>
      <c r="I258" s="71"/>
      <c r="J258" s="71"/>
      <c r="K258" s="71"/>
      <c r="L258" s="8"/>
      <c r="M258" s="71">
        <v>95</v>
      </c>
      <c r="N258" s="71">
        <v>119</v>
      </c>
      <c r="O258" s="71">
        <v>113</v>
      </c>
      <c r="P258" s="71">
        <v>81</v>
      </c>
      <c r="Q258" s="71">
        <v>41</v>
      </c>
      <c r="R258" s="71">
        <v>55</v>
      </c>
      <c r="S258" s="71">
        <v>19</v>
      </c>
      <c r="T258" s="71">
        <v>33</v>
      </c>
      <c r="U258" s="71">
        <v>48</v>
      </c>
      <c r="V258" s="71">
        <v>44</v>
      </c>
      <c r="W258" s="72">
        <v>46</v>
      </c>
      <c r="X258" s="21"/>
      <c r="Y258" s="21"/>
      <c r="Z258" s="21"/>
      <c r="AA258" s="21"/>
      <c r="AB258" s="21"/>
      <c r="AC258" s="21"/>
      <c r="AD258" s="21"/>
      <c r="AE258" s="4"/>
    </row>
    <row r="259" spans="1:31" s="9" customFormat="1" ht="12" customHeight="1" x14ac:dyDescent="0.25">
      <c r="A259" s="90"/>
      <c r="B259" s="14" t="s">
        <v>220</v>
      </c>
      <c r="C259" s="71">
        <f>+M259+N259</f>
        <v>-153</v>
      </c>
      <c r="D259" s="71">
        <f>+O259+P259</f>
        <v>0</v>
      </c>
      <c r="E259" s="71">
        <f>+Q259+R259</f>
        <v>-73</v>
      </c>
      <c r="F259" s="71">
        <f>+S259+T259</f>
        <v>0</v>
      </c>
      <c r="G259" s="72">
        <f>U259+V259</f>
        <v>-139</v>
      </c>
      <c r="H259" s="71"/>
      <c r="I259" s="71"/>
      <c r="J259" s="71"/>
      <c r="K259" s="71"/>
      <c r="L259" s="8"/>
      <c r="M259" s="71">
        <v>-64</v>
      </c>
      <c r="N259" s="71">
        <v>-89</v>
      </c>
      <c r="O259" s="71">
        <v>0</v>
      </c>
      <c r="P259" s="71">
        <v>0</v>
      </c>
      <c r="Q259" s="71">
        <v>0</v>
      </c>
      <c r="R259" s="71">
        <v>-73</v>
      </c>
      <c r="S259" s="71">
        <v>0</v>
      </c>
      <c r="T259" s="71">
        <v>0</v>
      </c>
      <c r="U259" s="71">
        <v>-69</v>
      </c>
      <c r="V259" s="71">
        <v>-70</v>
      </c>
      <c r="W259" s="72">
        <v>-45</v>
      </c>
      <c r="X259" s="21"/>
      <c r="Y259" s="21"/>
      <c r="Z259" s="21"/>
      <c r="AA259" s="21"/>
      <c r="AB259" s="21"/>
      <c r="AC259" s="21"/>
      <c r="AD259" s="21"/>
      <c r="AE259" s="4"/>
    </row>
    <row r="260" spans="1:31" s="9" customFormat="1" ht="12" customHeight="1" thickBot="1" x14ac:dyDescent="0.3">
      <c r="A260" s="90"/>
      <c r="B260" s="19" t="s">
        <v>221</v>
      </c>
      <c r="C260" s="73">
        <f t="shared" ref="C260" si="397">SUM(C257:C259)</f>
        <v>739</v>
      </c>
      <c r="D260" s="73">
        <f t="shared" ref="D260:K260" si="398">SUM(D257:D259)</f>
        <v>933</v>
      </c>
      <c r="E260" s="73">
        <f t="shared" si="398"/>
        <v>956</v>
      </c>
      <c r="F260" s="73">
        <f t="shared" si="398"/>
        <v>1008</v>
      </c>
      <c r="G260" s="74">
        <f t="shared" si="398"/>
        <v>961</v>
      </c>
      <c r="H260" s="73">
        <f t="shared" si="398"/>
        <v>0</v>
      </c>
      <c r="I260" s="73">
        <f t="shared" si="398"/>
        <v>0</v>
      </c>
      <c r="J260" s="73">
        <f t="shared" si="398"/>
        <v>0</v>
      </c>
      <c r="K260" s="73">
        <f t="shared" si="398"/>
        <v>0</v>
      </c>
      <c r="L260" s="8"/>
      <c r="M260" s="73">
        <f t="shared" ref="M260:R260" si="399">SUM(M257:M259)</f>
        <v>709</v>
      </c>
      <c r="N260" s="73">
        <f t="shared" si="399"/>
        <v>739</v>
      </c>
      <c r="O260" s="73">
        <f t="shared" si="399"/>
        <v>852</v>
      </c>
      <c r="P260" s="73">
        <f t="shared" si="399"/>
        <v>933</v>
      </c>
      <c r="Q260" s="73">
        <f t="shared" si="399"/>
        <v>974</v>
      </c>
      <c r="R260" s="73">
        <f t="shared" si="399"/>
        <v>956</v>
      </c>
      <c r="S260" s="73">
        <f>SUM(S257:S259)</f>
        <v>975</v>
      </c>
      <c r="T260" s="73">
        <f>SUM(T257:T259)</f>
        <v>1008</v>
      </c>
      <c r="U260" s="73">
        <f>SUM(U257:U259)</f>
        <v>987</v>
      </c>
      <c r="V260" s="73">
        <f t="shared" ref="V260:W260" si="400">SUM(V257:V259)</f>
        <v>961</v>
      </c>
      <c r="W260" s="74">
        <f t="shared" si="400"/>
        <v>962</v>
      </c>
      <c r="X260" s="21"/>
      <c r="Y260" s="21"/>
      <c r="Z260" s="21"/>
      <c r="AA260" s="21"/>
      <c r="AB260" s="21"/>
      <c r="AC260" s="21"/>
      <c r="AD260" s="21"/>
      <c r="AE260" s="4"/>
    </row>
    <row r="261" spans="1:31" s="9" customFormat="1" ht="12" customHeight="1" x14ac:dyDescent="0.25">
      <c r="A261" s="90"/>
      <c r="B261" s="3"/>
      <c r="C261" s="3"/>
      <c r="D261" s="3"/>
      <c r="E261" s="3"/>
      <c r="F261" s="3"/>
      <c r="G261" s="3"/>
      <c r="H261" s="3"/>
      <c r="I261" s="3"/>
      <c r="J261" s="3"/>
      <c r="K261" s="3"/>
      <c r="L261" s="3"/>
      <c r="M261" s="3"/>
      <c r="N261" s="3"/>
      <c r="O261" s="3"/>
      <c r="P261" s="3"/>
      <c r="Q261" s="3"/>
      <c r="R261" s="3"/>
      <c r="S261" s="3"/>
      <c r="T261" s="3"/>
      <c r="U261" s="3"/>
      <c r="V261" s="3"/>
      <c r="W261" s="3"/>
      <c r="X261" s="21"/>
      <c r="Y261" s="21"/>
      <c r="Z261" s="21"/>
      <c r="AA261" s="21"/>
      <c r="AB261" s="21"/>
      <c r="AC261" s="21"/>
      <c r="AD261" s="21"/>
      <c r="AE261" s="4"/>
    </row>
    <row r="262" spans="1:31" s="9" customFormat="1" ht="16.5" customHeight="1" thickBot="1" x14ac:dyDescent="0.3">
      <c r="A262" s="90"/>
      <c r="B262" s="57" t="s">
        <v>222</v>
      </c>
      <c r="C262" s="58" t="s">
        <v>5</v>
      </c>
      <c r="D262" s="58" t="s">
        <v>6</v>
      </c>
      <c r="E262" s="58" t="s">
        <v>7</v>
      </c>
      <c r="F262" s="58" t="s">
        <v>8</v>
      </c>
      <c r="G262" s="58" t="s">
        <v>9</v>
      </c>
      <c r="H262" s="58" t="s">
        <v>10</v>
      </c>
      <c r="I262" s="58" t="s">
        <v>11</v>
      </c>
      <c r="J262" s="58" t="s">
        <v>12</v>
      </c>
      <c r="K262" s="58" t="s">
        <v>13</v>
      </c>
      <c r="L262" s="59"/>
      <c r="M262" s="58" t="s">
        <v>14</v>
      </c>
      <c r="N262" s="58" t="s">
        <v>15</v>
      </c>
      <c r="O262" s="58" t="s">
        <v>16</v>
      </c>
      <c r="P262" s="58" t="s">
        <v>17</v>
      </c>
      <c r="Q262" s="58" t="s">
        <v>18</v>
      </c>
      <c r="R262" s="58" t="s">
        <v>19</v>
      </c>
      <c r="S262" s="58" t="s">
        <v>20</v>
      </c>
      <c r="T262" s="58" t="s">
        <v>21</v>
      </c>
      <c r="U262" s="58" t="s">
        <v>22</v>
      </c>
      <c r="V262" s="58" t="s">
        <v>182</v>
      </c>
      <c r="W262" s="58" t="s">
        <v>183</v>
      </c>
      <c r="X262" s="21"/>
      <c r="Y262" s="21"/>
      <c r="Z262" s="21"/>
      <c r="AA262" s="21"/>
      <c r="AB262" s="21"/>
      <c r="AC262" s="21"/>
      <c r="AD262" s="21"/>
      <c r="AE262" s="4"/>
    </row>
    <row r="263" spans="1:31" s="9" customFormat="1" ht="12" customHeight="1" thickTop="1" x14ac:dyDescent="0.25">
      <c r="A263" s="90"/>
      <c r="B263" s="14" t="s">
        <v>223</v>
      </c>
      <c r="C263" s="71"/>
      <c r="D263" s="71"/>
      <c r="E263" s="71"/>
      <c r="F263" s="71">
        <f>T263</f>
        <v>44</v>
      </c>
      <c r="G263" s="72">
        <f>V263</f>
        <v>358</v>
      </c>
      <c r="H263" s="71"/>
      <c r="I263" s="71"/>
      <c r="J263" s="71"/>
      <c r="K263" s="71"/>
      <c r="L263" s="8"/>
      <c r="M263" s="71"/>
      <c r="N263" s="71"/>
      <c r="O263" s="71"/>
      <c r="P263" s="71"/>
      <c r="Q263" s="71"/>
      <c r="R263" s="71"/>
      <c r="S263" s="71"/>
      <c r="T263" s="71">
        <v>44</v>
      </c>
      <c r="U263" s="71">
        <v>59</v>
      </c>
      <c r="V263" s="71">
        <v>358</v>
      </c>
      <c r="W263" s="72">
        <v>424</v>
      </c>
      <c r="X263" s="21"/>
      <c r="Y263" s="21"/>
      <c r="Z263" s="21"/>
      <c r="AA263" s="21"/>
      <c r="AB263" s="21"/>
      <c r="AC263" s="21"/>
      <c r="AD263" s="21"/>
      <c r="AE263" s="4"/>
    </row>
    <row r="264" spans="1:31" s="9" customFormat="1" ht="12" customHeight="1" x14ac:dyDescent="0.25">
      <c r="A264" s="90"/>
      <c r="B264" s="14" t="s">
        <v>228</v>
      </c>
      <c r="C264" s="71"/>
      <c r="D264" s="71"/>
      <c r="E264" s="71"/>
      <c r="F264" s="71">
        <f>T264</f>
        <v>77</v>
      </c>
      <c r="G264" s="72">
        <f>V264</f>
        <v>325</v>
      </c>
      <c r="H264" s="71"/>
      <c r="I264" s="71"/>
      <c r="J264" s="71"/>
      <c r="K264" s="71"/>
      <c r="L264" s="8"/>
      <c r="M264" s="71"/>
      <c r="N264" s="71"/>
      <c r="O264" s="71"/>
      <c r="P264" s="71"/>
      <c r="Q264" s="71"/>
      <c r="R264" s="71"/>
      <c r="S264" s="71"/>
      <c r="T264" s="71">
        <v>77</v>
      </c>
      <c r="U264" s="71">
        <v>107</v>
      </c>
      <c r="V264" s="71">
        <v>325</v>
      </c>
      <c r="W264" s="72">
        <v>323</v>
      </c>
      <c r="X264" s="21"/>
      <c r="Y264" s="21"/>
      <c r="Z264" s="21"/>
      <c r="AA264" s="21"/>
      <c r="AB264" s="21"/>
      <c r="AC264" s="21"/>
      <c r="AD264" s="21"/>
      <c r="AE264" s="4"/>
    </row>
    <row r="265" spans="1:31" s="9" customFormat="1" ht="12" customHeight="1" thickBot="1" x14ac:dyDescent="0.3">
      <c r="A265" s="90"/>
      <c r="B265" s="19" t="s">
        <v>229</v>
      </c>
      <c r="C265" s="73"/>
      <c r="D265" s="73"/>
      <c r="E265" s="73"/>
      <c r="F265" s="73">
        <f>SUM(F263:F264)</f>
        <v>121</v>
      </c>
      <c r="G265" s="74">
        <f>SUM(G263:G264)</f>
        <v>683</v>
      </c>
      <c r="H265" s="73"/>
      <c r="I265" s="73"/>
      <c r="J265" s="73"/>
      <c r="K265" s="73"/>
      <c r="L265" s="8"/>
      <c r="M265" s="73"/>
      <c r="N265" s="73"/>
      <c r="O265" s="73"/>
      <c r="P265" s="73"/>
      <c r="Q265" s="73"/>
      <c r="R265" s="73"/>
      <c r="S265" s="73"/>
      <c r="T265" s="73">
        <f>SUM(T263:T264)</f>
        <v>121</v>
      </c>
      <c r="U265" s="73">
        <f>SUM(U263:U264)</f>
        <v>166</v>
      </c>
      <c r="V265" s="73">
        <f>SUM(V263:V264)</f>
        <v>683</v>
      </c>
      <c r="W265" s="74">
        <f>SUM(W263:W264)</f>
        <v>747</v>
      </c>
      <c r="X265" s="21"/>
      <c r="Y265" s="21"/>
      <c r="Z265" s="21"/>
      <c r="AA265" s="21"/>
      <c r="AB265" s="21"/>
      <c r="AC265" s="21"/>
      <c r="AD265" s="21"/>
      <c r="AE265" s="4"/>
    </row>
    <row r="266" spans="1:31" s="9" customFormat="1" ht="12" customHeight="1" x14ac:dyDescent="0.25">
      <c r="A266" s="52"/>
      <c r="B266" s="25"/>
      <c r="C266" s="77"/>
      <c r="D266" s="77"/>
      <c r="E266" s="77"/>
      <c r="F266" s="77"/>
      <c r="G266" s="77"/>
      <c r="H266" s="77"/>
      <c r="I266" s="77"/>
      <c r="J266" s="77"/>
      <c r="K266" s="77"/>
      <c r="L266" s="8"/>
      <c r="M266" s="77"/>
      <c r="N266" s="77"/>
      <c r="O266" s="77"/>
      <c r="P266" s="77"/>
      <c r="Q266" s="77"/>
      <c r="R266" s="77"/>
      <c r="S266" s="77"/>
      <c r="T266" s="77"/>
      <c r="U266" s="77"/>
      <c r="V266" s="77"/>
      <c r="W266" s="77"/>
      <c r="X266" s="21"/>
      <c r="Y266" s="21"/>
      <c r="Z266" s="21"/>
      <c r="AA266" s="21"/>
      <c r="AB266" s="21"/>
      <c r="AC266" s="21"/>
      <c r="AD266" s="21"/>
      <c r="AE266" s="4"/>
    </row>
    <row r="267" spans="1:31" s="54" customFormat="1" ht="11.25" x14ac:dyDescent="0.25">
      <c r="A267" s="52"/>
      <c r="B267" s="53" t="s">
        <v>178</v>
      </c>
      <c r="C267" s="52"/>
      <c r="D267" s="52"/>
      <c r="E267" s="52"/>
      <c r="F267" s="52"/>
      <c r="G267" s="52"/>
      <c r="H267" s="52"/>
      <c r="I267" s="52"/>
      <c r="J267" s="52"/>
      <c r="K267" s="52"/>
      <c r="L267" s="52"/>
      <c r="M267" s="52"/>
      <c r="N267" s="52"/>
      <c r="O267" s="52"/>
      <c r="P267" s="52"/>
      <c r="Q267" s="52"/>
      <c r="R267" s="52"/>
      <c r="S267" s="52"/>
      <c r="T267" s="52"/>
      <c r="U267" s="52"/>
      <c r="V267" s="52"/>
      <c r="W267" s="52"/>
    </row>
    <row r="268" spans="1:31" s="54" customFormat="1" ht="9.75" customHeight="1" x14ac:dyDescent="0.15">
      <c r="A268" s="52"/>
      <c r="B268" s="89" t="s">
        <v>230</v>
      </c>
      <c r="C268" s="89"/>
      <c r="D268" s="89"/>
      <c r="E268" s="89"/>
      <c r="F268" s="89"/>
      <c r="G268" s="89"/>
      <c r="H268" s="89"/>
      <c r="I268" s="89"/>
      <c r="J268" s="89"/>
      <c r="K268" s="89"/>
      <c r="L268" s="89"/>
      <c r="M268" s="89"/>
      <c r="N268" s="89"/>
      <c r="O268" s="89"/>
      <c r="P268" s="89"/>
      <c r="Q268" s="89"/>
      <c r="R268" s="89"/>
      <c r="S268" s="89"/>
      <c r="T268" s="89"/>
      <c r="U268" s="68"/>
      <c r="V268" s="68"/>
      <c r="W268" s="68"/>
    </row>
    <row r="269" spans="1:31" s="50" customFormat="1" ht="12" customHeight="1" x14ac:dyDescent="0.2">
      <c r="A269" s="49"/>
      <c r="B269" s="51"/>
      <c r="C269" s="51"/>
      <c r="D269" s="51"/>
      <c r="E269" s="51"/>
      <c r="F269" s="51"/>
      <c r="G269" s="51"/>
      <c r="H269" s="51"/>
      <c r="I269" s="51"/>
      <c r="J269" s="51"/>
      <c r="K269" s="51"/>
      <c r="L269" s="51"/>
      <c r="M269" s="51"/>
      <c r="N269" s="51"/>
      <c r="O269" s="51"/>
      <c r="P269" s="51"/>
      <c r="Q269" s="51"/>
      <c r="R269" s="51"/>
      <c r="S269" s="51"/>
      <c r="T269" s="51"/>
      <c r="U269" s="51"/>
      <c r="V269" s="51"/>
      <c r="W269" s="51"/>
    </row>
    <row r="270" spans="1:31" s="54" customFormat="1" ht="15" customHeight="1" x14ac:dyDescent="0.25">
      <c r="A270" s="52"/>
      <c r="B270" s="53" t="s">
        <v>179</v>
      </c>
      <c r="C270" s="52"/>
      <c r="D270" s="52"/>
      <c r="E270" s="52"/>
      <c r="F270" s="52"/>
      <c r="G270" s="52"/>
      <c r="H270" s="52"/>
      <c r="I270" s="52"/>
      <c r="J270" s="52"/>
      <c r="K270" s="52"/>
      <c r="L270" s="52"/>
      <c r="M270" s="52"/>
      <c r="N270" s="52"/>
      <c r="O270" s="52"/>
      <c r="P270" s="52"/>
      <c r="Q270" s="52"/>
      <c r="R270" s="52"/>
      <c r="S270" s="52"/>
      <c r="T270" s="52"/>
      <c r="U270" s="52"/>
      <c r="V270" s="52"/>
      <c r="W270" s="52"/>
    </row>
    <row r="271" spans="1:31" s="50" customFormat="1" ht="17.25" customHeight="1" x14ac:dyDescent="0.2">
      <c r="A271" s="49"/>
      <c r="B271" s="89" t="s">
        <v>209</v>
      </c>
      <c r="C271" s="89"/>
      <c r="D271" s="89"/>
      <c r="E271" s="89"/>
      <c r="F271" s="89"/>
      <c r="G271" s="89"/>
      <c r="H271" s="89"/>
      <c r="I271" s="89"/>
      <c r="J271" s="89"/>
      <c r="K271" s="89"/>
      <c r="L271" s="89"/>
      <c r="M271" s="89"/>
      <c r="N271" s="89"/>
      <c r="O271" s="89"/>
      <c r="P271" s="89"/>
      <c r="Q271" s="89"/>
      <c r="R271" s="89"/>
      <c r="S271" s="89"/>
      <c r="T271" s="89"/>
      <c r="U271" s="68"/>
      <c r="V271" s="68"/>
      <c r="W271" s="68"/>
    </row>
    <row r="272" spans="1:31" s="50" customFormat="1" ht="12" customHeight="1" x14ac:dyDescent="0.2">
      <c r="A272" s="49"/>
      <c r="B272" s="51" t="s">
        <v>180</v>
      </c>
      <c r="C272" s="51"/>
      <c r="D272" s="51"/>
      <c r="E272" s="51"/>
      <c r="F272" s="51"/>
      <c r="G272" s="51"/>
      <c r="H272" s="51"/>
      <c r="I272" s="51"/>
      <c r="J272" s="51"/>
      <c r="K272" s="51"/>
      <c r="L272" s="51"/>
      <c r="M272" s="51"/>
      <c r="N272" s="51"/>
      <c r="O272" s="51"/>
      <c r="P272" s="51"/>
      <c r="Q272" s="51"/>
      <c r="R272" s="51"/>
      <c r="S272" s="51"/>
      <c r="T272" s="51"/>
      <c r="U272" s="51"/>
      <c r="V272" s="51"/>
      <c r="W272" s="51"/>
    </row>
    <row r="273" spans="1:23" s="50" customFormat="1" ht="12" customHeight="1" x14ac:dyDescent="0.2">
      <c r="A273" s="49"/>
      <c r="B273" s="51" t="s">
        <v>181</v>
      </c>
      <c r="C273" s="51"/>
      <c r="D273" s="51"/>
      <c r="E273" s="51"/>
      <c r="F273" s="51"/>
      <c r="G273" s="51"/>
      <c r="H273" s="51"/>
      <c r="I273" s="51"/>
      <c r="J273" s="51"/>
      <c r="K273" s="51"/>
      <c r="L273" s="51"/>
      <c r="M273" s="51"/>
      <c r="N273" s="51"/>
      <c r="O273" s="51"/>
      <c r="P273" s="51"/>
      <c r="Q273" s="51"/>
      <c r="R273" s="51"/>
      <c r="S273" s="51"/>
      <c r="T273" s="51"/>
      <c r="U273" s="51"/>
      <c r="V273" s="51"/>
      <c r="W273" s="51"/>
    </row>
    <row r="274" spans="1:23" s="50" customFormat="1" ht="12" customHeight="1" x14ac:dyDescent="0.2">
      <c r="A274" s="49"/>
      <c r="B274" s="51" t="s">
        <v>192</v>
      </c>
      <c r="C274" s="51"/>
      <c r="D274" s="51"/>
      <c r="E274" s="51"/>
      <c r="F274" s="51"/>
      <c r="G274" s="51"/>
      <c r="H274" s="51"/>
      <c r="I274" s="51"/>
      <c r="J274" s="51"/>
      <c r="K274" s="51"/>
      <c r="L274" s="51"/>
      <c r="M274" s="51"/>
      <c r="N274" s="51"/>
      <c r="O274" s="51"/>
      <c r="P274" s="51"/>
      <c r="Q274" s="51"/>
      <c r="R274" s="51"/>
      <c r="S274" s="51"/>
      <c r="T274" s="51"/>
      <c r="U274" s="51"/>
      <c r="V274" s="51"/>
      <c r="W274" s="51"/>
    </row>
    <row r="275" spans="1:23" s="50" customFormat="1" ht="18.75" customHeight="1" x14ac:dyDescent="0.2">
      <c r="A275" s="49"/>
      <c r="B275" s="89" t="s">
        <v>232</v>
      </c>
      <c r="C275" s="89"/>
      <c r="D275" s="89"/>
      <c r="E275" s="89"/>
      <c r="F275" s="89"/>
      <c r="G275" s="89"/>
      <c r="H275" s="89"/>
      <c r="I275" s="89"/>
      <c r="J275" s="89"/>
      <c r="K275" s="89"/>
      <c r="L275" s="89"/>
      <c r="M275" s="89"/>
      <c r="N275" s="89"/>
      <c r="O275" s="89"/>
      <c r="P275" s="89"/>
      <c r="Q275" s="89"/>
      <c r="R275" s="89"/>
      <c r="S275" s="89"/>
      <c r="T275" s="89"/>
      <c r="U275" s="68"/>
      <c r="V275" s="68"/>
      <c r="W275" s="68"/>
    </row>
    <row r="276" spans="1:23" s="50" customFormat="1" ht="12" customHeight="1" x14ac:dyDescent="0.2">
      <c r="A276" s="49"/>
      <c r="B276" s="51" t="s">
        <v>231</v>
      </c>
      <c r="C276" s="51"/>
      <c r="D276" s="51"/>
      <c r="E276" s="51"/>
      <c r="F276" s="51"/>
      <c r="G276" s="51"/>
      <c r="H276" s="51"/>
      <c r="I276" s="51"/>
      <c r="J276" s="51"/>
      <c r="K276" s="51"/>
      <c r="L276" s="51"/>
      <c r="M276" s="51"/>
      <c r="N276" s="51"/>
      <c r="O276" s="51"/>
      <c r="P276" s="51"/>
      <c r="Q276" s="51"/>
      <c r="R276" s="51"/>
      <c r="S276" s="51"/>
      <c r="T276" s="51"/>
      <c r="U276" s="51"/>
      <c r="V276" s="51"/>
      <c r="W276" s="51"/>
    </row>
    <row r="277" spans="1:23" s="50" customFormat="1" ht="12" customHeight="1" x14ac:dyDescent="0.2">
      <c r="A277" s="49"/>
      <c r="B277" s="51"/>
      <c r="C277" s="51"/>
      <c r="D277" s="51"/>
      <c r="E277" s="51"/>
      <c r="F277" s="51"/>
      <c r="G277" s="51"/>
      <c r="H277" s="51"/>
      <c r="I277" s="51"/>
      <c r="J277" s="51"/>
      <c r="K277" s="51"/>
      <c r="L277" s="51"/>
      <c r="M277" s="51"/>
      <c r="N277" s="51"/>
      <c r="O277" s="51"/>
      <c r="P277" s="51"/>
      <c r="Q277" s="51"/>
      <c r="R277" s="51"/>
      <c r="S277" s="51"/>
      <c r="T277" s="51"/>
      <c r="U277" s="51"/>
      <c r="V277" s="51"/>
      <c r="W277" s="51"/>
    </row>
    <row r="278" spans="1:23" s="50" customFormat="1" ht="12" customHeight="1" x14ac:dyDescent="0.2">
      <c r="A278" s="49"/>
      <c r="B278" s="53"/>
      <c r="C278" s="51"/>
      <c r="D278" s="51"/>
      <c r="E278" s="51"/>
      <c r="F278" s="51"/>
      <c r="G278" s="51"/>
      <c r="H278" s="51"/>
      <c r="I278" s="51"/>
      <c r="J278" s="51"/>
      <c r="K278" s="51"/>
      <c r="L278" s="51"/>
      <c r="M278" s="51"/>
      <c r="N278" s="51"/>
      <c r="O278" s="51"/>
      <c r="P278" s="51"/>
      <c r="Q278" s="51"/>
      <c r="R278" s="51"/>
      <c r="S278" s="51"/>
      <c r="T278" s="51"/>
      <c r="U278" s="51"/>
      <c r="V278" s="51"/>
      <c r="W278" s="51"/>
    </row>
    <row r="279" spans="1:23" s="50" customFormat="1" ht="17.25" customHeight="1" x14ac:dyDescent="0.2">
      <c r="A279" s="49"/>
      <c r="B279" s="89"/>
      <c r="C279" s="89"/>
      <c r="D279" s="89"/>
      <c r="E279" s="89"/>
      <c r="F279" s="89"/>
      <c r="G279" s="89"/>
      <c r="H279" s="89"/>
      <c r="I279" s="89"/>
      <c r="J279" s="89"/>
      <c r="K279" s="89"/>
      <c r="L279" s="89"/>
      <c r="M279" s="89"/>
      <c r="N279" s="89"/>
      <c r="O279" s="89"/>
      <c r="P279" s="89"/>
      <c r="Q279" s="89"/>
      <c r="R279" s="89"/>
      <c r="S279" s="89"/>
      <c r="T279" s="89"/>
      <c r="U279" s="68"/>
      <c r="V279" s="68"/>
      <c r="W279" s="68"/>
    </row>
    <row r="280" spans="1:23" s="50" customFormat="1" ht="17.25" customHeight="1" x14ac:dyDescent="0.2">
      <c r="A280" s="49"/>
      <c r="B280" s="89"/>
      <c r="C280" s="89"/>
      <c r="D280" s="89"/>
      <c r="E280" s="89"/>
      <c r="F280" s="89"/>
      <c r="G280" s="89"/>
      <c r="H280" s="89"/>
      <c r="I280" s="89"/>
      <c r="J280" s="89"/>
      <c r="K280" s="89"/>
      <c r="L280" s="89"/>
      <c r="M280" s="89"/>
      <c r="N280" s="89"/>
      <c r="O280" s="89"/>
      <c r="P280" s="89"/>
      <c r="Q280" s="89"/>
      <c r="R280" s="89"/>
      <c r="S280" s="89"/>
      <c r="T280" s="89"/>
      <c r="U280" s="68"/>
      <c r="V280" s="68"/>
      <c r="W280" s="68"/>
    </row>
    <row r="281" spans="1:23" s="50" customFormat="1" ht="12" customHeight="1" x14ac:dyDescent="0.2">
      <c r="A281" s="49"/>
      <c r="B281" s="51"/>
      <c r="C281" s="51"/>
      <c r="D281" s="51"/>
      <c r="E281" s="51"/>
      <c r="F281" s="51"/>
      <c r="G281" s="51"/>
      <c r="H281" s="51"/>
      <c r="I281" s="51"/>
      <c r="J281" s="51"/>
      <c r="K281" s="51"/>
      <c r="L281" s="51"/>
      <c r="M281" s="51"/>
      <c r="N281" s="51"/>
      <c r="O281" s="51"/>
      <c r="P281" s="51"/>
      <c r="Q281" s="51"/>
      <c r="R281" s="51"/>
      <c r="S281" s="51"/>
      <c r="T281" s="51"/>
      <c r="U281" s="51"/>
      <c r="V281" s="51"/>
      <c r="W281" s="51"/>
    </row>
    <row r="282" spans="1:23" s="50" customFormat="1" ht="12" customHeight="1" x14ac:dyDescent="0.2">
      <c r="A282" s="49"/>
      <c r="B282" s="51"/>
      <c r="C282" s="51"/>
      <c r="D282" s="51"/>
      <c r="E282" s="51"/>
      <c r="F282" s="51"/>
      <c r="G282" s="51"/>
      <c r="H282" s="51"/>
      <c r="I282" s="51"/>
      <c r="J282" s="51"/>
      <c r="K282" s="51"/>
      <c r="L282" s="51"/>
      <c r="M282" s="51"/>
      <c r="N282" s="51"/>
      <c r="O282" s="51"/>
      <c r="P282" s="51"/>
      <c r="Q282" s="51"/>
      <c r="R282" s="51"/>
      <c r="S282" s="51"/>
      <c r="T282" s="51"/>
      <c r="U282" s="51"/>
      <c r="V282" s="51"/>
      <c r="W282" s="51"/>
    </row>
    <row r="283" spans="1:23" s="50" customFormat="1" ht="12" customHeight="1" x14ac:dyDescent="0.2">
      <c r="A283" s="49"/>
      <c r="B283" s="49"/>
      <c r="C283" s="49"/>
      <c r="D283" s="49"/>
      <c r="E283" s="49"/>
      <c r="F283" s="49"/>
      <c r="G283" s="49"/>
      <c r="H283" s="49"/>
      <c r="I283" s="49"/>
      <c r="J283" s="49"/>
      <c r="K283" s="49"/>
      <c r="L283" s="49"/>
      <c r="M283" s="49"/>
      <c r="N283" s="49"/>
      <c r="O283" s="49"/>
      <c r="P283" s="49"/>
      <c r="Q283" s="49"/>
      <c r="R283" s="49"/>
      <c r="S283" s="49"/>
      <c r="T283" s="49"/>
      <c r="U283" s="49"/>
      <c r="V283" s="49"/>
      <c r="W283" s="49"/>
    </row>
    <row r="284" spans="1:23" s="50" customFormat="1" ht="12" customHeight="1" x14ac:dyDescent="0.2">
      <c r="A284" s="49"/>
      <c r="B284" s="49"/>
      <c r="C284" s="49"/>
      <c r="D284" s="49"/>
      <c r="E284" s="49"/>
      <c r="F284" s="49"/>
      <c r="G284" s="49"/>
      <c r="H284" s="49"/>
      <c r="I284" s="49"/>
      <c r="J284" s="49"/>
      <c r="K284" s="49"/>
      <c r="L284" s="49"/>
      <c r="M284" s="49"/>
      <c r="N284" s="49"/>
      <c r="O284" s="49"/>
      <c r="P284" s="49"/>
      <c r="Q284" s="49"/>
      <c r="R284" s="49"/>
      <c r="S284" s="49"/>
      <c r="T284" s="49"/>
      <c r="U284" s="49"/>
      <c r="V284" s="49"/>
      <c r="W284" s="49"/>
    </row>
    <row r="285" spans="1:23" s="50" customFormat="1" ht="12" customHeight="1" x14ac:dyDescent="0.2">
      <c r="A285" s="49"/>
      <c r="B285" s="49"/>
      <c r="C285" s="49"/>
      <c r="D285" s="49"/>
      <c r="E285" s="49"/>
      <c r="F285" s="49"/>
      <c r="G285" s="49"/>
      <c r="H285" s="49"/>
      <c r="I285" s="49"/>
      <c r="J285" s="49"/>
      <c r="K285" s="49"/>
      <c r="L285" s="49"/>
      <c r="M285" s="49"/>
      <c r="N285" s="49"/>
      <c r="O285" s="49"/>
      <c r="P285" s="49"/>
      <c r="Q285" s="49"/>
      <c r="R285" s="49"/>
      <c r="S285" s="49"/>
      <c r="T285" s="49"/>
      <c r="U285" s="49"/>
      <c r="V285" s="49"/>
      <c r="W285" s="49"/>
    </row>
    <row r="286" spans="1:23" s="50" customFormat="1" ht="12" customHeight="1" x14ac:dyDescent="0.2">
      <c r="A286" s="49"/>
      <c r="B286" s="49"/>
      <c r="C286" s="49"/>
      <c r="D286" s="49"/>
      <c r="E286" s="49"/>
      <c r="F286" s="49"/>
      <c r="G286" s="49"/>
      <c r="H286" s="49"/>
      <c r="I286" s="49"/>
      <c r="J286" s="49"/>
      <c r="K286" s="49"/>
      <c r="L286" s="49"/>
      <c r="M286" s="49"/>
      <c r="N286" s="49"/>
      <c r="O286" s="49"/>
      <c r="P286" s="49"/>
      <c r="Q286" s="49"/>
      <c r="R286" s="49"/>
      <c r="S286" s="49"/>
      <c r="T286" s="49"/>
      <c r="U286" s="49"/>
      <c r="V286" s="49"/>
      <c r="W286" s="49"/>
    </row>
    <row r="287" spans="1:23" s="50" customFormat="1" ht="12" customHeight="1" x14ac:dyDescent="0.2">
      <c r="A287" s="49"/>
      <c r="B287" s="49"/>
      <c r="C287" s="49"/>
      <c r="D287" s="49"/>
      <c r="E287" s="49"/>
      <c r="F287" s="49"/>
      <c r="G287" s="49"/>
      <c r="H287" s="49"/>
      <c r="I287" s="49"/>
      <c r="J287" s="49"/>
      <c r="K287" s="49"/>
      <c r="L287" s="49"/>
      <c r="M287" s="49"/>
      <c r="N287" s="49"/>
      <c r="O287" s="49"/>
      <c r="P287" s="49"/>
      <c r="Q287" s="49"/>
      <c r="R287" s="49"/>
      <c r="S287" s="49"/>
      <c r="T287" s="49"/>
      <c r="U287" s="49"/>
      <c r="V287" s="49"/>
      <c r="W287" s="49"/>
    </row>
    <row r="288" spans="1:23" s="50" customFormat="1" ht="12" customHeight="1" x14ac:dyDescent="0.2">
      <c r="A288" s="49"/>
      <c r="B288" s="49"/>
      <c r="C288" s="49"/>
      <c r="D288" s="49"/>
      <c r="E288" s="49"/>
      <c r="F288" s="49"/>
      <c r="G288" s="49"/>
      <c r="H288" s="49"/>
      <c r="I288" s="49"/>
      <c r="J288" s="49"/>
      <c r="K288" s="49"/>
      <c r="L288" s="49"/>
      <c r="M288" s="49"/>
      <c r="N288" s="49"/>
      <c r="O288" s="49"/>
      <c r="P288" s="49"/>
      <c r="Q288" s="49"/>
      <c r="R288" s="49"/>
      <c r="S288" s="49"/>
      <c r="T288" s="49"/>
      <c r="U288" s="49"/>
      <c r="V288" s="49"/>
      <c r="W288" s="49"/>
    </row>
    <row r="289" spans="1:23" s="50" customFormat="1" ht="12" customHeight="1" x14ac:dyDescent="0.2">
      <c r="A289" s="49"/>
      <c r="B289" s="49"/>
      <c r="C289" s="49"/>
      <c r="D289" s="49"/>
      <c r="E289" s="49"/>
      <c r="F289" s="49"/>
      <c r="G289" s="49"/>
      <c r="H289" s="49"/>
      <c r="I289" s="49"/>
      <c r="J289" s="49"/>
      <c r="K289" s="49"/>
      <c r="L289" s="49"/>
      <c r="M289" s="49"/>
      <c r="N289" s="49"/>
      <c r="O289" s="49"/>
      <c r="P289" s="49"/>
      <c r="Q289" s="49"/>
      <c r="R289" s="49"/>
      <c r="S289" s="49"/>
      <c r="T289" s="49"/>
      <c r="U289" s="49"/>
      <c r="V289" s="49"/>
      <c r="W289" s="49"/>
    </row>
    <row r="290" spans="1:23" s="50" customFormat="1" ht="12" customHeight="1" x14ac:dyDescent="0.2">
      <c r="A290" s="49"/>
      <c r="B290" s="49"/>
      <c r="C290" s="49"/>
      <c r="D290" s="49"/>
      <c r="E290" s="49"/>
      <c r="F290" s="49"/>
      <c r="G290" s="49"/>
      <c r="H290" s="49"/>
      <c r="I290" s="49"/>
      <c r="J290" s="49"/>
      <c r="K290" s="49"/>
      <c r="L290" s="49"/>
      <c r="M290" s="49"/>
      <c r="N290" s="49"/>
      <c r="O290" s="49"/>
      <c r="P290" s="49"/>
      <c r="Q290" s="49"/>
      <c r="R290" s="49"/>
      <c r="S290" s="49"/>
      <c r="T290" s="49"/>
      <c r="U290" s="49"/>
      <c r="V290" s="49"/>
      <c r="W290" s="49"/>
    </row>
    <row r="291" spans="1:23" s="50" customFormat="1" ht="12" customHeight="1" x14ac:dyDescent="0.2">
      <c r="A291" s="49"/>
      <c r="B291" s="49"/>
      <c r="C291" s="49"/>
      <c r="D291" s="49"/>
      <c r="E291" s="49"/>
      <c r="F291" s="49"/>
      <c r="G291" s="49"/>
      <c r="H291" s="49"/>
      <c r="I291" s="49"/>
      <c r="J291" s="49"/>
      <c r="K291" s="49"/>
      <c r="L291" s="49"/>
      <c r="M291" s="49"/>
      <c r="N291" s="49"/>
      <c r="O291" s="49"/>
      <c r="P291" s="49"/>
      <c r="Q291" s="49"/>
      <c r="R291" s="49"/>
      <c r="S291" s="49"/>
      <c r="T291" s="49"/>
      <c r="U291" s="49"/>
      <c r="V291" s="49"/>
      <c r="W291" s="49"/>
    </row>
    <row r="292" spans="1:23" s="50" customFormat="1" ht="12" customHeight="1" x14ac:dyDescent="0.2">
      <c r="A292" s="49"/>
      <c r="B292" s="49"/>
      <c r="C292" s="49"/>
      <c r="D292" s="49"/>
      <c r="E292" s="49"/>
      <c r="F292" s="49"/>
      <c r="G292" s="49"/>
      <c r="H292" s="49"/>
      <c r="I292" s="49"/>
      <c r="J292" s="49"/>
      <c r="K292" s="49"/>
      <c r="L292" s="49"/>
      <c r="M292" s="49"/>
      <c r="N292" s="49"/>
      <c r="O292" s="49"/>
      <c r="P292" s="49"/>
      <c r="Q292" s="49"/>
      <c r="R292" s="49"/>
      <c r="S292" s="49"/>
      <c r="T292" s="49"/>
      <c r="U292" s="49"/>
      <c r="V292" s="49"/>
      <c r="W292" s="49"/>
    </row>
    <row r="293" spans="1:23" s="50" customFormat="1" ht="12" customHeight="1" x14ac:dyDescent="0.2">
      <c r="A293" s="49"/>
      <c r="B293" s="49"/>
      <c r="C293" s="49"/>
      <c r="D293" s="49"/>
      <c r="E293" s="49"/>
      <c r="F293" s="49"/>
      <c r="G293" s="49"/>
      <c r="H293" s="49"/>
      <c r="I293" s="49"/>
      <c r="J293" s="49"/>
      <c r="K293" s="49"/>
      <c r="L293" s="49"/>
      <c r="M293" s="49"/>
      <c r="N293" s="49"/>
      <c r="O293" s="49"/>
      <c r="P293" s="49"/>
      <c r="Q293" s="49"/>
      <c r="R293" s="49"/>
      <c r="S293" s="49"/>
      <c r="T293" s="49"/>
      <c r="U293" s="49"/>
      <c r="V293" s="49"/>
      <c r="W293" s="49"/>
    </row>
    <row r="294" spans="1:23" s="50" customFormat="1" ht="12" customHeight="1" x14ac:dyDescent="0.2">
      <c r="A294" s="49"/>
      <c r="B294" s="49"/>
      <c r="C294" s="49"/>
      <c r="D294" s="49"/>
      <c r="E294" s="49"/>
      <c r="F294" s="49"/>
      <c r="G294" s="49"/>
      <c r="H294" s="49"/>
      <c r="I294" s="49"/>
      <c r="J294" s="49"/>
      <c r="K294" s="49"/>
      <c r="L294" s="49"/>
      <c r="M294" s="49"/>
      <c r="N294" s="49"/>
      <c r="O294" s="49"/>
      <c r="P294" s="49"/>
      <c r="Q294" s="49"/>
      <c r="R294" s="49"/>
      <c r="S294" s="49"/>
      <c r="T294" s="49"/>
      <c r="U294" s="49"/>
      <c r="V294" s="49"/>
      <c r="W294" s="49"/>
    </row>
    <row r="295" spans="1:23" s="50" customFormat="1" ht="12" customHeight="1" x14ac:dyDescent="0.2">
      <c r="A295" s="49"/>
      <c r="B295" s="49"/>
      <c r="C295" s="49"/>
      <c r="D295" s="49"/>
      <c r="E295" s="49"/>
      <c r="F295" s="49"/>
      <c r="G295" s="49"/>
      <c r="H295" s="49"/>
      <c r="I295" s="49"/>
      <c r="J295" s="49"/>
      <c r="K295" s="49"/>
      <c r="L295" s="49"/>
      <c r="M295" s="49"/>
      <c r="N295" s="49"/>
      <c r="O295" s="49"/>
      <c r="P295" s="49"/>
      <c r="Q295" s="49"/>
      <c r="R295" s="49"/>
      <c r="S295" s="49"/>
      <c r="T295" s="49"/>
      <c r="U295" s="49"/>
      <c r="V295" s="49"/>
      <c r="W295" s="49"/>
    </row>
    <row r="296" spans="1:23" s="50" customFormat="1" ht="12" customHeight="1" x14ac:dyDescent="0.2">
      <c r="A296" s="49"/>
      <c r="B296" s="49"/>
      <c r="C296" s="49"/>
      <c r="D296" s="49"/>
      <c r="E296" s="49"/>
      <c r="F296" s="49"/>
      <c r="G296" s="49"/>
      <c r="H296" s="49"/>
      <c r="I296" s="49"/>
      <c r="J296" s="49"/>
      <c r="K296" s="49"/>
      <c r="L296" s="49"/>
      <c r="M296" s="49"/>
      <c r="N296" s="49"/>
      <c r="O296" s="49"/>
      <c r="P296" s="49"/>
      <c r="Q296" s="49"/>
      <c r="R296" s="49"/>
      <c r="S296" s="49"/>
      <c r="T296" s="49"/>
      <c r="U296" s="49"/>
      <c r="V296" s="49"/>
      <c r="W296" s="49"/>
    </row>
    <row r="297" spans="1:23" s="50" customFormat="1" ht="12" customHeight="1" x14ac:dyDescent="0.2">
      <c r="A297" s="49"/>
      <c r="B297" s="49"/>
      <c r="C297" s="49"/>
      <c r="D297" s="49"/>
      <c r="E297" s="49"/>
      <c r="F297" s="49"/>
      <c r="G297" s="49"/>
      <c r="H297" s="49"/>
      <c r="I297" s="49"/>
      <c r="J297" s="49"/>
      <c r="K297" s="49"/>
      <c r="L297" s="49"/>
      <c r="M297" s="49"/>
      <c r="N297" s="49"/>
      <c r="O297" s="49"/>
      <c r="P297" s="49"/>
      <c r="Q297" s="49"/>
      <c r="R297" s="49"/>
      <c r="S297" s="49"/>
      <c r="T297" s="49"/>
      <c r="U297" s="49"/>
      <c r="V297" s="49"/>
      <c r="W297" s="49"/>
    </row>
    <row r="298" spans="1:23" s="50" customFormat="1" ht="12" customHeight="1" x14ac:dyDescent="0.2">
      <c r="A298" s="49"/>
      <c r="B298" s="49"/>
      <c r="C298" s="49"/>
      <c r="D298" s="49"/>
      <c r="E298" s="49"/>
      <c r="F298" s="49"/>
      <c r="G298" s="49"/>
      <c r="H298" s="49"/>
      <c r="I298" s="49"/>
      <c r="J298" s="49"/>
      <c r="K298" s="49"/>
      <c r="L298" s="49"/>
      <c r="M298" s="49"/>
      <c r="N298" s="49"/>
      <c r="O298" s="49"/>
      <c r="P298" s="49"/>
      <c r="Q298" s="49"/>
      <c r="R298" s="49"/>
      <c r="S298" s="49"/>
      <c r="T298" s="49"/>
      <c r="U298" s="49"/>
      <c r="V298" s="49"/>
      <c r="W298" s="49"/>
    </row>
    <row r="299" spans="1:23" s="50" customFormat="1" ht="12" customHeight="1" x14ac:dyDescent="0.2">
      <c r="A299" s="49"/>
      <c r="B299" s="49"/>
      <c r="C299" s="49"/>
      <c r="D299" s="49"/>
      <c r="E299" s="49"/>
      <c r="F299" s="49"/>
      <c r="G299" s="49"/>
      <c r="H299" s="49"/>
      <c r="I299" s="49"/>
      <c r="J299" s="49"/>
      <c r="K299" s="49"/>
      <c r="L299" s="49"/>
      <c r="M299" s="49"/>
      <c r="N299" s="49"/>
      <c r="O299" s="49"/>
      <c r="P299" s="49"/>
      <c r="Q299" s="49"/>
      <c r="R299" s="49"/>
      <c r="S299" s="49"/>
      <c r="T299" s="49"/>
      <c r="U299" s="49"/>
      <c r="V299" s="49"/>
      <c r="W299" s="49"/>
    </row>
    <row r="300" spans="1:23" s="50" customFormat="1" ht="12" customHeight="1" x14ac:dyDescent="0.2">
      <c r="A300" s="49"/>
      <c r="B300" s="49"/>
      <c r="C300" s="49"/>
      <c r="D300" s="49"/>
      <c r="E300" s="49"/>
      <c r="F300" s="49"/>
      <c r="G300" s="49"/>
      <c r="H300" s="49"/>
      <c r="I300" s="49"/>
      <c r="J300" s="49"/>
      <c r="K300" s="49"/>
      <c r="L300" s="49"/>
      <c r="M300" s="49"/>
      <c r="N300" s="49"/>
      <c r="O300" s="49"/>
      <c r="P300" s="49"/>
      <c r="Q300" s="49"/>
      <c r="R300" s="49"/>
      <c r="S300" s="49"/>
      <c r="T300" s="49"/>
      <c r="U300" s="49"/>
      <c r="V300" s="49"/>
      <c r="W300" s="49"/>
    </row>
    <row r="301" spans="1:23" s="50" customFormat="1" ht="12" customHeight="1" x14ac:dyDescent="0.2">
      <c r="A301" s="49"/>
      <c r="B301" s="49"/>
      <c r="C301" s="49"/>
      <c r="D301" s="49"/>
      <c r="E301" s="49"/>
      <c r="F301" s="49"/>
      <c r="G301" s="49"/>
      <c r="H301" s="49"/>
      <c r="I301" s="49"/>
      <c r="J301" s="49"/>
      <c r="K301" s="49"/>
      <c r="L301" s="49"/>
      <c r="M301" s="49"/>
      <c r="N301" s="49"/>
      <c r="O301" s="49"/>
      <c r="P301" s="49"/>
      <c r="Q301" s="49"/>
      <c r="R301" s="49"/>
      <c r="S301" s="49"/>
      <c r="T301" s="49"/>
      <c r="U301" s="49"/>
      <c r="V301" s="49"/>
      <c r="W301" s="49"/>
    </row>
    <row r="302" spans="1:23" s="50" customFormat="1" ht="12" customHeight="1" x14ac:dyDescent="0.2">
      <c r="A302" s="49"/>
      <c r="B302" s="49"/>
      <c r="C302" s="49"/>
      <c r="D302" s="49"/>
      <c r="E302" s="49"/>
      <c r="F302" s="49"/>
      <c r="G302" s="49"/>
      <c r="H302" s="49"/>
      <c r="I302" s="49"/>
      <c r="J302" s="49"/>
      <c r="K302" s="49"/>
      <c r="L302" s="49"/>
      <c r="M302" s="49"/>
      <c r="N302" s="49"/>
      <c r="O302" s="49"/>
      <c r="P302" s="49"/>
      <c r="Q302" s="49"/>
      <c r="R302" s="49"/>
      <c r="S302" s="49"/>
      <c r="T302" s="49"/>
      <c r="U302" s="49"/>
      <c r="V302" s="49"/>
      <c r="W302" s="49"/>
    </row>
    <row r="303" spans="1:23" s="50" customFormat="1" ht="12" customHeight="1" x14ac:dyDescent="0.2">
      <c r="A303" s="49"/>
      <c r="B303" s="49"/>
      <c r="C303" s="49"/>
      <c r="D303" s="49"/>
      <c r="E303" s="49"/>
      <c r="F303" s="49"/>
      <c r="G303" s="49"/>
      <c r="H303" s="49"/>
      <c r="I303" s="49"/>
      <c r="J303" s="49"/>
      <c r="K303" s="49"/>
      <c r="L303" s="49"/>
      <c r="M303" s="49"/>
      <c r="N303" s="49"/>
      <c r="O303" s="49"/>
      <c r="P303" s="49"/>
      <c r="Q303" s="49"/>
      <c r="R303" s="49"/>
      <c r="S303" s="49"/>
      <c r="T303" s="49"/>
      <c r="U303" s="49"/>
      <c r="V303" s="49"/>
      <c r="W303" s="49"/>
    </row>
    <row r="304" spans="1:23" s="50" customFormat="1" ht="12" customHeight="1" x14ac:dyDescent="0.2">
      <c r="A304" s="49"/>
      <c r="B304" s="49"/>
      <c r="C304" s="49"/>
      <c r="D304" s="49"/>
      <c r="E304" s="49"/>
      <c r="F304" s="49"/>
      <c r="G304" s="49"/>
      <c r="H304" s="49"/>
      <c r="I304" s="49"/>
      <c r="J304" s="49"/>
      <c r="K304" s="49"/>
      <c r="L304" s="49"/>
      <c r="M304" s="49"/>
      <c r="N304" s="49"/>
      <c r="O304" s="49"/>
      <c r="P304" s="49"/>
      <c r="Q304" s="49"/>
      <c r="R304" s="49"/>
      <c r="S304" s="49"/>
      <c r="T304" s="49"/>
      <c r="U304" s="49"/>
      <c r="V304" s="49"/>
      <c r="W304" s="49"/>
    </row>
    <row r="305" spans="1:23" s="50" customFormat="1" ht="12" customHeight="1" x14ac:dyDescent="0.2">
      <c r="A305" s="49"/>
      <c r="B305" s="49"/>
      <c r="C305" s="49"/>
      <c r="D305" s="49"/>
      <c r="E305" s="49"/>
      <c r="F305" s="49"/>
      <c r="G305" s="49"/>
      <c r="H305" s="49"/>
      <c r="I305" s="49"/>
      <c r="J305" s="49"/>
      <c r="K305" s="49"/>
      <c r="L305" s="49"/>
      <c r="M305" s="49"/>
      <c r="N305" s="49"/>
      <c r="O305" s="49"/>
      <c r="P305" s="49"/>
      <c r="Q305" s="49"/>
      <c r="R305" s="49"/>
      <c r="S305" s="49"/>
      <c r="T305" s="49"/>
      <c r="U305" s="49"/>
      <c r="V305" s="49"/>
      <c r="W305" s="49"/>
    </row>
    <row r="306" spans="1:23" s="50" customFormat="1" ht="12" customHeight="1" x14ac:dyDescent="0.2">
      <c r="A306" s="49"/>
      <c r="B306" s="49"/>
      <c r="C306" s="49"/>
      <c r="D306" s="49"/>
      <c r="E306" s="49"/>
      <c r="F306" s="49"/>
      <c r="G306" s="49"/>
      <c r="H306" s="49"/>
      <c r="I306" s="49"/>
      <c r="J306" s="49"/>
      <c r="K306" s="49"/>
      <c r="L306" s="49"/>
      <c r="M306" s="49"/>
      <c r="N306" s="49"/>
      <c r="O306" s="49"/>
      <c r="P306" s="49"/>
      <c r="Q306" s="49"/>
      <c r="R306" s="49"/>
      <c r="S306" s="49"/>
      <c r="T306" s="49"/>
      <c r="U306" s="49"/>
      <c r="V306" s="49"/>
      <c r="W306" s="49"/>
    </row>
    <row r="307" spans="1:23" s="50" customFormat="1" ht="12" customHeight="1" x14ac:dyDescent="0.2">
      <c r="A307" s="49"/>
      <c r="B307" s="49"/>
      <c r="C307" s="49"/>
      <c r="D307" s="49"/>
      <c r="E307" s="49"/>
      <c r="F307" s="49"/>
      <c r="G307" s="49"/>
      <c r="H307" s="49"/>
      <c r="I307" s="49"/>
      <c r="J307" s="49"/>
      <c r="K307" s="49"/>
      <c r="L307" s="49"/>
      <c r="M307" s="49"/>
      <c r="N307" s="49"/>
      <c r="O307" s="49"/>
      <c r="P307" s="49"/>
      <c r="Q307" s="49"/>
      <c r="R307" s="49"/>
      <c r="S307" s="49"/>
      <c r="T307" s="49"/>
      <c r="U307" s="49"/>
      <c r="V307" s="49"/>
      <c r="W307" s="49"/>
    </row>
    <row r="308" spans="1:23" s="50" customFormat="1" ht="12" customHeight="1" x14ac:dyDescent="0.2">
      <c r="A308" s="49"/>
      <c r="B308" s="49"/>
      <c r="C308" s="49"/>
      <c r="D308" s="49"/>
      <c r="E308" s="49"/>
      <c r="F308" s="49"/>
      <c r="G308" s="49"/>
      <c r="H308" s="49"/>
      <c r="I308" s="49"/>
      <c r="J308" s="49"/>
      <c r="K308" s="49"/>
      <c r="L308" s="49"/>
      <c r="M308" s="49"/>
      <c r="N308" s="49"/>
      <c r="O308" s="49"/>
      <c r="P308" s="49"/>
      <c r="Q308" s="49"/>
      <c r="R308" s="49"/>
      <c r="S308" s="49"/>
      <c r="T308" s="49"/>
      <c r="U308" s="49"/>
      <c r="V308" s="49"/>
      <c r="W308" s="49"/>
    </row>
    <row r="309" spans="1:23" s="50" customFormat="1" ht="12" customHeight="1" x14ac:dyDescent="0.2">
      <c r="A309" s="49"/>
      <c r="B309" s="49"/>
      <c r="C309" s="49"/>
      <c r="D309" s="49"/>
      <c r="E309" s="49"/>
      <c r="F309" s="49"/>
      <c r="G309" s="49"/>
      <c r="H309" s="49"/>
      <c r="I309" s="49"/>
      <c r="J309" s="49"/>
      <c r="K309" s="49"/>
      <c r="L309" s="49"/>
      <c r="M309" s="49"/>
      <c r="N309" s="49"/>
      <c r="O309" s="49"/>
      <c r="P309" s="49"/>
      <c r="Q309" s="49"/>
      <c r="R309" s="49"/>
      <c r="S309" s="49"/>
      <c r="T309" s="49"/>
      <c r="U309" s="49"/>
      <c r="V309" s="49"/>
      <c r="W309" s="49"/>
    </row>
    <row r="310" spans="1:23" s="50" customFormat="1" ht="12" customHeight="1" x14ac:dyDescent="0.2">
      <c r="A310" s="49"/>
      <c r="B310" s="49"/>
      <c r="C310" s="49"/>
      <c r="D310" s="49"/>
      <c r="E310" s="49"/>
      <c r="F310" s="49"/>
      <c r="G310" s="49"/>
      <c r="H310" s="49"/>
      <c r="I310" s="49"/>
      <c r="J310" s="49"/>
      <c r="K310" s="49"/>
      <c r="L310" s="49"/>
      <c r="M310" s="49"/>
      <c r="N310" s="49"/>
      <c r="O310" s="49"/>
      <c r="P310" s="49"/>
      <c r="Q310" s="49"/>
      <c r="R310" s="49"/>
      <c r="S310" s="49"/>
      <c r="T310" s="49"/>
      <c r="U310" s="49"/>
      <c r="V310" s="49"/>
      <c r="W310" s="49"/>
    </row>
    <row r="311" spans="1:23" s="50" customFormat="1" ht="12" customHeight="1" x14ac:dyDescent="0.2">
      <c r="A311" s="49"/>
      <c r="B311" s="49"/>
      <c r="C311" s="49"/>
      <c r="D311" s="49"/>
      <c r="E311" s="49"/>
      <c r="F311" s="49"/>
      <c r="G311" s="49"/>
      <c r="H311" s="49"/>
      <c r="I311" s="49"/>
      <c r="J311" s="49"/>
      <c r="K311" s="49"/>
      <c r="L311" s="49"/>
      <c r="M311" s="49"/>
      <c r="N311" s="49"/>
      <c r="O311" s="49"/>
      <c r="P311" s="49"/>
      <c r="Q311" s="49"/>
      <c r="R311" s="49"/>
      <c r="S311" s="49"/>
      <c r="T311" s="49"/>
      <c r="U311" s="49"/>
      <c r="V311" s="49"/>
      <c r="W311" s="49"/>
    </row>
    <row r="312" spans="1:23" s="50" customFormat="1" ht="12" customHeight="1" x14ac:dyDescent="0.2">
      <c r="A312" s="49"/>
      <c r="B312" s="49"/>
      <c r="C312" s="49"/>
      <c r="D312" s="49"/>
      <c r="E312" s="49"/>
      <c r="F312" s="49"/>
      <c r="G312" s="49"/>
      <c r="H312" s="49"/>
      <c r="I312" s="49"/>
      <c r="J312" s="49"/>
      <c r="K312" s="49"/>
      <c r="L312" s="49"/>
      <c r="M312" s="49"/>
      <c r="N312" s="49"/>
      <c r="O312" s="49"/>
      <c r="P312" s="49"/>
      <c r="Q312" s="49"/>
      <c r="R312" s="49"/>
      <c r="S312" s="49"/>
      <c r="T312" s="49"/>
      <c r="U312" s="49"/>
      <c r="V312" s="49"/>
      <c r="W312" s="49"/>
    </row>
    <row r="313" spans="1:23" s="50" customFormat="1" ht="12" customHeight="1" x14ac:dyDescent="0.2">
      <c r="A313" s="49"/>
      <c r="B313" s="49"/>
      <c r="C313" s="49"/>
      <c r="D313" s="49"/>
      <c r="E313" s="49"/>
      <c r="F313" s="49"/>
      <c r="G313" s="49"/>
      <c r="H313" s="49"/>
      <c r="I313" s="49"/>
      <c r="J313" s="49"/>
      <c r="K313" s="49"/>
      <c r="L313" s="49"/>
      <c r="M313" s="49"/>
      <c r="N313" s="49"/>
      <c r="O313" s="49"/>
      <c r="P313" s="49"/>
      <c r="Q313" s="49"/>
      <c r="R313" s="49"/>
      <c r="S313" s="49"/>
      <c r="T313" s="49"/>
      <c r="U313" s="49"/>
      <c r="V313" s="49"/>
      <c r="W313" s="49"/>
    </row>
    <row r="314" spans="1:23" s="50" customFormat="1" ht="12" customHeight="1" x14ac:dyDescent="0.2">
      <c r="A314" s="49"/>
      <c r="B314" s="49"/>
      <c r="C314" s="49"/>
      <c r="D314" s="49"/>
      <c r="E314" s="49"/>
      <c r="F314" s="49"/>
      <c r="G314" s="49"/>
      <c r="H314" s="49"/>
      <c r="I314" s="49"/>
      <c r="J314" s="49"/>
      <c r="K314" s="49"/>
      <c r="L314" s="49"/>
      <c r="M314" s="49"/>
      <c r="N314" s="49"/>
      <c r="O314" s="49"/>
      <c r="P314" s="49"/>
      <c r="Q314" s="49"/>
      <c r="R314" s="49"/>
      <c r="S314" s="49"/>
      <c r="T314" s="49"/>
      <c r="U314" s="49"/>
      <c r="V314" s="49"/>
      <c r="W314" s="49"/>
    </row>
    <row r="315" spans="1:23" s="50" customFormat="1" ht="12" customHeight="1" x14ac:dyDescent="0.2">
      <c r="A315" s="49"/>
      <c r="B315" s="49"/>
      <c r="C315" s="49"/>
      <c r="D315" s="49"/>
      <c r="E315" s="49"/>
      <c r="F315" s="49"/>
      <c r="G315" s="49"/>
      <c r="H315" s="49"/>
      <c r="I315" s="49"/>
      <c r="J315" s="49"/>
      <c r="K315" s="49"/>
      <c r="L315" s="49"/>
      <c r="M315" s="49"/>
      <c r="N315" s="49"/>
      <c r="O315" s="49"/>
      <c r="P315" s="49"/>
      <c r="Q315" s="49"/>
      <c r="R315" s="49"/>
      <c r="S315" s="49"/>
      <c r="T315" s="49"/>
      <c r="U315" s="49"/>
      <c r="V315" s="49"/>
      <c r="W315" s="49"/>
    </row>
    <row r="316" spans="1:23" s="50" customFormat="1" ht="12" customHeight="1" x14ac:dyDescent="0.2">
      <c r="A316" s="49"/>
      <c r="B316" s="49"/>
      <c r="C316" s="49"/>
      <c r="D316" s="49"/>
      <c r="E316" s="49"/>
      <c r="F316" s="49"/>
      <c r="G316" s="49"/>
      <c r="H316" s="49"/>
      <c r="I316" s="49"/>
      <c r="J316" s="49"/>
      <c r="K316" s="49"/>
      <c r="L316" s="49"/>
      <c r="M316" s="49"/>
      <c r="N316" s="49"/>
      <c r="O316" s="49"/>
      <c r="P316" s="49"/>
      <c r="Q316" s="49"/>
      <c r="R316" s="49"/>
      <c r="S316" s="49"/>
      <c r="T316" s="49"/>
      <c r="U316" s="49"/>
      <c r="V316" s="49"/>
      <c r="W316" s="49"/>
    </row>
    <row r="317" spans="1:23" ht="12" customHeight="1" x14ac:dyDescent="0.25">
      <c r="A317" s="5"/>
      <c r="B317" s="3"/>
      <c r="C317" s="3"/>
      <c r="D317" s="3"/>
      <c r="E317" s="3"/>
      <c r="N317" s="3"/>
      <c r="O317" s="3"/>
      <c r="P317" s="3"/>
      <c r="Q317" s="3"/>
      <c r="R317" s="3"/>
      <c r="S317" s="3"/>
      <c r="T317" s="3"/>
      <c r="U317" s="3"/>
      <c r="V317" s="3"/>
      <c r="W317" s="3"/>
    </row>
    <row r="318" spans="1:23" ht="12" customHeight="1" x14ac:dyDescent="0.25">
      <c r="A318" s="5"/>
      <c r="B318" s="3"/>
      <c r="C318" s="3"/>
      <c r="D318" s="3"/>
      <c r="E318" s="3"/>
      <c r="N318" s="3"/>
      <c r="O318" s="3"/>
      <c r="P318" s="3"/>
      <c r="Q318" s="3"/>
      <c r="R318" s="3"/>
      <c r="S318" s="3"/>
      <c r="T318" s="3"/>
      <c r="U318" s="3"/>
      <c r="V318" s="3"/>
      <c r="W318" s="3"/>
    </row>
    <row r="319" spans="1:23" ht="12" customHeight="1" x14ac:dyDescent="0.25">
      <c r="A319" s="5"/>
      <c r="B319" s="3"/>
      <c r="C319" s="3"/>
      <c r="D319" s="3"/>
      <c r="E319" s="3"/>
      <c r="N319" s="3"/>
      <c r="O319" s="3"/>
      <c r="P319" s="3"/>
      <c r="Q319" s="3"/>
      <c r="R319" s="3"/>
      <c r="S319" s="3"/>
      <c r="T319" s="3"/>
      <c r="U319" s="3"/>
      <c r="V319" s="3"/>
      <c r="W319" s="3"/>
    </row>
    <row r="320" spans="1:23" ht="12" customHeight="1" x14ac:dyDescent="0.25">
      <c r="A320" s="5"/>
      <c r="B320" s="3"/>
      <c r="C320" s="3"/>
      <c r="D320" s="3"/>
      <c r="E320" s="3"/>
      <c r="N320" s="3"/>
      <c r="O320" s="3"/>
      <c r="P320" s="3"/>
      <c r="Q320" s="3"/>
      <c r="R320" s="3"/>
      <c r="S320" s="3"/>
      <c r="T320" s="3"/>
      <c r="U320" s="3"/>
      <c r="V320" s="3"/>
      <c r="W320" s="3"/>
    </row>
    <row r="321" spans="1:23" ht="12" customHeight="1" x14ac:dyDescent="0.25">
      <c r="A321" s="5"/>
      <c r="B321" s="3"/>
      <c r="C321" s="3"/>
      <c r="D321" s="3"/>
      <c r="E321" s="3"/>
      <c r="N321" s="3"/>
      <c r="O321" s="3"/>
      <c r="P321" s="3"/>
      <c r="Q321" s="3"/>
      <c r="R321" s="3"/>
      <c r="S321" s="3"/>
      <c r="T321" s="3"/>
      <c r="U321" s="3"/>
      <c r="V321" s="3"/>
      <c r="W321" s="3"/>
    </row>
    <row r="322" spans="1:23" ht="12" customHeight="1" x14ac:dyDescent="0.25">
      <c r="A322" s="5"/>
      <c r="B322" s="3"/>
      <c r="C322" s="3"/>
      <c r="D322" s="3"/>
      <c r="E322" s="3"/>
      <c r="N322" s="3"/>
      <c r="O322" s="3"/>
      <c r="P322" s="3"/>
      <c r="Q322" s="3"/>
      <c r="R322" s="3"/>
      <c r="S322" s="3"/>
      <c r="T322" s="3"/>
      <c r="U322" s="3"/>
      <c r="V322" s="3"/>
      <c r="W322" s="3"/>
    </row>
    <row r="323" spans="1:23" ht="12" customHeight="1" x14ac:dyDescent="0.25">
      <c r="A323" s="5"/>
      <c r="B323" s="3"/>
      <c r="C323" s="3"/>
      <c r="D323" s="3"/>
      <c r="E323" s="3"/>
      <c r="N323" s="3"/>
      <c r="O323" s="3"/>
      <c r="P323" s="3"/>
      <c r="Q323" s="3"/>
      <c r="R323" s="3"/>
      <c r="S323" s="3"/>
      <c r="T323" s="3"/>
      <c r="U323" s="3"/>
      <c r="V323" s="3"/>
      <c r="W323" s="3"/>
    </row>
    <row r="324" spans="1:23" ht="12" customHeight="1" x14ac:dyDescent="0.25">
      <c r="A324" s="5"/>
      <c r="B324" s="3"/>
      <c r="C324" s="3"/>
      <c r="D324" s="3"/>
      <c r="E324" s="3"/>
      <c r="N324" s="3"/>
      <c r="O324" s="3"/>
      <c r="P324" s="3"/>
      <c r="Q324" s="3"/>
      <c r="R324" s="3"/>
      <c r="S324" s="3"/>
      <c r="T324" s="3"/>
      <c r="U324" s="3"/>
      <c r="V324" s="3"/>
      <c r="W324" s="3"/>
    </row>
    <row r="325" spans="1:23" ht="12" customHeight="1" x14ac:dyDescent="0.25">
      <c r="A325" s="5"/>
      <c r="B325" s="3"/>
      <c r="C325" s="3"/>
      <c r="D325" s="3"/>
      <c r="E325" s="3"/>
      <c r="N325" s="3"/>
      <c r="O325" s="3"/>
      <c r="P325" s="3"/>
      <c r="Q325" s="3"/>
      <c r="R325" s="3"/>
      <c r="S325" s="3"/>
      <c r="T325" s="3"/>
      <c r="U325" s="3"/>
      <c r="V325" s="3"/>
      <c r="W325" s="3"/>
    </row>
    <row r="326" spans="1:23" ht="12" customHeight="1" x14ac:dyDescent="0.25">
      <c r="A326" s="5"/>
      <c r="B326" s="3"/>
      <c r="C326" s="3"/>
      <c r="D326" s="3"/>
      <c r="E326" s="3"/>
      <c r="N326" s="3"/>
      <c r="O326" s="3"/>
      <c r="P326" s="3"/>
      <c r="Q326" s="3"/>
      <c r="R326" s="3"/>
      <c r="S326" s="3"/>
      <c r="T326" s="3"/>
      <c r="U326" s="3"/>
      <c r="V326" s="3"/>
      <c r="W326" s="3"/>
    </row>
    <row r="327" spans="1:23" ht="12" customHeight="1" x14ac:dyDescent="0.25">
      <c r="A327" s="5"/>
      <c r="B327" s="3"/>
      <c r="C327" s="3"/>
      <c r="D327" s="3"/>
      <c r="E327" s="3"/>
      <c r="N327" s="3"/>
      <c r="O327" s="3"/>
      <c r="P327" s="3"/>
      <c r="Q327" s="3"/>
      <c r="R327" s="3"/>
      <c r="S327" s="3"/>
      <c r="T327" s="3"/>
      <c r="U327" s="3"/>
      <c r="V327" s="3"/>
      <c r="W327" s="3"/>
    </row>
    <row r="328" spans="1:23" ht="12" customHeight="1" x14ac:dyDescent="0.25">
      <c r="A328" s="5"/>
      <c r="B328" s="3"/>
      <c r="C328" s="3"/>
      <c r="D328" s="3"/>
      <c r="E328" s="3"/>
      <c r="N328" s="3"/>
      <c r="O328" s="3"/>
      <c r="P328" s="3"/>
      <c r="Q328" s="3"/>
      <c r="R328" s="3"/>
      <c r="S328" s="3"/>
      <c r="T328" s="3"/>
      <c r="U328" s="3"/>
      <c r="V328" s="3"/>
      <c r="W328" s="3"/>
    </row>
    <row r="329" spans="1:23" ht="12" customHeight="1" x14ac:dyDescent="0.25">
      <c r="A329" s="5"/>
      <c r="B329" s="3"/>
      <c r="C329" s="3"/>
      <c r="D329" s="3"/>
      <c r="E329" s="3"/>
      <c r="N329" s="3"/>
      <c r="O329" s="3"/>
      <c r="P329" s="3"/>
      <c r="Q329" s="3"/>
      <c r="R329" s="3"/>
      <c r="S329" s="3"/>
      <c r="T329" s="3"/>
      <c r="U329" s="3"/>
      <c r="V329" s="3"/>
      <c r="W329" s="3"/>
    </row>
    <row r="330" spans="1:23" ht="12" customHeight="1" x14ac:dyDescent="0.25">
      <c r="A330" s="5"/>
      <c r="B330" s="3"/>
      <c r="C330" s="3"/>
      <c r="D330" s="3"/>
      <c r="E330" s="3"/>
      <c r="N330" s="3"/>
      <c r="O330" s="3"/>
      <c r="P330" s="3"/>
      <c r="Q330" s="3"/>
      <c r="R330" s="3"/>
      <c r="S330" s="3"/>
      <c r="T330" s="3"/>
      <c r="U330" s="3"/>
      <c r="V330" s="3"/>
      <c r="W330" s="3"/>
    </row>
    <row r="331" spans="1:23" ht="12" customHeight="1" x14ac:dyDescent="0.25">
      <c r="A331" s="5"/>
      <c r="B331" s="3"/>
      <c r="C331" s="3"/>
      <c r="D331" s="3"/>
      <c r="E331" s="3"/>
      <c r="N331" s="3"/>
      <c r="O331" s="3"/>
      <c r="P331" s="3"/>
      <c r="Q331" s="3"/>
      <c r="R331" s="3"/>
      <c r="S331" s="3"/>
      <c r="T331" s="3"/>
      <c r="U331" s="3"/>
      <c r="V331" s="3"/>
      <c r="W331" s="3"/>
    </row>
    <row r="332" spans="1:23" ht="12" customHeight="1" x14ac:dyDescent="0.25">
      <c r="A332" s="5"/>
      <c r="B332" s="3"/>
      <c r="C332" s="3"/>
      <c r="D332" s="3"/>
      <c r="E332" s="3"/>
      <c r="N332" s="3"/>
      <c r="O332" s="3"/>
      <c r="P332" s="3"/>
      <c r="Q332" s="3"/>
      <c r="R332" s="3"/>
      <c r="S332" s="3"/>
      <c r="T332" s="3"/>
      <c r="U332" s="3"/>
      <c r="V332" s="3"/>
      <c r="W332" s="3"/>
    </row>
    <row r="333" spans="1:23" ht="12" customHeight="1" x14ac:dyDescent="0.25"/>
    <row r="334" spans="1:23" ht="12" customHeight="1" x14ac:dyDescent="0.25"/>
    <row r="335" spans="1:23" ht="12" customHeight="1" x14ac:dyDescent="0.25"/>
  </sheetData>
  <mergeCells count="17">
    <mergeCell ref="A6:W6"/>
    <mergeCell ref="B279:T279"/>
    <mergeCell ref="A117:A122"/>
    <mergeCell ref="B280:T280"/>
    <mergeCell ref="A125:A182"/>
    <mergeCell ref="A26:A40"/>
    <mergeCell ref="A9:A23"/>
    <mergeCell ref="A43:A70"/>
    <mergeCell ref="A73:A82"/>
    <mergeCell ref="A85:A106"/>
    <mergeCell ref="A185:A219"/>
    <mergeCell ref="A222:A247"/>
    <mergeCell ref="A109:A115"/>
    <mergeCell ref="B268:T268"/>
    <mergeCell ref="B271:T271"/>
    <mergeCell ref="A250:A265"/>
    <mergeCell ref="B275:T275"/>
  </mergeCells>
  <conditionalFormatting sqref="C83:K83 M83:AD83 H85:K105 C116:K116 M116:AD116 C183:K183 M183:AD183 C248:K248 M248:AD248 X249:AD266">
    <cfRule type="cellIs" dxfId="3" priority="34" operator="lessThan">
      <formula>0</formula>
    </cfRule>
    <cfRule type="cellIs" dxfId="2" priority="35" operator="greaterThan">
      <formula>0</formula>
    </cfRule>
  </conditionalFormatting>
  <conditionalFormatting sqref="H252:K253">
    <cfRule type="cellIs" dxfId="1" priority="1" operator="lessThan">
      <formula>0</formula>
    </cfRule>
    <cfRule type="cellIs" dxfId="0" priority="2" operator="greaterThan">
      <formula>0</formula>
    </cfRule>
  </conditionalFormatting>
  <pageMargins left="0.31496062992125984" right="0.27559055118110237" top="0.39370078740157483" bottom="0.27559055118110237" header="0.31496062992125984" footer="0.31496062992125984"/>
  <pageSetup paperSize="8" scale="92" fitToHeight="0" orientation="portrait" verticalDpi="1200" r:id="rId1"/>
  <rowBreaks count="3" manualBreakCount="3">
    <brk id="82" max="16383" man="1"/>
    <brk id="122" max="16383" man="1"/>
    <brk id="219" max="16383" man="1"/>
  </rowBreaks>
  <ignoredErrors>
    <ignoredError sqref="E11:T11 C28:T28 C75:T75 C123:T123 C172:T175 C215:T216 C283:T316 C68:T68 L61:T61 C60:T60 C57:F57 L57:T57 C56:T56 L52:T53 C39:T39 L35:T36 C41:T41 L40:T40 C239:T240 C134:T135 C125:T125 C148:T150 C161:T162 C185:T185 C194:T195 C204:T205 C223:T223 C282:K282 M282:T282 S136 C45:T45 U45:U50 C81:T82 H76:L76 U111 T87 C100:E100 T93 H225:L225 T226:T227 T236:T238 C246:T247 T241:T245 C114:T114 E14:T14 E12:F13 H12:T13 C31:T31 C29:F30 H29:T30 C34:T34 C32:F33 H32:T33 C35:F38 H37:T38 C40:F40 C43:F44 H43:T44 C48:T48 C46:F47 H46:T47 C51:T51 C49:F50 H49:T50 C52:F55 H54:T55 C58:F59 H58:T59 C61:F61 H62:L67 C70:T70 D69:F69 H69:L69 C71:T71 C73:F74 H73:T74 C77:F80 H77:T80 H85:T86 C107:T107 H87:R87 H88:T90 H93:R93 C93:F99 H94:T99 H100:S100 C105:E105 H105:T105 C126:F129 H126:T129 C133:F133 H133:T133 H136:Q136 C136:F143 H137:T143 C147:F147 H147:T147 C151:F156 H151:T156 C160:F160 H160:T160 C163:F167 H163:T167 C171:F171 H171:T171 C180:T180 C176:F179 H176:T179 C182:T182 C181:F181 H181:T181 C183:T183 C186:F189 H186:T189 C193:F193 H193:T193 C196:F199 H196:T199 C203:F203 H203:T203 C206:F210 H206:T210 C214:F214 H214:T214 C219:T219 C217:F218 H217:T218 H228:L228 C226:F227 H226:R227 H231:L231 C229:F230 H229:R230 C232:F232 H232:R232 C236:F238 H236:R238 C241:F245 H241:R245 C220:T220 V11:V14 V229:V230 C85:F86 H106:L106 C88:F90 C87:D87 C109:T112 H115:L115 C83:T83 N62:N67 P62:P67 R62:R67 T62:T67 N69:T69 H222:L222 H224:L224 T229:T230 T232" 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385d7dda-36d7-4821-81b7-b520134d5290" ContentTypeId="0x010100B3A60BB5C72B83428257DDBEADA4EC150C03" PreviousValue="fals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xCatchAll xmlns="e4804c32-7871-45d3-95fa-ff1f7964668d" xsi:nil="true"/>
    <a0a256c911d643be94495f23163b0368 xmlns="e4804c32-7871-45d3-95fa-ff1f7964668d">
      <Terms xmlns="http://schemas.microsoft.com/office/infopath/2007/PartnerControls"/>
    </a0a256c911d643be94495f23163b0368>
    <fa952f4731b848c7a0bfef97c3366b74 xmlns="e4804c32-7871-45d3-95fa-ff1f7964668d">
      <Terms xmlns="http://schemas.microsoft.com/office/infopath/2007/PartnerControls"/>
    </fa952f4731b848c7a0bfef97c3366b74>
    <bd087b0343734c43809c6e4b9bd46525 xmlns="e4804c32-7871-45d3-95fa-ff1f7964668d">
      <Terms xmlns="http://schemas.microsoft.com/office/infopath/2007/PartnerControls"/>
    </bd087b0343734c43809c6e4b9bd46525>
    <ca03454e456e4dc09a119188494cc772 xmlns="e4804c32-7871-45d3-95fa-ff1f7964668d">
      <Terms xmlns="http://schemas.microsoft.com/office/infopath/2007/PartnerControls"/>
    </ca03454e456e4dc09a119188494cc772>
  </documentManagement>
</p:properties>
</file>

<file path=customXml/item4.xml><?xml version="1.0" encoding="utf-8"?>
<ct:contentTypeSchema xmlns:ct="http://schemas.microsoft.com/office/2006/metadata/contentType" xmlns:ma="http://schemas.microsoft.com/office/2006/metadata/properties/metaAttributes" ct:_="" ma:_="" ma:contentTypeName="Investor Report" ma:contentTypeID="0x010100B3A60BB5C72B83428257DDBEADA4EC150C030056374B5BE9A42244A01EE6E29E4BD400" ma:contentTypeVersion="4" ma:contentTypeDescription="" ma:contentTypeScope="" ma:versionID="235d7148316cbae6949febb3358a531e">
  <xsd:schema xmlns:xsd="http://www.w3.org/2001/XMLSchema" xmlns:xs="http://www.w3.org/2001/XMLSchema" xmlns:p="http://schemas.microsoft.com/office/2006/metadata/properties" xmlns:ns1="http://schemas.microsoft.com/sharepoint/v3" xmlns:ns2="e4804c32-7871-45d3-95fa-ff1f7964668d" targetNamespace="http://schemas.microsoft.com/office/2006/metadata/properties" ma:root="true" ma:fieldsID="610206b073918a9a0b63000fadab21d6" ns1:_="" ns2:_="">
    <xsd:import namespace="http://schemas.microsoft.com/sharepoint/v3"/>
    <xsd:import namespace="e4804c32-7871-45d3-95fa-ff1f7964668d"/>
    <xsd:element name="properties">
      <xsd:complexType>
        <xsd:sequence>
          <xsd:element name="documentManagement">
            <xsd:complexType>
              <xsd:all>
                <xsd:element ref="ns2:TaxCatchAll" minOccurs="0"/>
                <xsd:element ref="ns2:TaxCatchAllLabel" minOccurs="0"/>
                <xsd:element ref="ns1:Language" minOccurs="0"/>
                <xsd:element ref="ns2:ca03454e456e4dc09a119188494cc772" minOccurs="0"/>
                <xsd:element ref="ns2:a0a256c911d643be94495f23163b0368" minOccurs="0"/>
                <xsd:element ref="ns2:bd087b0343734c43809c6e4b9bd46525" minOccurs="0"/>
                <xsd:element ref="ns2:fa952f4731b848c7a0bfef97c3366b74"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0" nillable="true" ma:displayName="Language" ma:default="English" ma:format="Dropdown" ma:internalName="Language">
      <xsd:simpleType>
        <xsd:union memberTypes="dms:Text">
          <xsd:simpleType>
            <xsd:restriction base="dms:Choice">
              <xsd:enumeration value="Arabic (Saudi Arabia)"/>
              <xsd:enumeration value="Bulgarian (Bulgaria)"/>
              <xsd:enumeration value="Chinese (Hong Kong S.A.R.)"/>
              <xsd:enumeration value="Chinese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Latin Americ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e4804c32-7871-45d3-95fa-ff1f7964668d"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f724d9a8-c4e7-457e-a54a-77095ba5dae8}" ma:internalName="TaxCatchAll" ma:showField="CatchAllData" ma:web="26e170cd-0fe8-49e4-aaed-562a894b64b5">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f724d9a8-c4e7-457e-a54a-77095ba5dae8}" ma:internalName="TaxCatchAllLabel" ma:readOnly="true" ma:showField="CatchAllDataLabel" ma:web="26e170cd-0fe8-49e4-aaed-562a894b64b5">
      <xsd:complexType>
        <xsd:complexContent>
          <xsd:extension base="dms:MultiChoiceLookup">
            <xsd:sequence>
              <xsd:element name="Value" type="dms:Lookup" maxOccurs="unbounded" minOccurs="0" nillable="true"/>
            </xsd:sequence>
          </xsd:extension>
        </xsd:complexContent>
      </xsd:complexType>
    </xsd:element>
    <xsd:element name="ca03454e456e4dc09a119188494cc772" ma:index="11" nillable="true" ma:taxonomy="true" ma:internalName="ca03454e456e4dc09a119188494cc772" ma:taxonomyFieldName="Stage" ma:displayName="Stage" ma:default="" ma:fieldId="{ca03454e-456e-4dc0-9a11-9188494cc772}" ma:sspId="385d7dda-36d7-4821-81b7-b520134d5290" ma:termSetId="f409b094-84b0-4704-b19b-1c310378f685" ma:anchorId="00000000-0000-0000-0000-000000000000" ma:open="false" ma:isKeyword="false">
      <xsd:complexType>
        <xsd:sequence>
          <xsd:element ref="pc:Terms" minOccurs="0" maxOccurs="1"/>
        </xsd:sequence>
      </xsd:complexType>
    </xsd:element>
    <xsd:element name="a0a256c911d643be94495f23163b0368" ma:index="13" nillable="true" ma:taxonomy="true" ma:internalName="a0a256c911d643be94495f23163b0368" ma:taxonomyFieldName="Vista_x0020_Group" ma:displayName="Vista Group" ma:default="" ma:fieldId="{a0a256c9-11d6-43be-9449-5f23163b0368}" ma:sspId="385d7dda-36d7-4821-81b7-b520134d5290" ma:termSetId="5454e047-0bf5-4900-818c-977c75f1c432" ma:anchorId="00000000-0000-0000-0000-000000000000" ma:open="false" ma:isKeyword="false">
      <xsd:complexType>
        <xsd:sequence>
          <xsd:element ref="pc:Terms" minOccurs="0" maxOccurs="1"/>
        </xsd:sequence>
      </xsd:complexType>
    </xsd:element>
    <xsd:element name="bd087b0343734c43809c6e4b9bd46525" ma:index="15" nillable="true" ma:taxonomy="true" ma:internalName="bd087b0343734c43809c6e4b9bd46525" ma:taxonomyFieldName="Visibility" ma:displayName="Visibility" ma:default="" ma:fieldId="{bd087b03-4373-4c43-809c-6e4b9bd46525}" ma:sspId="385d7dda-36d7-4821-81b7-b520134d5290" ma:termSetId="c21c4775-f86c-44a3-b786-e5dff1b7d1c1" ma:anchorId="00000000-0000-0000-0000-000000000000" ma:open="false" ma:isKeyword="false">
      <xsd:complexType>
        <xsd:sequence>
          <xsd:element ref="pc:Terms" minOccurs="0" maxOccurs="1"/>
        </xsd:sequence>
      </xsd:complexType>
    </xsd:element>
    <xsd:element name="fa952f4731b848c7a0bfef97c3366b74" ma:index="17" nillable="true" ma:taxonomy="true" ma:internalName="fa952f4731b848c7a0bfef97c3366b74" ma:taxonomyFieldName="Topic" ma:displayName="Topic" ma:default="" ma:fieldId="{fa952f47-31b8-48c7-a0bf-ef97c3366b74}" ma:taxonomyMulti="true" ma:sspId="385d7dda-36d7-4821-81b7-b520134d5290" ma:termSetId="946c6ede-daa8-4f68-9b9d-500a7a19f765"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14C9796-06E1-4205-A3C8-E3349214AD63}">
  <ds:schemaRefs>
    <ds:schemaRef ds:uri="Microsoft.SharePoint.Taxonomy.ContentTypeSync"/>
  </ds:schemaRefs>
</ds:datastoreItem>
</file>

<file path=customXml/itemProps2.xml><?xml version="1.0" encoding="utf-8"?>
<ds:datastoreItem xmlns:ds="http://schemas.openxmlformats.org/officeDocument/2006/customXml" ds:itemID="{AE868BE9-0692-4403-838A-115855F18BCA}">
  <ds:schemaRefs>
    <ds:schemaRef ds:uri="http://schemas.microsoft.com/sharepoint/v3/contenttype/forms"/>
  </ds:schemaRefs>
</ds:datastoreItem>
</file>

<file path=customXml/itemProps3.xml><?xml version="1.0" encoding="utf-8"?>
<ds:datastoreItem xmlns:ds="http://schemas.openxmlformats.org/officeDocument/2006/customXml" ds:itemID="{A6BF4412-3546-49E1-B968-3EB1341DDF2E}">
  <ds:schemaRefs>
    <ds:schemaRef ds:uri="http://schemas.microsoft.com/office/2006/metadata/properties"/>
    <ds:schemaRef ds:uri="http://schemas.microsoft.com/office/infopath/2007/PartnerControls"/>
    <ds:schemaRef ds:uri="http://schemas.microsoft.com/sharepoint/v3"/>
    <ds:schemaRef ds:uri="e4804c32-7871-45d3-95fa-ff1f7964668d"/>
  </ds:schemaRefs>
</ds:datastoreItem>
</file>

<file path=customXml/itemProps4.xml><?xml version="1.0" encoding="utf-8"?>
<ds:datastoreItem xmlns:ds="http://schemas.openxmlformats.org/officeDocument/2006/customXml" ds:itemID="{7B814D8C-CB67-4369-905E-2EFB20892E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4804c32-7871-45d3-95fa-ff1f7964668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Summary</vt:lpstr>
      <vt:lpstr>Summary!Print_Area</vt:lpstr>
      <vt:lpstr>Summary!Print_Titles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Matt Thompson</dc:creator>
  <cp:keywords/>
  <dc:description/>
  <cp:lastModifiedBy>Abigail Butchart</cp:lastModifiedBy>
  <cp:revision/>
  <cp:lastPrinted>2025-08-07T23:46:42Z</cp:lastPrinted>
  <dcterms:created xsi:type="dcterms:W3CDTF">2024-02-23T03:11:26Z</dcterms:created>
  <dcterms:modified xsi:type="dcterms:W3CDTF">2025-08-07T23:46:57Z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Jet Reports Function Literals">
    <vt:lpwstr>,	;	,	{	}	[@[{0}]]	1033	5129</vt:lpwstr>
  </property>
  <property fmtid="{D5CDD505-2E9C-101B-9397-08002B2CF9AE}" pid="3" name="ContentTypeId">
    <vt:lpwstr>0x010100B3A60BB5C72B83428257DDBEADA4EC150C030056374B5BE9A42244A01EE6E29E4BD400</vt:lpwstr>
  </property>
  <property fmtid="{D5CDD505-2E9C-101B-9397-08002B2CF9AE}" pid="4" name="Vista Group">
    <vt:lpwstr/>
  </property>
  <property fmtid="{D5CDD505-2E9C-101B-9397-08002B2CF9AE}" pid="5" name="Topic">
    <vt:lpwstr/>
  </property>
  <property fmtid="{D5CDD505-2E9C-101B-9397-08002B2CF9AE}" pid="6" name="Stage">
    <vt:lpwstr/>
  </property>
  <property fmtid="{D5CDD505-2E9C-101B-9397-08002B2CF9AE}" pid="7" name="MediaServiceImageTags">
    <vt:lpwstr/>
  </property>
  <property fmtid="{D5CDD505-2E9C-101B-9397-08002B2CF9AE}" pid="8" name="lcf76f155ced4ddcb4097134ff3c332f">
    <vt:lpwstr/>
  </property>
  <property fmtid="{D5CDD505-2E9C-101B-9397-08002B2CF9AE}" pid="9" name="Visibility">
    <vt:lpwstr/>
  </property>
</Properties>
</file>