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https://hhmcpas-my.sharepoint.com/personal/oyoung_hhmcpas_com1/Documents/Documents/TRAINING/HHM Academy/"/>
    </mc:Choice>
  </mc:AlternateContent>
  <xr:revisionPtr revIDLastSave="234" documentId="13_ncr:1_{C4577E40-A5B4-4FD0-9314-9AEDBC0A63F9}" xr6:coauthVersionLast="47" xr6:coauthVersionMax="47" xr10:uidLastSave="{1327BB2E-7F34-4F10-B455-5EC7E0F00CF0}"/>
  <bookViews>
    <workbookView xWindow="-24120" yWindow="-1785" windowWidth="24240" windowHeight="13140" firstSheet="1" activeTab="1" xr2:uid="{E2481CBC-F13B-4331-9218-F10F9844F6C4}"/>
  </bookViews>
  <sheets>
    <sheet name="HAG Consolidated" sheetId="1" state="hidden" r:id="rId1"/>
    <sheet name="Instructions" sheetId="39" r:id="rId2"/>
    <sheet name="Chargeback Analysis 2024" sheetId="36" r:id="rId3"/>
    <sheet name="Chargeback Analysis 2021" sheetId="35" state="hidden" r:id="rId4"/>
    <sheet name="Chargeback Analysis 2020" sheetId="34" state="hidden" r:id="rId5"/>
    <sheet name="Chargeback Analysis 2019" sheetId="33" state="hidden" r:id="rId6"/>
    <sheet name="Chargeback Analysis 2018" sheetId="32" state="hidden" r:id="rId7"/>
    <sheet name="Chargeback Analysis 2017" sheetId="29" state="hidden" r:id="rId8"/>
    <sheet name="Summary of Data" sheetId="30" r:id="rId9"/>
    <sheet name="TB Links" sheetId="37" r:id="rId10"/>
    <sheet name="Label List" sheetId="38" r:id="rId11"/>
    <sheet name="SUMMARY FI (3)" sheetId="23" state="hidden" r:id="rId12"/>
    <sheet name="SUMMARY FI (2)" sheetId="21" state="hidden" r:id="rId13"/>
    <sheet name="SUMMARY FI" sheetId="18" state="hidden" r:id="rId14"/>
    <sheet name="New Vehicle" sheetId="4" state="hidden" r:id="rId15"/>
    <sheet name="Used Vehicle" sheetId="12" state="hidden" r:id="rId16"/>
    <sheet name="Service" sheetId="13" state="hidden" r:id="rId17"/>
    <sheet name="Parts &amp; Accessories" sheetId="14" state="hidden" r:id="rId18"/>
    <sheet name="Body Shop" sheetId="16" state="hidden" r:id="rId19"/>
    <sheet name="Dealership Totals" sheetId="15" state="hidden" r:id="rId20"/>
    <sheet name="CB 2016" sheetId="17" state="hidden" r:id="rId21"/>
    <sheet name="CB 2015" sheetId="19" state="hidden" r:id="rId22"/>
    <sheet name="2014" sheetId="20" state="hidden" r:id="rId23"/>
    <sheet name="Income Accounts" sheetId="11" state="hidden" r:id="rId24"/>
  </sheets>
  <externalReferences>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s>
  <definedNames>
    <definedName name="_xlnm._FilterDatabase" localSheetId="9" hidden="1">'TB Links'!$C$21:$H$35</definedName>
    <definedName name="_xlnm.Print_Area" localSheetId="7">'Chargeback Analysis 2017'!$A$1:$L$60</definedName>
    <definedName name="_xlnm.Print_Area" localSheetId="6">'Chargeback Analysis 2018'!$A$1:$L$60</definedName>
    <definedName name="_xlnm.Print_Area" localSheetId="5">'Chargeback Analysis 2019'!$A$1:$M$59</definedName>
    <definedName name="_xlnm.Print_Area" localSheetId="4">'Chargeback Analysis 2020'!$A$1:$M$59</definedName>
    <definedName name="_xlnm.Print_Area" localSheetId="3">'Chargeback Analysis 2021'!$A$1:$M$59</definedName>
    <definedName name="_xlnm.Print_Area" localSheetId="2">'Chargeback Analysis 2024'!$A$1:$I$58</definedName>
    <definedName name="_xlnm.Print_Area" localSheetId="14">'New Vehicle'!$A$1:$AC$84</definedName>
    <definedName name="_xlnm.Print_Area" localSheetId="17">'Parts &amp; Accessories'!$A$1:$AC$99</definedName>
    <definedName name="_xlnm.Print_Area" localSheetId="16">Service!$A$1:$AC$94</definedName>
    <definedName name="_xlnm.Print_Area" localSheetId="15">'Used Vehicle'!$A$1:$AC$91</definedName>
    <definedName name="_xlnm.Print_Titles" localSheetId="7">'Chargeback Analysis 2017'!$1:$6</definedName>
    <definedName name="_xlnm.Print_Titles" localSheetId="6">'Chargeback Analysis 2018'!$1:$6</definedName>
    <definedName name="_xlnm.Print_Titles" localSheetId="5">'Chargeback Analysis 2019'!$1:$6</definedName>
    <definedName name="_xlnm.Print_Titles" localSheetId="4">'Chargeback Analysis 2020'!$1:$6</definedName>
    <definedName name="_xlnm.Print_Titles" localSheetId="3">'Chargeback Analysis 2021'!$1:$6</definedName>
    <definedName name="_xlnm.Print_Titles" localSheetId="2">'Chargeback Analysis 2024'!$1:$6</definedName>
    <definedName name="_xlnm.Print_Titles" localSheetId="19">'Dealership Totals'!$A:$A,'Dealership Totals'!$1:$5</definedName>
    <definedName name="_xlnm.Print_Titles" localSheetId="0">'HAG Consolidated'!$A:$A,'HAG Consolidated'!$1:$4</definedName>
    <definedName name="_xlnm.Print_Titles" localSheetId="14">'New Vehicle'!$A:$A,'New Vehicle'!$1:$5</definedName>
    <definedName name="_xlnm.Print_Titles" localSheetId="17">'Parts &amp; Accessories'!$A:$A,'Parts &amp; Accessories'!$1:$5</definedName>
    <definedName name="_xlnm.Print_Titles" localSheetId="16">Service!$A:$A,Service!$1:$5</definedName>
    <definedName name="_xlnm.Print_Titles" localSheetId="15">'Used Vehicle'!$A:$A,'Used Vehicle'!$1:$5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8" i="37" l="1"/>
  <c r="G58" i="37"/>
  <c r="F59" i="37"/>
  <c r="G59" i="37"/>
  <c r="F60" i="37"/>
  <c r="G60" i="37"/>
  <c r="F61" i="37"/>
  <c r="G61" i="37"/>
  <c r="F62" i="37"/>
  <c r="G62" i="37"/>
  <c r="F63" i="37"/>
  <c r="G63" i="37"/>
  <c r="F64" i="37"/>
  <c r="G64" i="37"/>
  <c r="F65" i="37"/>
  <c r="G65" i="37"/>
  <c r="F66" i="37"/>
  <c r="G66" i="37"/>
  <c r="F67" i="37"/>
  <c r="G67" i="37"/>
  <c r="F68" i="37"/>
  <c r="G68" i="37"/>
  <c r="F69" i="37"/>
  <c r="G69" i="37"/>
  <c r="F70" i="37"/>
  <c r="G70" i="37"/>
  <c r="F71" i="37"/>
  <c r="G71" i="37"/>
  <c r="F72" i="37"/>
  <c r="G72" i="37"/>
  <c r="F73" i="37"/>
  <c r="G73" i="37"/>
  <c r="F74" i="37"/>
  <c r="G74" i="37"/>
  <c r="F75" i="37"/>
  <c r="G75" i="37"/>
  <c r="F76" i="37"/>
  <c r="G76" i="37"/>
  <c r="F77" i="37"/>
  <c r="G77" i="37"/>
  <c r="F78" i="37"/>
  <c r="G78" i="37"/>
  <c r="F79" i="37"/>
  <c r="G79" i="37"/>
  <c r="F80" i="37"/>
  <c r="G80" i="37"/>
  <c r="F81" i="37"/>
  <c r="G81" i="37"/>
  <c r="F82" i="37"/>
  <c r="G82" i="37"/>
  <c r="F83" i="37"/>
  <c r="G83" i="37"/>
  <c r="F84" i="37"/>
  <c r="G84" i="37"/>
  <c r="F85" i="37"/>
  <c r="G85" i="37"/>
  <c r="F86" i="37"/>
  <c r="G86" i="37"/>
  <c r="F87" i="37"/>
  <c r="G87" i="37"/>
  <c r="F88" i="37"/>
  <c r="G88" i="37"/>
  <c r="F89" i="37"/>
  <c r="G89" i="37"/>
  <c r="F90" i="37"/>
  <c r="G90" i="37"/>
  <c r="F91" i="37"/>
  <c r="G91" i="37"/>
  <c r="F92" i="37"/>
  <c r="G92" i="37"/>
  <c r="F93" i="37"/>
  <c r="G93" i="37"/>
  <c r="F94" i="37"/>
  <c r="G94" i="37"/>
  <c r="F95" i="37"/>
  <c r="G95" i="37"/>
  <c r="F96" i="37"/>
  <c r="G96" i="37"/>
  <c r="F97" i="37"/>
  <c r="G97" i="37"/>
  <c r="F98" i="37"/>
  <c r="G98" i="37"/>
  <c r="F99" i="37"/>
  <c r="G99" i="37"/>
  <c r="F100" i="37"/>
  <c r="G100" i="37"/>
  <c r="F101" i="37"/>
  <c r="G101" i="37"/>
  <c r="F102" i="37"/>
  <c r="G102" i="37"/>
  <c r="F103" i="37"/>
  <c r="G103" i="37"/>
  <c r="F104" i="37"/>
  <c r="G104" i="37"/>
  <c r="F105" i="37"/>
  <c r="G105" i="37"/>
  <c r="F106" i="37"/>
  <c r="G106" i="37"/>
  <c r="F107" i="37"/>
  <c r="G107" i="37"/>
  <c r="F108" i="37"/>
  <c r="G108" i="37"/>
  <c r="F109" i="37"/>
  <c r="G109" i="37"/>
  <c r="F110" i="37"/>
  <c r="G110" i="37"/>
  <c r="F111" i="37"/>
  <c r="G111" i="37"/>
  <c r="F112" i="37"/>
  <c r="G112" i="37"/>
  <c r="F113" i="37"/>
  <c r="G113" i="37"/>
  <c r="F114" i="37"/>
  <c r="G114" i="37"/>
  <c r="F115" i="37"/>
  <c r="G115" i="37"/>
  <c r="F116" i="37"/>
  <c r="G116" i="37"/>
  <c r="F117" i="37"/>
  <c r="G117" i="37"/>
  <c r="F118" i="37"/>
  <c r="G118" i="37"/>
  <c r="F119" i="37"/>
  <c r="G119" i="37"/>
  <c r="F120" i="37"/>
  <c r="G120" i="37"/>
  <c r="F121" i="37"/>
  <c r="G121" i="37"/>
  <c r="F122" i="37"/>
  <c r="G122" i="37"/>
  <c r="F123" i="37"/>
  <c r="G123" i="37"/>
  <c r="F124" i="37"/>
  <c r="G124" i="37"/>
  <c r="F125" i="37"/>
  <c r="G125" i="37"/>
  <c r="F126" i="37"/>
  <c r="G126" i="37"/>
  <c r="F127" i="37"/>
  <c r="G127" i="37"/>
  <c r="F128" i="37"/>
  <c r="G128" i="37"/>
  <c r="F129" i="37"/>
  <c r="G129" i="37"/>
  <c r="F130" i="37"/>
  <c r="G130" i="37"/>
  <c r="F131" i="37"/>
  <c r="G131" i="37"/>
  <c r="F132" i="37"/>
  <c r="G132" i="37"/>
  <c r="F133" i="37"/>
  <c r="G133" i="37"/>
  <c r="F134" i="37"/>
  <c r="G134" i="37"/>
  <c r="F135" i="37"/>
  <c r="G135" i="37"/>
  <c r="F136" i="37"/>
  <c r="G136" i="37"/>
  <c r="F137" i="37"/>
  <c r="G137" i="37"/>
  <c r="F138" i="37"/>
  <c r="G138" i="37"/>
  <c r="F139" i="37"/>
  <c r="G139" i="37"/>
  <c r="F140" i="37"/>
  <c r="G140" i="37"/>
  <c r="F141" i="37"/>
  <c r="G141" i="37"/>
  <c r="F142" i="37"/>
  <c r="G142" i="37"/>
  <c r="F143" i="37"/>
  <c r="G143" i="37"/>
  <c r="F144" i="37"/>
  <c r="G144" i="37"/>
  <c r="F145" i="37"/>
  <c r="G145" i="37"/>
  <c r="F146" i="37"/>
  <c r="G146" i="37"/>
  <c r="F147" i="37"/>
  <c r="G147" i="37"/>
  <c r="F148" i="37"/>
  <c r="G148" i="37"/>
  <c r="F149" i="37"/>
  <c r="G149" i="37"/>
  <c r="F150" i="37"/>
  <c r="G150" i="37"/>
  <c r="F151" i="37"/>
  <c r="G151" i="37"/>
  <c r="F152" i="37"/>
  <c r="G152" i="37"/>
  <c r="F153" i="37"/>
  <c r="G153" i="37"/>
  <c r="F154" i="37"/>
  <c r="G154" i="37"/>
  <c r="F155" i="37"/>
  <c r="G155" i="37"/>
  <c r="F156" i="37"/>
  <c r="G156" i="37"/>
  <c r="F157" i="37"/>
  <c r="G157" i="37"/>
  <c r="F158" i="37"/>
  <c r="G158" i="37"/>
  <c r="F159" i="37"/>
  <c r="G159" i="37"/>
  <c r="F160" i="37"/>
  <c r="G160" i="37"/>
  <c r="F161" i="37"/>
  <c r="G161" i="37"/>
  <c r="F162" i="37"/>
  <c r="G162" i="37"/>
  <c r="G47" i="37"/>
  <c r="E88" i="37"/>
  <c r="G25" i="37"/>
  <c r="G53" i="37"/>
  <c r="E106" i="37"/>
  <c r="E148" i="37"/>
  <c r="E114" i="37"/>
  <c r="F26" i="37"/>
  <c r="E97" i="37"/>
  <c r="F38" i="37"/>
  <c r="E68" i="37"/>
  <c r="E61" i="37"/>
  <c r="E23" i="37"/>
  <c r="E153" i="37"/>
  <c r="E34" i="37"/>
  <c r="E27" i="37"/>
  <c r="F57" i="37"/>
  <c r="E39" i="37"/>
  <c r="F54" i="37"/>
  <c r="F23" i="37"/>
  <c r="E101" i="37"/>
  <c r="E32" i="37"/>
  <c r="F47" i="37"/>
  <c r="G54" i="37"/>
  <c r="E128" i="37"/>
  <c r="E86" i="37"/>
  <c r="E126" i="37"/>
  <c r="F33" i="37"/>
  <c r="F32" i="37"/>
  <c r="F37" i="37"/>
  <c r="E63" i="37"/>
  <c r="E22" i="37"/>
  <c r="G44" i="37"/>
  <c r="E47" i="37"/>
  <c r="E110" i="37"/>
  <c r="E156" i="37"/>
  <c r="E107" i="37"/>
  <c r="G28" i="37"/>
  <c r="E71" i="37"/>
  <c r="E119" i="37"/>
  <c r="G37" i="37"/>
  <c r="E151" i="37"/>
  <c r="E143" i="37"/>
  <c r="G31" i="37"/>
  <c r="E52" i="37"/>
  <c r="G26" i="37"/>
  <c r="F41" i="37"/>
  <c r="E43" i="37"/>
  <c r="E25" i="37"/>
  <c r="F51" i="37"/>
  <c r="G52" i="37"/>
  <c r="E48" i="37"/>
  <c r="E35" i="37"/>
  <c r="F39" i="37"/>
  <c r="E136" i="37"/>
  <c r="F36" i="37"/>
  <c r="E56" i="37"/>
  <c r="G32" i="37"/>
  <c r="E115" i="37"/>
  <c r="E125" i="37"/>
  <c r="E89" i="37"/>
  <c r="G56" i="37"/>
  <c r="G38" i="37"/>
  <c r="E65" i="37"/>
  <c r="F28" i="37"/>
  <c r="E46" i="37"/>
  <c r="E37" i="37"/>
  <c r="E59" i="37"/>
  <c r="E83" i="37"/>
  <c r="E103" i="37"/>
  <c r="E141" i="37"/>
  <c r="E150" i="37"/>
  <c r="E79" i="37"/>
  <c r="E149" i="37"/>
  <c r="E49" i="37"/>
  <c r="E146" i="37"/>
  <c r="F22" i="37"/>
  <c r="E38" i="37"/>
  <c r="G50" i="37"/>
  <c r="E112" i="37"/>
  <c r="E40" i="37"/>
  <c r="G45" i="37"/>
  <c r="E69" i="37"/>
  <c r="E57" i="37"/>
  <c r="F31" i="37"/>
  <c r="F42" i="37"/>
  <c r="E24" i="37"/>
  <c r="G24" i="37"/>
  <c r="E73" i="37"/>
  <c r="E76" i="37"/>
  <c r="E152" i="37"/>
  <c r="E30" i="37"/>
  <c r="E155" i="37"/>
  <c r="E90" i="37"/>
  <c r="F40" i="37"/>
  <c r="E147" i="37"/>
  <c r="G40" i="37"/>
  <c r="E162" i="37"/>
  <c r="E133" i="37"/>
  <c r="E117" i="37"/>
  <c r="E74" i="37"/>
  <c r="E134" i="37"/>
  <c r="F55" i="37"/>
  <c r="F43" i="37"/>
  <c r="E138" i="37"/>
  <c r="E102" i="37"/>
  <c r="E132" i="37"/>
  <c r="E131" i="37"/>
  <c r="E123" i="37"/>
  <c r="F50" i="37"/>
  <c r="E129" i="37"/>
  <c r="E122" i="37"/>
  <c r="E85" i="37"/>
  <c r="E60" i="37"/>
  <c r="G46" i="37"/>
  <c r="E81" i="37"/>
  <c r="E121" i="37"/>
  <c r="G33" i="37"/>
  <c r="E158" i="37"/>
  <c r="F52" i="37"/>
  <c r="F29" i="37"/>
  <c r="E87" i="37"/>
  <c r="F44" i="37"/>
  <c r="E140" i="37"/>
  <c r="E137" i="37"/>
  <c r="G43" i="37"/>
  <c r="E118" i="37"/>
  <c r="F53" i="37"/>
  <c r="E31" i="37"/>
  <c r="E93" i="37"/>
  <c r="E53" i="37"/>
  <c r="F56" i="37"/>
  <c r="E116" i="37"/>
  <c r="E157" i="37"/>
  <c r="F48" i="37"/>
  <c r="E105" i="37"/>
  <c r="F46" i="37"/>
  <c r="G23" i="37"/>
  <c r="G35" i="37"/>
  <c r="E161" i="37"/>
  <c r="G49" i="37"/>
  <c r="E29" i="37"/>
  <c r="G39" i="37"/>
  <c r="E127" i="37"/>
  <c r="E120" i="37"/>
  <c r="E84" i="37"/>
  <c r="E62" i="37"/>
  <c r="E160" i="37"/>
  <c r="E54" i="37"/>
  <c r="E72" i="37"/>
  <c r="E145" i="37"/>
  <c r="E154" i="37"/>
  <c r="E99" i="37"/>
  <c r="E95" i="37"/>
  <c r="E50" i="37"/>
  <c r="E51" i="37"/>
  <c r="E98" i="37"/>
  <c r="E82" i="37"/>
  <c r="E41" i="37"/>
  <c r="F24" i="37"/>
  <c r="E94" i="37"/>
  <c r="E113" i="37"/>
  <c r="E144" i="37"/>
  <c r="E26" i="37"/>
  <c r="G22" i="37"/>
  <c r="G42" i="37"/>
  <c r="G29" i="37"/>
  <c r="F25" i="37"/>
  <c r="E109" i="37"/>
  <c r="E124" i="37"/>
  <c r="E130" i="37"/>
  <c r="G36" i="37"/>
  <c r="E96" i="37"/>
  <c r="E108" i="37"/>
  <c r="E75" i="37"/>
  <c r="E55" i="37"/>
  <c r="F34" i="37"/>
  <c r="F27" i="37"/>
  <c r="E159" i="37"/>
  <c r="G27" i="37"/>
  <c r="E70" i="37"/>
  <c r="E28" i="37"/>
  <c r="G48" i="37"/>
  <c r="F49" i="37"/>
  <c r="E100" i="37"/>
  <c r="E67" i="37"/>
  <c r="G51" i="37"/>
  <c r="E135" i="37"/>
  <c r="G41" i="37"/>
  <c r="E36" i="37"/>
  <c r="E91" i="37"/>
  <c r="E66" i="37"/>
  <c r="E78" i="37"/>
  <c r="E33" i="37"/>
  <c r="E77" i="37"/>
  <c r="G55" i="37"/>
  <c r="F35" i="37"/>
  <c r="G57" i="37"/>
  <c r="F45" i="37"/>
  <c r="E104" i="37"/>
  <c r="E80" i="37"/>
  <c r="E58" i="37"/>
  <c r="E139" i="37"/>
  <c r="E92" i="37"/>
  <c r="E142" i="37"/>
  <c r="E45" i="37"/>
  <c r="E44" i="37"/>
  <c r="E111" i="37"/>
  <c r="G34" i="37"/>
  <c r="E42" i="37"/>
  <c r="E64" i="37"/>
  <c r="E3" i="37" l="1"/>
  <c r="C7" i="30" s="1"/>
  <c r="E42" i="36"/>
  <c r="G30" i="37"/>
  <c r="F30" i="37"/>
  <c r="E8" i="30" l="1"/>
  <c r="F42" i="36"/>
  <c r="H42" i="36" s="1"/>
  <c r="A1" i="36" l="1"/>
  <c r="E5" i="36"/>
  <c r="E10" i="30" l="1"/>
  <c r="E17" i="30" s="1"/>
  <c r="C10" i="30"/>
  <c r="G10" i="30"/>
  <c r="G17" i="30" s="1"/>
  <c r="E35" i="36" l="1"/>
  <c r="C12" i="30"/>
  <c r="E12" i="30"/>
  <c r="E22" i="30" s="1"/>
  <c r="G12" i="30"/>
  <c r="G22" i="30" s="1"/>
  <c r="C8" i="30"/>
  <c r="E20" i="30"/>
  <c r="G8" i="30"/>
  <c r="G20" i="30" s="1"/>
  <c r="F35" i="36" l="1"/>
  <c r="H35" i="36" s="1"/>
  <c r="G3" i="37"/>
  <c r="G7" i="30" s="1"/>
  <c r="G4" i="37" l="1"/>
  <c r="G16" i="30" l="1"/>
  <c r="G18" i="30" s="1"/>
  <c r="E34" i="36"/>
  <c r="A16" i="30"/>
  <c r="A20" i="30"/>
  <c r="A17" i="30"/>
  <c r="F34" i="36" l="1"/>
  <c r="E36" i="36"/>
  <c r="C22" i="30"/>
  <c r="E30" i="36"/>
  <c r="F30" i="36" s="1"/>
  <c r="C17" i="30"/>
  <c r="E11" i="36" s="1"/>
  <c r="F3" i="37"/>
  <c r="E7" i="30" l="1"/>
  <c r="E22" i="36" s="1"/>
  <c r="E38" i="36"/>
  <c r="E18" i="36"/>
  <c r="F18" i="36" s="1"/>
  <c r="F36" i="36"/>
  <c r="F38" i="36" s="1"/>
  <c r="H34" i="36"/>
  <c r="H36" i="36" s="1"/>
  <c r="E40" i="36"/>
  <c r="F40" i="36" s="1"/>
  <c r="F4" i="37"/>
  <c r="E23" i="36"/>
  <c r="F23" i="36" s="1"/>
  <c r="H23" i="36" s="1"/>
  <c r="C16" i="30"/>
  <c r="E10" i="36" s="1"/>
  <c r="E12" i="36" s="1"/>
  <c r="E16" i="36" s="1"/>
  <c r="C20" i="30"/>
  <c r="E17" i="36" s="1"/>
  <c r="E4" i="37"/>
  <c r="H33" i="36"/>
  <c r="H30" i="36"/>
  <c r="C29" i="36"/>
  <c r="E41" i="36" s="1"/>
  <c r="F41" i="36" s="1"/>
  <c r="H41" i="36" s="1"/>
  <c r="H21" i="36"/>
  <c r="H9" i="36"/>
  <c r="I72" i="35"/>
  <c r="I70" i="35"/>
  <c r="J43" i="35"/>
  <c r="L43" i="35" s="1"/>
  <c r="J42" i="35"/>
  <c r="L42" i="35" s="1"/>
  <c r="I37" i="35"/>
  <c r="I44" i="35" s="1"/>
  <c r="H37" i="35"/>
  <c r="H44" i="35" s="1"/>
  <c r="G37" i="35"/>
  <c r="G44" i="35" s="1"/>
  <c r="F37" i="35"/>
  <c r="F41" i="35" s="1"/>
  <c r="E37" i="35"/>
  <c r="E41" i="35" s="1"/>
  <c r="J36" i="35"/>
  <c r="J35" i="35"/>
  <c r="L34" i="35"/>
  <c r="J31" i="35"/>
  <c r="L31" i="35" s="1"/>
  <c r="J30" i="35"/>
  <c r="L30" i="35" s="1"/>
  <c r="C30" i="35"/>
  <c r="C42" i="35" s="1"/>
  <c r="I25" i="35"/>
  <c r="I32" i="35" s="1"/>
  <c r="H25" i="35"/>
  <c r="H27" i="35" s="1"/>
  <c r="G25" i="35"/>
  <c r="G32" i="35" s="1"/>
  <c r="F25" i="35"/>
  <c r="F32" i="35" s="1"/>
  <c r="E25" i="35"/>
  <c r="E29" i="35" s="1"/>
  <c r="J24" i="35"/>
  <c r="J23" i="35"/>
  <c r="L22" i="35"/>
  <c r="L10" i="35"/>
  <c r="G68" i="34"/>
  <c r="H38" i="36" l="1"/>
  <c r="D52" i="36" s="1"/>
  <c r="E14" i="36"/>
  <c r="E16" i="30"/>
  <c r="E18" i="30" s="1"/>
  <c r="C18" i="30"/>
  <c r="F17" i="36"/>
  <c r="E43" i="36"/>
  <c r="F43" i="36"/>
  <c r="H40" i="36"/>
  <c r="H43" i="36"/>
  <c r="C41" i="36"/>
  <c r="E29" i="36"/>
  <c r="F29" i="36" s="1"/>
  <c r="F11" i="36"/>
  <c r="F70" i="35"/>
  <c r="H70" i="35"/>
  <c r="J69" i="35"/>
  <c r="E70" i="35"/>
  <c r="J68" i="35"/>
  <c r="G70" i="35"/>
  <c r="I29" i="35"/>
  <c r="I41" i="35"/>
  <c r="H11" i="35"/>
  <c r="H12" i="35"/>
  <c r="H19" i="35"/>
  <c r="H18" i="35"/>
  <c r="G19" i="35"/>
  <c r="G18" i="35"/>
  <c r="G11" i="35"/>
  <c r="G12" i="35"/>
  <c r="F18" i="35"/>
  <c r="F19" i="35"/>
  <c r="F12" i="35"/>
  <c r="E18" i="35"/>
  <c r="E12" i="35"/>
  <c r="E19" i="35"/>
  <c r="J25" i="35"/>
  <c r="J27" i="35" s="1"/>
  <c r="E32" i="35"/>
  <c r="E27" i="35"/>
  <c r="G27" i="35"/>
  <c r="F29" i="35"/>
  <c r="G39" i="35"/>
  <c r="G29" i="35"/>
  <c r="J37" i="35"/>
  <c r="J39" i="35" s="1"/>
  <c r="H39" i="35"/>
  <c r="E44" i="35"/>
  <c r="H32" i="35"/>
  <c r="L36" i="35"/>
  <c r="E39" i="35"/>
  <c r="G41" i="35"/>
  <c r="L23" i="35"/>
  <c r="F39" i="35"/>
  <c r="H41" i="35"/>
  <c r="F27" i="35"/>
  <c r="H29" i="35"/>
  <c r="F44" i="35"/>
  <c r="L35" i="35"/>
  <c r="L24" i="35"/>
  <c r="H70" i="34"/>
  <c r="I70" i="34"/>
  <c r="G70" i="34"/>
  <c r="F70" i="34"/>
  <c r="E70" i="34"/>
  <c r="J69" i="34"/>
  <c r="J68" i="34"/>
  <c r="J43" i="34"/>
  <c r="L43" i="34" s="1"/>
  <c r="J42" i="34"/>
  <c r="L42" i="34" s="1"/>
  <c r="I37" i="34"/>
  <c r="I44" i="34" s="1"/>
  <c r="H37" i="34"/>
  <c r="H44" i="34" s="1"/>
  <c r="G37" i="34"/>
  <c r="G39" i="34" s="1"/>
  <c r="F37" i="34"/>
  <c r="F44" i="34" s="1"/>
  <c r="E37" i="34"/>
  <c r="E44" i="34" s="1"/>
  <c r="J36" i="34"/>
  <c r="L36" i="34" s="1"/>
  <c r="J35" i="34"/>
  <c r="L34" i="34"/>
  <c r="J31" i="34"/>
  <c r="L31" i="34" s="1"/>
  <c r="J30" i="34"/>
  <c r="L30" i="34" s="1"/>
  <c r="C30" i="34"/>
  <c r="C42" i="34" s="1"/>
  <c r="I25" i="34"/>
  <c r="I32" i="34" s="1"/>
  <c r="H25" i="34"/>
  <c r="H27" i="34" s="1"/>
  <c r="G25" i="34"/>
  <c r="G32" i="34" s="1"/>
  <c r="F25" i="34"/>
  <c r="F32" i="34" s="1"/>
  <c r="E25" i="34"/>
  <c r="E32" i="34" s="1"/>
  <c r="J24" i="34"/>
  <c r="J23" i="34"/>
  <c r="L22" i="34"/>
  <c r="L10" i="34"/>
  <c r="I70" i="33"/>
  <c r="H70" i="33"/>
  <c r="G70" i="33"/>
  <c r="F70" i="33"/>
  <c r="E70" i="33"/>
  <c r="J69" i="33"/>
  <c r="J68" i="33"/>
  <c r="F52" i="36" l="1"/>
  <c r="E52" i="36"/>
  <c r="F22" i="36"/>
  <c r="F24" i="36" s="1"/>
  <c r="F26" i="36" s="1"/>
  <c r="E24" i="36"/>
  <c r="H29" i="36"/>
  <c r="F11" i="35"/>
  <c r="E11" i="35"/>
  <c r="F10" i="36"/>
  <c r="H18" i="36"/>
  <c r="H11" i="36"/>
  <c r="H17" i="36"/>
  <c r="I11" i="35"/>
  <c r="J70" i="35"/>
  <c r="H11" i="34"/>
  <c r="G18" i="34"/>
  <c r="E12" i="34"/>
  <c r="H18" i="34"/>
  <c r="I19" i="34"/>
  <c r="I19" i="35"/>
  <c r="E19" i="34"/>
  <c r="F19" i="34"/>
  <c r="F18" i="34"/>
  <c r="E11" i="34"/>
  <c r="F12" i="34"/>
  <c r="F11" i="34"/>
  <c r="I12" i="34"/>
  <c r="I12" i="35"/>
  <c r="G19" i="34"/>
  <c r="I18" i="34"/>
  <c r="I18" i="35"/>
  <c r="G12" i="34"/>
  <c r="H12" i="34"/>
  <c r="G11" i="34"/>
  <c r="E18" i="34"/>
  <c r="H19" i="34"/>
  <c r="L39" i="35"/>
  <c r="D53" i="35" s="1"/>
  <c r="I53" i="35" s="1"/>
  <c r="J41" i="35"/>
  <c r="J44" i="35" s="1"/>
  <c r="L27" i="35"/>
  <c r="D51" i="35" s="1"/>
  <c r="D52" i="35" s="1"/>
  <c r="H52" i="35" s="1"/>
  <c r="J29" i="35"/>
  <c r="J32" i="35" s="1"/>
  <c r="L25" i="35"/>
  <c r="L32" i="35" s="1"/>
  <c r="L37" i="35"/>
  <c r="I11" i="34"/>
  <c r="J25" i="34"/>
  <c r="J27" i="34" s="1"/>
  <c r="J70" i="34"/>
  <c r="J70" i="33"/>
  <c r="J37" i="34"/>
  <c r="J39" i="34" s="1"/>
  <c r="H32" i="34"/>
  <c r="G41" i="34"/>
  <c r="F27" i="34"/>
  <c r="G27" i="34"/>
  <c r="E39" i="34"/>
  <c r="H29" i="34"/>
  <c r="F39" i="34"/>
  <c r="G44" i="34"/>
  <c r="L24" i="34"/>
  <c r="E27" i="34"/>
  <c r="G29" i="34"/>
  <c r="H39" i="34"/>
  <c r="F41" i="34"/>
  <c r="L23" i="34"/>
  <c r="E29" i="34"/>
  <c r="I29" i="34"/>
  <c r="H41" i="34"/>
  <c r="F29" i="34"/>
  <c r="L35" i="34"/>
  <c r="L37" i="34" s="1"/>
  <c r="E41" i="34"/>
  <c r="I41" i="34"/>
  <c r="F12" i="36" l="1"/>
  <c r="F14" i="36" s="1"/>
  <c r="H10" i="36"/>
  <c r="E28" i="36"/>
  <c r="F28" i="36" s="1"/>
  <c r="F31" i="36" s="1"/>
  <c r="E31" i="36"/>
  <c r="E26" i="36"/>
  <c r="H26" i="36" s="1"/>
  <c r="H22" i="36"/>
  <c r="H24" i="36" s="1"/>
  <c r="I13" i="35"/>
  <c r="I20" i="35" s="1"/>
  <c r="L39" i="34"/>
  <c r="D53" i="34" s="1"/>
  <c r="H53" i="34" s="1"/>
  <c r="F53" i="35"/>
  <c r="G53" i="35"/>
  <c r="J53" i="35"/>
  <c r="E53" i="35"/>
  <c r="H53" i="35"/>
  <c r="F13" i="35"/>
  <c r="F20" i="35" s="1"/>
  <c r="L41" i="35"/>
  <c r="L44" i="35" s="1"/>
  <c r="L53" i="35" s="1"/>
  <c r="J18" i="35"/>
  <c r="L18" i="35" s="1"/>
  <c r="J19" i="35"/>
  <c r="L19" i="35" s="1"/>
  <c r="G13" i="35"/>
  <c r="E13" i="35"/>
  <c r="J11" i="35"/>
  <c r="H13" i="35"/>
  <c r="H15" i="35" s="1"/>
  <c r="J12" i="35"/>
  <c r="L12" i="35" s="1"/>
  <c r="I51" i="35"/>
  <c r="G51" i="35"/>
  <c r="J51" i="35"/>
  <c r="H51" i="35"/>
  <c r="F51" i="35"/>
  <c r="E51" i="35"/>
  <c r="L29" i="35"/>
  <c r="L52" i="35"/>
  <c r="L51" i="35"/>
  <c r="F52" i="35"/>
  <c r="E52" i="35"/>
  <c r="I52" i="35"/>
  <c r="G52" i="35"/>
  <c r="J52" i="35"/>
  <c r="L27" i="34"/>
  <c r="D51" i="34" s="1"/>
  <c r="D52" i="34" s="1"/>
  <c r="I52" i="34" s="1"/>
  <c r="I19" i="33"/>
  <c r="L25" i="34"/>
  <c r="L32" i="34" s="1"/>
  <c r="J41" i="34"/>
  <c r="J29" i="34"/>
  <c r="J32" i="34" s="1"/>
  <c r="H37" i="33"/>
  <c r="H25" i="33"/>
  <c r="H27" i="33" s="1"/>
  <c r="J43" i="33"/>
  <c r="L43" i="33" s="1"/>
  <c r="I37" i="33"/>
  <c r="G37" i="33"/>
  <c r="G39" i="33" s="1"/>
  <c r="F37" i="33"/>
  <c r="F39" i="33" s="1"/>
  <c r="E37" i="33"/>
  <c r="E41" i="33" s="1"/>
  <c r="J36" i="33"/>
  <c r="L36" i="33" s="1"/>
  <c r="J35" i="33"/>
  <c r="L34" i="33"/>
  <c r="J31" i="33"/>
  <c r="L31" i="33" s="1"/>
  <c r="C30" i="33"/>
  <c r="I25" i="33"/>
  <c r="G25" i="33"/>
  <c r="G29" i="33" s="1"/>
  <c r="F25" i="33"/>
  <c r="F29" i="33" s="1"/>
  <c r="E25" i="33"/>
  <c r="E27" i="33" s="1"/>
  <c r="J24" i="33"/>
  <c r="L24" i="33" s="1"/>
  <c r="J23" i="33"/>
  <c r="L22" i="33"/>
  <c r="L10" i="33"/>
  <c r="D50" i="36" l="1"/>
  <c r="D51" i="36" s="1"/>
  <c r="H14" i="36"/>
  <c r="D47" i="36" s="1"/>
  <c r="E19" i="36"/>
  <c r="F16" i="36"/>
  <c r="F19" i="36" s="1"/>
  <c r="H28" i="36"/>
  <c r="H31" i="36"/>
  <c r="I17" i="35"/>
  <c r="H12" i="36"/>
  <c r="H19" i="36" s="1"/>
  <c r="F15" i="35"/>
  <c r="I54" i="35"/>
  <c r="I56" i="35" s="1"/>
  <c r="I58" i="35" s="1"/>
  <c r="I59" i="35" s="1"/>
  <c r="I64" i="35" s="1"/>
  <c r="F17" i="35"/>
  <c r="H17" i="35"/>
  <c r="H20" i="35"/>
  <c r="L11" i="35"/>
  <c r="L13" i="35" s="1"/>
  <c r="J13" i="35"/>
  <c r="J15" i="35" s="1"/>
  <c r="E17" i="35"/>
  <c r="E20" i="35"/>
  <c r="G15" i="35"/>
  <c r="G17" i="35"/>
  <c r="G20" i="35"/>
  <c r="E15" i="35"/>
  <c r="I53" i="34"/>
  <c r="E53" i="34"/>
  <c r="G53" i="34"/>
  <c r="F53" i="34"/>
  <c r="G52" i="34"/>
  <c r="F52" i="34"/>
  <c r="I51" i="34"/>
  <c r="F51" i="34"/>
  <c r="E51" i="34"/>
  <c r="G51" i="34"/>
  <c r="L29" i="34"/>
  <c r="H52" i="34"/>
  <c r="E52" i="34"/>
  <c r="H51" i="34"/>
  <c r="G11" i="33"/>
  <c r="G12" i="33"/>
  <c r="G18" i="33"/>
  <c r="H19" i="33"/>
  <c r="H12" i="33"/>
  <c r="H13" i="34"/>
  <c r="H18" i="33"/>
  <c r="F11" i="33"/>
  <c r="F13" i="34"/>
  <c r="F15" i="34" s="1"/>
  <c r="E12" i="33"/>
  <c r="E13" i="34"/>
  <c r="E18" i="33"/>
  <c r="E19" i="33"/>
  <c r="F19" i="33"/>
  <c r="F18" i="33"/>
  <c r="G19" i="33"/>
  <c r="I13" i="34"/>
  <c r="J44" i="34"/>
  <c r="J53" i="34" s="1"/>
  <c r="L41" i="34"/>
  <c r="L44" i="34" s="1"/>
  <c r="L53" i="34" s="1"/>
  <c r="J52" i="34"/>
  <c r="J51" i="34"/>
  <c r="L51" i="34"/>
  <c r="L52" i="34"/>
  <c r="E11" i="33"/>
  <c r="F12" i="33"/>
  <c r="H11" i="33"/>
  <c r="I13" i="33"/>
  <c r="H44" i="33"/>
  <c r="H29" i="33"/>
  <c r="H39" i="33"/>
  <c r="H41" i="33"/>
  <c r="H32" i="33"/>
  <c r="J25" i="33"/>
  <c r="J27" i="33" s="1"/>
  <c r="G32" i="33"/>
  <c r="J30" i="33"/>
  <c r="L30" i="33" s="1"/>
  <c r="I32" i="33"/>
  <c r="J37" i="33"/>
  <c r="J39" i="33" s="1"/>
  <c r="F44" i="33"/>
  <c r="E44" i="33"/>
  <c r="L23" i="33"/>
  <c r="L25" i="33" s="1"/>
  <c r="L29" i="33" s="1"/>
  <c r="I41" i="33"/>
  <c r="F27" i="33"/>
  <c r="I29" i="33"/>
  <c r="E32" i="33"/>
  <c r="L35" i="33"/>
  <c r="L37" i="33" s="1"/>
  <c r="F41" i="33"/>
  <c r="G27" i="33"/>
  <c r="E29" i="33"/>
  <c r="F32" i="33"/>
  <c r="E39" i="33"/>
  <c r="G41" i="33"/>
  <c r="C42" i="33"/>
  <c r="I44" i="33"/>
  <c r="I31" i="32"/>
  <c r="K31" i="32" s="1"/>
  <c r="H25" i="32"/>
  <c r="H29" i="32" s="1"/>
  <c r="G25" i="32"/>
  <c r="G29" i="32" s="1"/>
  <c r="F25" i="32"/>
  <c r="F29" i="32" s="1"/>
  <c r="E25" i="32"/>
  <c r="I24" i="32"/>
  <c r="K24" i="32" s="1"/>
  <c r="I23" i="32"/>
  <c r="I43" i="32"/>
  <c r="K43" i="32" s="1"/>
  <c r="H37" i="32"/>
  <c r="G37" i="32"/>
  <c r="G39" i="32" s="1"/>
  <c r="F37" i="32"/>
  <c r="F41" i="32" s="1"/>
  <c r="E37" i="32"/>
  <c r="I36" i="32"/>
  <c r="K36" i="32" s="1"/>
  <c r="I35" i="32"/>
  <c r="K34" i="32"/>
  <c r="C30" i="32"/>
  <c r="K22" i="32"/>
  <c r="K10" i="32"/>
  <c r="E50" i="36" l="1"/>
  <c r="F50" i="36"/>
  <c r="E51" i="36"/>
  <c r="F51" i="36"/>
  <c r="F47" i="36"/>
  <c r="E47" i="36"/>
  <c r="D48" i="36"/>
  <c r="E48" i="36" s="1"/>
  <c r="F66" i="36"/>
  <c r="H50" i="36"/>
  <c r="H52" i="36"/>
  <c r="H51" i="36"/>
  <c r="H16" i="36"/>
  <c r="J17" i="35"/>
  <c r="J20" i="35" s="1"/>
  <c r="L15" i="35"/>
  <c r="D48" i="35" s="1"/>
  <c r="D49" i="35" s="1"/>
  <c r="D50" i="35" s="1"/>
  <c r="E50" i="35" s="1"/>
  <c r="L17" i="35"/>
  <c r="L20" i="35"/>
  <c r="I65" i="35"/>
  <c r="I66" i="35" s="1"/>
  <c r="I73" i="35"/>
  <c r="I74" i="35" s="1"/>
  <c r="H13" i="33"/>
  <c r="E13" i="33"/>
  <c r="E15" i="33" s="1"/>
  <c r="F13" i="33"/>
  <c r="G13" i="33"/>
  <c r="L39" i="33"/>
  <c r="D53" i="33" s="1"/>
  <c r="F53" i="33" s="1"/>
  <c r="G13" i="34"/>
  <c r="G17" i="34" s="1"/>
  <c r="J11" i="34"/>
  <c r="L11" i="34" s="1"/>
  <c r="I20" i="34"/>
  <c r="I17" i="34"/>
  <c r="J19" i="34"/>
  <c r="L19" i="34" s="1"/>
  <c r="J12" i="34"/>
  <c r="L12" i="34" s="1"/>
  <c r="E15" i="34"/>
  <c r="H17" i="34"/>
  <c r="H20" i="34"/>
  <c r="J18" i="34"/>
  <c r="L18" i="34" s="1"/>
  <c r="F17" i="34"/>
  <c r="F20" i="34"/>
  <c r="H15" i="34"/>
  <c r="E17" i="34"/>
  <c r="E20" i="34"/>
  <c r="L27" i="33"/>
  <c r="D51" i="33" s="1"/>
  <c r="G51" i="33" s="1"/>
  <c r="J29" i="33"/>
  <c r="J32" i="33" s="1"/>
  <c r="L32" i="33"/>
  <c r="J42" i="33"/>
  <c r="L42" i="33" s="1"/>
  <c r="J41" i="33"/>
  <c r="L41" i="33" s="1"/>
  <c r="G44" i="33"/>
  <c r="H41" i="32"/>
  <c r="H39" i="32"/>
  <c r="I19" i="32"/>
  <c r="K19" i="32" s="1"/>
  <c r="I37" i="32"/>
  <c r="I39" i="32" s="1"/>
  <c r="I25" i="32"/>
  <c r="I27" i="32" s="1"/>
  <c r="E13" i="32"/>
  <c r="E20" i="32" s="1"/>
  <c r="I12" i="32"/>
  <c r="K12" i="32" s="1"/>
  <c r="H13" i="32"/>
  <c r="H15" i="32" s="1"/>
  <c r="E29" i="32"/>
  <c r="I29" i="32" s="1"/>
  <c r="G13" i="32"/>
  <c r="G15" i="32" s="1"/>
  <c r="F13" i="32"/>
  <c r="F17" i="32" s="1"/>
  <c r="K35" i="32"/>
  <c r="K37" i="32" s="1"/>
  <c r="F27" i="32"/>
  <c r="G41" i="32"/>
  <c r="G27" i="32"/>
  <c r="H27" i="32"/>
  <c r="E27" i="32"/>
  <c r="E39" i="32"/>
  <c r="F39" i="32"/>
  <c r="E41" i="32"/>
  <c r="K23" i="32"/>
  <c r="K25" i="32" s="1"/>
  <c r="K29" i="32" s="1"/>
  <c r="C42" i="32"/>
  <c r="H47" i="36" l="1"/>
  <c r="D49" i="36"/>
  <c r="E49" i="36" s="1"/>
  <c r="E53" i="36" s="1"/>
  <c r="F48" i="36"/>
  <c r="H48" i="36"/>
  <c r="H49" i="35"/>
  <c r="G48" i="35"/>
  <c r="E49" i="35"/>
  <c r="J49" i="35"/>
  <c r="H48" i="35"/>
  <c r="J50" i="35"/>
  <c r="J48" i="35"/>
  <c r="G49" i="35"/>
  <c r="G50" i="35"/>
  <c r="F48" i="35"/>
  <c r="F50" i="35"/>
  <c r="F49" i="35"/>
  <c r="H50" i="35"/>
  <c r="E48" i="35"/>
  <c r="L48" i="35"/>
  <c r="L49" i="35"/>
  <c r="L50" i="35"/>
  <c r="G15" i="34"/>
  <c r="L15" i="34" s="1"/>
  <c r="D48" i="34" s="1"/>
  <c r="D49" i="34" s="1"/>
  <c r="D50" i="34" s="1"/>
  <c r="H50" i="34" s="1"/>
  <c r="G20" i="34"/>
  <c r="J13" i="34"/>
  <c r="J15" i="34" s="1"/>
  <c r="L13" i="34"/>
  <c r="J17" i="34"/>
  <c r="J20" i="34" s="1"/>
  <c r="H53" i="33"/>
  <c r="H51" i="33"/>
  <c r="J18" i="33"/>
  <c r="L18" i="33" s="1"/>
  <c r="I20" i="33"/>
  <c r="I17" i="33"/>
  <c r="J19" i="33"/>
  <c r="L19" i="33" s="1"/>
  <c r="H17" i="33"/>
  <c r="J11" i="33"/>
  <c r="E20" i="33"/>
  <c r="E17" i="33"/>
  <c r="F20" i="33"/>
  <c r="F17" i="33"/>
  <c r="G15" i="33"/>
  <c r="J12" i="33"/>
  <c r="F15" i="33"/>
  <c r="K27" i="32"/>
  <c r="D51" i="32" s="1"/>
  <c r="F51" i="33"/>
  <c r="E53" i="33"/>
  <c r="J44" i="33"/>
  <c r="J53" i="33" s="1"/>
  <c r="G53" i="33"/>
  <c r="I53" i="33"/>
  <c r="L51" i="33"/>
  <c r="E51" i="33"/>
  <c r="I51" i="33"/>
  <c r="J51" i="33"/>
  <c r="D52" i="33"/>
  <c r="L44" i="33"/>
  <c r="L53" i="33" s="1"/>
  <c r="H17" i="32"/>
  <c r="I41" i="32"/>
  <c r="K41" i="32" s="1"/>
  <c r="K39" i="32"/>
  <c r="D53" i="32" s="1"/>
  <c r="E15" i="32"/>
  <c r="E17" i="32"/>
  <c r="G17" i="32"/>
  <c r="F15" i="32"/>
  <c r="I11" i="32"/>
  <c r="F49" i="36" l="1"/>
  <c r="F53" i="36" s="1"/>
  <c r="F55" i="36" s="1"/>
  <c r="F57" i="36" s="1"/>
  <c r="H49" i="36"/>
  <c r="H53" i="36" s="1"/>
  <c r="H55" i="36" s="1"/>
  <c r="E54" i="35"/>
  <c r="E56" i="35" s="1"/>
  <c r="E58" i="35" s="1"/>
  <c r="E59" i="35" s="1"/>
  <c r="F54" i="35"/>
  <c r="F56" i="35" s="1"/>
  <c r="F63" i="35" s="1"/>
  <c r="J54" i="35"/>
  <c r="J56" i="35" s="1"/>
  <c r="J58" i="35" s="1"/>
  <c r="H54" i="35"/>
  <c r="H56" i="35" s="1"/>
  <c r="H63" i="35" s="1"/>
  <c r="G54" i="35"/>
  <c r="G56" i="35" s="1"/>
  <c r="G63" i="35" s="1"/>
  <c r="G72" i="35" s="1"/>
  <c r="L54" i="35"/>
  <c r="E48" i="34"/>
  <c r="F50" i="34"/>
  <c r="F48" i="34"/>
  <c r="H49" i="34"/>
  <c r="F49" i="34"/>
  <c r="H48" i="34"/>
  <c r="G50" i="34"/>
  <c r="E49" i="34"/>
  <c r="G48" i="34"/>
  <c r="E50" i="34"/>
  <c r="G49" i="34"/>
  <c r="L20" i="34"/>
  <c r="L17" i="34"/>
  <c r="J48" i="34"/>
  <c r="J49" i="34"/>
  <c r="J50" i="34"/>
  <c r="G52" i="33"/>
  <c r="H52" i="33"/>
  <c r="L12" i="33"/>
  <c r="H20" i="33"/>
  <c r="H15" i="33"/>
  <c r="L15" i="33" s="1"/>
  <c r="D49" i="33" s="1"/>
  <c r="D50" i="33" s="1"/>
  <c r="L11" i="33"/>
  <c r="J13" i="33"/>
  <c r="J15" i="33" s="1"/>
  <c r="G20" i="33"/>
  <c r="G17" i="33"/>
  <c r="J17" i="33" s="1"/>
  <c r="J20" i="33" s="1"/>
  <c r="E52" i="33"/>
  <c r="I52" i="33"/>
  <c r="L52" i="33"/>
  <c r="F52" i="33"/>
  <c r="J52" i="33"/>
  <c r="I17" i="32"/>
  <c r="K15" i="32"/>
  <c r="D48" i="32" s="1"/>
  <c r="K11" i="32"/>
  <c r="K13" i="32" s="1"/>
  <c r="K17" i="32" s="1"/>
  <c r="I13" i="32"/>
  <c r="I15" i="32" s="1"/>
  <c r="D52" i="32"/>
  <c r="E55" i="36" l="1"/>
  <c r="E57" i="36" s="1"/>
  <c r="E58" i="36" s="1"/>
  <c r="F58" i="36" s="1"/>
  <c r="F59" i="36" s="1"/>
  <c r="I53" i="36"/>
  <c r="H57" i="36"/>
  <c r="I57" i="36" s="1"/>
  <c r="E63" i="35"/>
  <c r="E72" i="35" s="1"/>
  <c r="G58" i="35"/>
  <c r="G59" i="35" s="1"/>
  <c r="G64" i="35" s="1"/>
  <c r="F58" i="35"/>
  <c r="F59" i="35" s="1"/>
  <c r="F64" i="35" s="1"/>
  <c r="F73" i="35" s="1"/>
  <c r="H58" i="35"/>
  <c r="H59" i="35" s="1"/>
  <c r="H64" i="35" s="1"/>
  <c r="H73" i="35" s="1"/>
  <c r="H72" i="35"/>
  <c r="M54" i="35"/>
  <c r="L56" i="35"/>
  <c r="L58" i="35" s="1"/>
  <c r="M58" i="35" s="1"/>
  <c r="F72" i="35"/>
  <c r="E54" i="34"/>
  <c r="E56" i="34" s="1"/>
  <c r="E63" i="34" s="1"/>
  <c r="E72" i="34" s="1"/>
  <c r="I54" i="34"/>
  <c r="I56" i="34" s="1"/>
  <c r="I58" i="34" s="1"/>
  <c r="I59" i="34" s="1"/>
  <c r="G54" i="34"/>
  <c r="G56" i="34" s="1"/>
  <c r="G58" i="34" s="1"/>
  <c r="G59" i="34" s="1"/>
  <c r="F54" i="34"/>
  <c r="F56" i="34" s="1"/>
  <c r="F63" i="34" s="1"/>
  <c r="F72" i="34" s="1"/>
  <c r="H54" i="34"/>
  <c r="H56" i="34" s="1"/>
  <c r="H63" i="34" s="1"/>
  <c r="L48" i="34"/>
  <c r="L49" i="34"/>
  <c r="L50" i="34"/>
  <c r="J54" i="34"/>
  <c r="H48" i="33"/>
  <c r="L13" i="33"/>
  <c r="L20" i="33" s="1"/>
  <c r="D49" i="32"/>
  <c r="D50" i="32" s="1"/>
  <c r="F42" i="32"/>
  <c r="F44" i="32" s="1"/>
  <c r="F53" i="32" s="1"/>
  <c r="E62" i="36" l="1"/>
  <c r="E71" i="36" s="1"/>
  <c r="E64" i="35"/>
  <c r="E73" i="35" s="1"/>
  <c r="E74" i="35" s="1"/>
  <c r="J63" i="35"/>
  <c r="G73" i="35"/>
  <c r="G74" i="35" s="1"/>
  <c r="G65" i="35"/>
  <c r="G66" i="35" s="1"/>
  <c r="F65" i="35"/>
  <c r="F66" i="35" s="1"/>
  <c r="J59" i="35"/>
  <c r="J60" i="35" s="1"/>
  <c r="H65" i="35"/>
  <c r="H66" i="35" s="1"/>
  <c r="H74" i="35"/>
  <c r="F74" i="35"/>
  <c r="J72" i="35"/>
  <c r="I72" i="34"/>
  <c r="E58" i="34"/>
  <c r="E59" i="34" s="1"/>
  <c r="E64" i="34" s="1"/>
  <c r="E65" i="34" s="1"/>
  <c r="E66" i="34" s="1"/>
  <c r="F58" i="34"/>
  <c r="F59" i="34" s="1"/>
  <c r="F64" i="34" s="1"/>
  <c r="F73" i="34" s="1"/>
  <c r="F74" i="34" s="1"/>
  <c r="G63" i="34"/>
  <c r="G72" i="34" s="1"/>
  <c r="H72" i="34"/>
  <c r="L54" i="34"/>
  <c r="J56" i="34"/>
  <c r="J58" i="34" s="1"/>
  <c r="H58" i="34"/>
  <c r="H59" i="34" s="1"/>
  <c r="E48" i="33"/>
  <c r="I48" i="33"/>
  <c r="F48" i="33"/>
  <c r="H49" i="33"/>
  <c r="G48" i="33"/>
  <c r="J48" i="33"/>
  <c r="L17" i="33"/>
  <c r="L48" i="33"/>
  <c r="K34" i="29"/>
  <c r="K22" i="29"/>
  <c r="K10" i="29"/>
  <c r="F62" i="36" l="1"/>
  <c r="E63" i="36"/>
  <c r="E72" i="36" s="1"/>
  <c r="J64" i="35"/>
  <c r="J65" i="35" s="1"/>
  <c r="K64" i="35" s="1"/>
  <c r="E65" i="35"/>
  <c r="E66" i="35" s="1"/>
  <c r="J73" i="35"/>
  <c r="J74" i="35" s="1"/>
  <c r="I64" i="34"/>
  <c r="I73" i="34" s="1"/>
  <c r="I74" i="34" s="1"/>
  <c r="E73" i="34"/>
  <c r="E74" i="34" s="1"/>
  <c r="F65" i="34"/>
  <c r="F66" i="34" s="1"/>
  <c r="H50" i="33"/>
  <c r="H54" i="33" s="1"/>
  <c r="J63" i="34"/>
  <c r="G64" i="34"/>
  <c r="G65" i="34" s="1"/>
  <c r="G66" i="34" s="1"/>
  <c r="J72" i="34"/>
  <c r="M54" i="34"/>
  <c r="L56" i="34"/>
  <c r="L58" i="34" s="1"/>
  <c r="M58" i="34" s="1"/>
  <c r="H64" i="34"/>
  <c r="H73" i="34" s="1"/>
  <c r="J59" i="34"/>
  <c r="J60" i="34" s="1"/>
  <c r="J49" i="33"/>
  <c r="F49" i="33"/>
  <c r="L49" i="33"/>
  <c r="G49" i="33"/>
  <c r="I49" i="33"/>
  <c r="E49" i="33"/>
  <c r="C30" i="29"/>
  <c r="H32" i="32"/>
  <c r="G32" i="32"/>
  <c r="F32" i="32"/>
  <c r="H42" i="32"/>
  <c r="H44" i="32" s="1"/>
  <c r="H53" i="32" s="1"/>
  <c r="G42" i="32"/>
  <c r="G44" i="32" s="1"/>
  <c r="G53" i="32" s="1"/>
  <c r="E42" i="32"/>
  <c r="F63" i="36" l="1"/>
  <c r="F64" i="36" s="1"/>
  <c r="E64" i="36"/>
  <c r="I65" i="34"/>
  <c r="I66" i="34" s="1"/>
  <c r="J66" i="35"/>
  <c r="K63" i="35"/>
  <c r="G50" i="33"/>
  <c r="G54" i="33" s="1"/>
  <c r="G56" i="33" s="1"/>
  <c r="G58" i="33" s="1"/>
  <c r="G59" i="33" s="1"/>
  <c r="F50" i="33"/>
  <c r="F54" i="33" s="1"/>
  <c r="F56" i="33" s="1"/>
  <c r="F63" i="33" s="1"/>
  <c r="F72" i="33" s="1"/>
  <c r="L50" i="33"/>
  <c r="L54" i="33" s="1"/>
  <c r="L56" i="33" s="1"/>
  <c r="L58" i="33" s="1"/>
  <c r="M58" i="33" s="1"/>
  <c r="I50" i="33"/>
  <c r="I54" i="33" s="1"/>
  <c r="I56" i="33" s="1"/>
  <c r="I72" i="33" s="1"/>
  <c r="J50" i="33"/>
  <c r="J54" i="33" s="1"/>
  <c r="J56" i="33" s="1"/>
  <c r="J58" i="33" s="1"/>
  <c r="E50" i="33"/>
  <c r="E54" i="33" s="1"/>
  <c r="E56" i="33" s="1"/>
  <c r="E58" i="33" s="1"/>
  <c r="E59" i="33" s="1"/>
  <c r="G73" i="34"/>
  <c r="G74" i="34" s="1"/>
  <c r="H74" i="34"/>
  <c r="H65" i="34"/>
  <c r="H66" i="34" s="1"/>
  <c r="J64" i="34"/>
  <c r="H56" i="33"/>
  <c r="H58" i="33" s="1"/>
  <c r="H59" i="33" s="1"/>
  <c r="E18" i="29"/>
  <c r="E44" i="32"/>
  <c r="E53" i="32" s="1"/>
  <c r="I42" i="32"/>
  <c r="F51" i="32"/>
  <c r="F52" i="32"/>
  <c r="G51" i="32"/>
  <c r="G52" i="32"/>
  <c r="H51" i="32"/>
  <c r="H52" i="32"/>
  <c r="I30" i="32"/>
  <c r="E32" i="32"/>
  <c r="H18" i="29"/>
  <c r="H20" i="32"/>
  <c r="H48" i="32" s="1"/>
  <c r="G18" i="29"/>
  <c r="G20" i="32"/>
  <c r="F18" i="29"/>
  <c r="F20" i="32"/>
  <c r="G30" i="29"/>
  <c r="E30" i="29"/>
  <c r="F30" i="29"/>
  <c r="C42" i="29"/>
  <c r="H30" i="29"/>
  <c r="E66" i="36" l="1"/>
  <c r="E73" i="36" s="1"/>
  <c r="M54" i="33"/>
  <c r="J65" i="34"/>
  <c r="K64" i="34" s="1"/>
  <c r="J73" i="34"/>
  <c r="J74" i="34" s="1"/>
  <c r="H63" i="33"/>
  <c r="F58" i="33"/>
  <c r="F59" i="33" s="1"/>
  <c r="F64" i="33" s="1"/>
  <c r="I58" i="33"/>
  <c r="I59" i="33" s="1"/>
  <c r="G63" i="33"/>
  <c r="E63" i="33"/>
  <c r="E51" i="32"/>
  <c r="E52" i="32"/>
  <c r="I44" i="32"/>
  <c r="I53" i="32" s="1"/>
  <c r="K42" i="32"/>
  <c r="K44" i="32" s="1"/>
  <c r="K53" i="32" s="1"/>
  <c r="K30" i="32"/>
  <c r="K32" i="32" s="1"/>
  <c r="I32" i="32"/>
  <c r="G48" i="32"/>
  <c r="G50" i="32"/>
  <c r="G49" i="32"/>
  <c r="F50" i="32"/>
  <c r="F48" i="32"/>
  <c r="F49" i="32"/>
  <c r="E48" i="32"/>
  <c r="E49" i="32"/>
  <c r="E50" i="32"/>
  <c r="H50" i="32"/>
  <c r="H49" i="32"/>
  <c r="I18" i="32"/>
  <c r="I30" i="29"/>
  <c r="E42" i="29"/>
  <c r="F42" i="29"/>
  <c r="I43" i="29"/>
  <c r="I36" i="29"/>
  <c r="I35" i="29"/>
  <c r="I31" i="29"/>
  <c r="I24" i="29"/>
  <c r="I23" i="29"/>
  <c r="H25" i="29"/>
  <c r="G25" i="29"/>
  <c r="F37" i="29"/>
  <c r="E37" i="29"/>
  <c r="E39" i="29" s="1"/>
  <c r="F25" i="29"/>
  <c r="E25" i="29"/>
  <c r="I19" i="29"/>
  <c r="K19" i="29" s="1"/>
  <c r="I18" i="29"/>
  <c r="K18" i="29" s="1"/>
  <c r="H13" i="29"/>
  <c r="H15" i="29" s="1"/>
  <c r="G13" i="29"/>
  <c r="F13" i="29"/>
  <c r="E13" i="29"/>
  <c r="I12" i="29"/>
  <c r="I11" i="29"/>
  <c r="K11" i="29" s="1"/>
  <c r="G62" i="36" l="1"/>
  <c r="G63" i="36"/>
  <c r="J66" i="34"/>
  <c r="K63" i="34"/>
  <c r="F65" i="33"/>
  <c r="F73" i="33"/>
  <c r="F74" i="33" s="1"/>
  <c r="H64" i="33"/>
  <c r="H72" i="33"/>
  <c r="G64" i="33"/>
  <c r="G72" i="33"/>
  <c r="E64" i="33"/>
  <c r="E73" i="33" s="1"/>
  <c r="E72" i="33"/>
  <c r="I65" i="33"/>
  <c r="I73" i="33"/>
  <c r="I74" i="33" s="1"/>
  <c r="J59" i="33"/>
  <c r="J60" i="33" s="1"/>
  <c r="J63" i="33"/>
  <c r="I51" i="32"/>
  <c r="I52" i="32"/>
  <c r="K51" i="32"/>
  <c r="K52" i="32"/>
  <c r="E54" i="32"/>
  <c r="E56" i="32" s="1"/>
  <c r="E63" i="32" s="1"/>
  <c r="H54" i="32"/>
  <c r="H56" i="32" s="1"/>
  <c r="H63" i="32" s="1"/>
  <c r="K18" i="32"/>
  <c r="K20" i="32" s="1"/>
  <c r="I20" i="32"/>
  <c r="F54" i="32"/>
  <c r="G54" i="32"/>
  <c r="G56" i="32" s="1"/>
  <c r="G58" i="32" s="1"/>
  <c r="G59" i="32" s="1"/>
  <c r="E20" i="29"/>
  <c r="E15" i="29"/>
  <c r="F17" i="29"/>
  <c r="F15" i="29"/>
  <c r="F41" i="29"/>
  <c r="F39" i="29"/>
  <c r="K39" i="29" s="1"/>
  <c r="G17" i="29"/>
  <c r="G15" i="29"/>
  <c r="E29" i="29"/>
  <c r="E27" i="29"/>
  <c r="G29" i="29"/>
  <c r="G27" i="29"/>
  <c r="F32" i="29"/>
  <c r="F27" i="29"/>
  <c r="H32" i="29"/>
  <c r="H27" i="29"/>
  <c r="K12" i="29"/>
  <c r="K13" i="29" s="1"/>
  <c r="E17" i="29"/>
  <c r="E44" i="29"/>
  <c r="E32" i="29"/>
  <c r="I42" i="29"/>
  <c r="K42" i="29" s="1"/>
  <c r="F44" i="29"/>
  <c r="E41" i="29"/>
  <c r="G32" i="29"/>
  <c r="G20" i="29"/>
  <c r="F20" i="29"/>
  <c r="K36" i="29"/>
  <c r="I37" i="29"/>
  <c r="I39" i="29" s="1"/>
  <c r="K30" i="29"/>
  <c r="I25" i="29"/>
  <c r="I27" i="29" s="1"/>
  <c r="H29" i="29"/>
  <c r="K24" i="29"/>
  <c r="H20" i="29"/>
  <c r="H17" i="29"/>
  <c r="K43" i="29"/>
  <c r="I13" i="29"/>
  <c r="I15" i="29" s="1"/>
  <c r="K23" i="29"/>
  <c r="F29" i="29"/>
  <c r="K35" i="29"/>
  <c r="E67" i="36" l="1"/>
  <c r="E74" i="36" s="1"/>
  <c r="J64" i="33"/>
  <c r="J65" i="33" s="1"/>
  <c r="K64" i="33" s="1"/>
  <c r="H65" i="33"/>
  <c r="H73" i="33"/>
  <c r="H74" i="33" s="1"/>
  <c r="E65" i="33"/>
  <c r="E74" i="33"/>
  <c r="J72" i="33"/>
  <c r="G65" i="33"/>
  <c r="G73" i="33"/>
  <c r="H58" i="32"/>
  <c r="H59" i="32" s="1"/>
  <c r="H64" i="32" s="1"/>
  <c r="H65" i="32" s="1"/>
  <c r="E58" i="32"/>
  <c r="E59" i="32" s="1"/>
  <c r="I50" i="32"/>
  <c r="I49" i="32"/>
  <c r="I48" i="32"/>
  <c r="F56" i="32"/>
  <c r="F63" i="32" s="1"/>
  <c r="G63" i="32"/>
  <c r="K50" i="32"/>
  <c r="K49" i="32"/>
  <c r="K48" i="32"/>
  <c r="I41" i="29"/>
  <c r="I44" i="29" s="1"/>
  <c r="I29" i="29"/>
  <c r="I32" i="29" s="1"/>
  <c r="I17" i="29"/>
  <c r="I20" i="29" s="1"/>
  <c r="K37" i="29"/>
  <c r="K17" i="29"/>
  <c r="K20" i="29"/>
  <c r="K25" i="29"/>
  <c r="K31" i="29"/>
  <c r="F67" i="36" l="1"/>
  <c r="E68" i="36"/>
  <c r="F68" i="36" s="1"/>
  <c r="H66" i="33"/>
  <c r="J73" i="33"/>
  <c r="J74" i="33" s="1"/>
  <c r="G74" i="33"/>
  <c r="K63" i="33"/>
  <c r="I63" i="32"/>
  <c r="K54" i="32"/>
  <c r="K56" i="32" s="1"/>
  <c r="K58" i="32" s="1"/>
  <c r="L58" i="32" s="1"/>
  <c r="F58" i="32"/>
  <c r="F59" i="32" s="1"/>
  <c r="F64" i="32" s="1"/>
  <c r="F65" i="32" s="1"/>
  <c r="G64" i="32"/>
  <c r="G65" i="32" s="1"/>
  <c r="I54" i="32"/>
  <c r="I56" i="32" s="1"/>
  <c r="I58" i="32" s="1"/>
  <c r="E64" i="32"/>
  <c r="K41" i="29"/>
  <c r="K44" i="29" s="1"/>
  <c r="K15" i="29"/>
  <c r="D48" i="29" s="1"/>
  <c r="H48" i="29" s="1"/>
  <c r="D53" i="29"/>
  <c r="G53" i="29" s="1"/>
  <c r="K27" i="29"/>
  <c r="D51" i="29" s="1"/>
  <c r="E51" i="29" s="1"/>
  <c r="K32" i="29"/>
  <c r="K29" i="29"/>
  <c r="I59" i="32" l="1"/>
  <c r="I60" i="32" s="1"/>
  <c r="L54" i="32"/>
  <c r="E65" i="32"/>
  <c r="I64" i="32"/>
  <c r="D52" i="29"/>
  <c r="H52" i="29" s="1"/>
  <c r="H51" i="29"/>
  <c r="D49" i="29"/>
  <c r="E48" i="29"/>
  <c r="K53" i="29"/>
  <c r="H53" i="29"/>
  <c r="F53" i="29"/>
  <c r="E53" i="29"/>
  <c r="I53" i="29"/>
  <c r="G48" i="29"/>
  <c r="F48" i="29"/>
  <c r="I48" i="29"/>
  <c r="K51" i="29"/>
  <c r="F51" i="29"/>
  <c r="G51" i="29"/>
  <c r="I51" i="29"/>
  <c r="K48" i="29"/>
  <c r="I65" i="32" l="1"/>
  <c r="J63" i="32" s="1"/>
  <c r="D50" i="29"/>
  <c r="H50" i="29" s="1"/>
  <c r="E49" i="29"/>
  <c r="K52" i="29"/>
  <c r="F52" i="29"/>
  <c r="E52" i="29"/>
  <c r="G52" i="29"/>
  <c r="I52" i="29"/>
  <c r="F49" i="29"/>
  <c r="I49" i="29"/>
  <c r="H49" i="29"/>
  <c r="G49" i="29"/>
  <c r="K49" i="29"/>
  <c r="J64" i="32" l="1"/>
  <c r="H54" i="29"/>
  <c r="E50" i="29"/>
  <c r="G50" i="29"/>
  <c r="F50" i="29"/>
  <c r="I50" i="29"/>
  <c r="K50" i="29"/>
  <c r="K54" i="29" s="1"/>
  <c r="L54" i="29" s="1"/>
  <c r="K56" i="29" l="1"/>
  <c r="K58" i="29" s="1"/>
  <c r="L58" i="29" s="1"/>
  <c r="E54" i="29"/>
  <c r="H70" i="32" l="1"/>
  <c r="E70" i="32"/>
  <c r="H67" i="29"/>
  <c r="E67" i="29"/>
  <c r="E56" i="29"/>
  <c r="E63" i="29" s="1"/>
  <c r="F54" i="29"/>
  <c r="G54" i="29"/>
  <c r="C28" i="23"/>
  <c r="D28" i="23"/>
  <c r="E28" i="23"/>
  <c r="F28" i="23"/>
  <c r="G28" i="23"/>
  <c r="H28" i="23"/>
  <c r="I28" i="23"/>
  <c r="J28" i="23"/>
  <c r="K28" i="23"/>
  <c r="L28" i="23"/>
  <c r="B28" i="23"/>
  <c r="G70" i="32" l="1"/>
  <c r="F70" i="32"/>
  <c r="G67" i="29"/>
  <c r="F67" i="29"/>
  <c r="G56" i="29"/>
  <c r="G63" i="29" s="1"/>
  <c r="F56" i="29"/>
  <c r="F63" i="29" s="1"/>
  <c r="H56" i="29"/>
  <c r="H63" i="29" s="1"/>
  <c r="E58" i="29"/>
  <c r="E59" i="29" s="1"/>
  <c r="I54" i="29"/>
  <c r="M58" i="23"/>
  <c r="M57" i="23"/>
  <c r="L48" i="23"/>
  <c r="K48" i="23"/>
  <c r="J48" i="23"/>
  <c r="I48" i="23"/>
  <c r="H48" i="23"/>
  <c r="G48" i="23"/>
  <c r="F48" i="23"/>
  <c r="E48" i="23"/>
  <c r="D48" i="23"/>
  <c r="C48" i="23"/>
  <c r="B48" i="23"/>
  <c r="M47" i="23"/>
  <c r="M46" i="23"/>
  <c r="J45" i="23"/>
  <c r="I45" i="23"/>
  <c r="H45" i="23"/>
  <c r="G45" i="23"/>
  <c r="F45" i="23"/>
  <c r="E45" i="23"/>
  <c r="D45" i="23"/>
  <c r="C45" i="23"/>
  <c r="B45" i="23"/>
  <c r="M44" i="23"/>
  <c r="M43" i="23"/>
  <c r="L39" i="23"/>
  <c r="K39" i="23"/>
  <c r="J39" i="23"/>
  <c r="I39" i="23"/>
  <c r="H39" i="23"/>
  <c r="G39" i="23"/>
  <c r="F39" i="23"/>
  <c r="E39" i="23"/>
  <c r="D39" i="23"/>
  <c r="C39" i="23"/>
  <c r="B39" i="23"/>
  <c r="L36" i="23"/>
  <c r="K36" i="23"/>
  <c r="J36" i="23"/>
  <c r="I36" i="23"/>
  <c r="H36" i="23"/>
  <c r="G36" i="23"/>
  <c r="F36" i="23"/>
  <c r="E36" i="23"/>
  <c r="D36" i="23"/>
  <c r="C36" i="23"/>
  <c r="B36" i="23"/>
  <c r="L35" i="23"/>
  <c r="K35" i="23"/>
  <c r="J35" i="23"/>
  <c r="I35" i="23"/>
  <c r="I38" i="23" s="1"/>
  <c r="H35" i="23"/>
  <c r="G35" i="23"/>
  <c r="F35" i="23"/>
  <c r="E35" i="23"/>
  <c r="E38" i="23" s="1"/>
  <c r="D35" i="23"/>
  <c r="C35" i="23"/>
  <c r="B35" i="23"/>
  <c r="M25" i="23"/>
  <c r="M24" i="23"/>
  <c r="M23" i="23"/>
  <c r="M22" i="23"/>
  <c r="M21" i="23"/>
  <c r="M20" i="23"/>
  <c r="M19" i="23"/>
  <c r="M15" i="23"/>
  <c r="M14" i="23"/>
  <c r="M13" i="23"/>
  <c r="M12" i="23"/>
  <c r="M11" i="23"/>
  <c r="M10" i="23"/>
  <c r="M9" i="23"/>
  <c r="M8" i="23"/>
  <c r="I70" i="32" l="1"/>
  <c r="E40" i="23"/>
  <c r="E50" i="23" s="1"/>
  <c r="I40" i="23"/>
  <c r="I50" i="23" s="1"/>
  <c r="I67" i="29"/>
  <c r="I63" i="29"/>
  <c r="I56" i="29"/>
  <c r="I58" i="29" s="1"/>
  <c r="H58" i="29"/>
  <c r="G58" i="29"/>
  <c r="F58" i="29"/>
  <c r="C38" i="23"/>
  <c r="C37" i="23" s="1"/>
  <c r="G38" i="23"/>
  <c r="G37" i="23" s="1"/>
  <c r="K38" i="23"/>
  <c r="K40" i="23" s="1"/>
  <c r="K50" i="23" s="1"/>
  <c r="G40" i="23"/>
  <c r="G50" i="23" s="1"/>
  <c r="M48" i="23"/>
  <c r="B38" i="23"/>
  <c r="B37" i="23" s="1"/>
  <c r="F38" i="23"/>
  <c r="F40" i="23" s="1"/>
  <c r="F50" i="23" s="1"/>
  <c r="J38" i="23"/>
  <c r="J40" i="23" s="1"/>
  <c r="J50" i="23" s="1"/>
  <c r="D38" i="23"/>
  <c r="D40" i="23" s="1"/>
  <c r="D50" i="23" s="1"/>
  <c r="H38" i="23"/>
  <c r="H40" i="23" s="1"/>
  <c r="L38" i="23"/>
  <c r="L40" i="23" s="1"/>
  <c r="L50" i="23" s="1"/>
  <c r="M36" i="23"/>
  <c r="M39" i="23"/>
  <c r="H50" i="23"/>
  <c r="M35" i="23"/>
  <c r="M45" i="23"/>
  <c r="E37" i="23"/>
  <c r="H37" i="23"/>
  <c r="B40" i="23"/>
  <c r="I37" i="23"/>
  <c r="L37" i="23" l="1"/>
  <c r="C40" i="23"/>
  <c r="C50" i="23" s="1"/>
  <c r="M38" i="23"/>
  <c r="M37" i="23" s="1"/>
  <c r="E64" i="29"/>
  <c r="G59" i="29"/>
  <c r="G64" i="29" s="1"/>
  <c r="G65" i="29" s="1"/>
  <c r="G66" i="33" s="1"/>
  <c r="H59" i="29"/>
  <c r="H64" i="29" s="1"/>
  <c r="H65" i="29" s="1"/>
  <c r="I66" i="33" s="1"/>
  <c r="F59" i="29"/>
  <c r="J37" i="23"/>
  <c r="K37" i="23"/>
  <c r="F37" i="23"/>
  <c r="D37" i="23"/>
  <c r="M40" i="23"/>
  <c r="M50" i="23" s="1"/>
  <c r="B50" i="23"/>
  <c r="J53" i="23" l="1"/>
  <c r="G53" i="23"/>
  <c r="G68" i="32"/>
  <c r="G66" i="32" s="1"/>
  <c r="H68" i="32"/>
  <c r="H66" i="32" s="1"/>
  <c r="F64" i="29"/>
  <c r="I64" i="29" s="1"/>
  <c r="I65" i="29" s="1"/>
  <c r="I59" i="29"/>
  <c r="I60" i="29" s="1"/>
  <c r="E65" i="29"/>
  <c r="L53" i="23"/>
  <c r="L62" i="23" s="1"/>
  <c r="D53" i="23"/>
  <c r="D60" i="23" s="1"/>
  <c r="K53" i="23"/>
  <c r="K60" i="23" s="1"/>
  <c r="I53" i="23"/>
  <c r="I60" i="23" s="1"/>
  <c r="F53" i="23"/>
  <c r="F60" i="23" s="1"/>
  <c r="C53" i="23"/>
  <c r="C60" i="23" s="1"/>
  <c r="B53" i="23"/>
  <c r="B60" i="23" s="1"/>
  <c r="E53" i="23"/>
  <c r="E60" i="23" s="1"/>
  <c r="H53" i="23"/>
  <c r="H62" i="23" s="1"/>
  <c r="J62" i="23"/>
  <c r="J60" i="23"/>
  <c r="G62" i="23"/>
  <c r="G60" i="23"/>
  <c r="E66" i="33" l="1"/>
  <c r="K62" i="23"/>
  <c r="E68" i="32"/>
  <c r="F62" i="23"/>
  <c r="H60" i="23"/>
  <c r="I62" i="23"/>
  <c r="L60" i="23"/>
  <c r="F65" i="29"/>
  <c r="F66" i="33" s="1"/>
  <c r="J63" i="29"/>
  <c r="J64" i="29"/>
  <c r="C62" i="23"/>
  <c r="D62" i="23"/>
  <c r="E62" i="23"/>
  <c r="M53" i="23"/>
  <c r="M54" i="23" s="1"/>
  <c r="B62" i="23"/>
  <c r="J66" i="33" l="1"/>
  <c r="F68" i="32"/>
  <c r="F66" i="32" s="1"/>
  <c r="E66" i="32"/>
  <c r="M60" i="23"/>
  <c r="M62" i="23"/>
  <c r="I68" i="32" l="1"/>
  <c r="I66" i="32" s="1"/>
  <c r="D41" i="21"/>
  <c r="E41" i="21"/>
  <c r="F41" i="21"/>
  <c r="G41" i="21"/>
  <c r="H41" i="21"/>
  <c r="I41" i="21"/>
  <c r="J41" i="21"/>
  <c r="K41" i="21"/>
  <c r="L41" i="21"/>
  <c r="M41" i="21"/>
  <c r="N41" i="21"/>
  <c r="O41" i="21"/>
  <c r="P41" i="21"/>
  <c r="Q41" i="21"/>
  <c r="R41" i="21"/>
  <c r="S41" i="21"/>
  <c r="T41" i="21"/>
  <c r="U41" i="21"/>
  <c r="V41" i="21"/>
  <c r="W41" i="21"/>
  <c r="X41" i="21"/>
  <c r="Y41" i="21"/>
  <c r="Z41" i="21"/>
  <c r="AA41" i="21"/>
  <c r="C41" i="21"/>
  <c r="AC41" i="21"/>
  <c r="AC43" i="21" s="1"/>
  <c r="AB41" i="21"/>
  <c r="AB43" i="21" s="1"/>
  <c r="AD40" i="21"/>
  <c r="AD41" i="21" l="1"/>
  <c r="D32" i="21" l="1"/>
  <c r="E32" i="21"/>
  <c r="F32" i="21"/>
  <c r="G32" i="21"/>
  <c r="H32" i="21"/>
  <c r="I32" i="21"/>
  <c r="J32" i="21"/>
  <c r="K32" i="21"/>
  <c r="L32" i="21"/>
  <c r="M32" i="21"/>
  <c r="N32" i="21"/>
  <c r="O32" i="21"/>
  <c r="P32" i="21"/>
  <c r="Q32" i="21"/>
  <c r="R32" i="21"/>
  <c r="S32" i="21"/>
  <c r="T32" i="21"/>
  <c r="U32" i="21"/>
  <c r="V32" i="21"/>
  <c r="W32" i="21"/>
  <c r="X32" i="21"/>
  <c r="Y32" i="21"/>
  <c r="Z32" i="21"/>
  <c r="AA32" i="21"/>
  <c r="C32" i="21"/>
  <c r="AD51" i="21"/>
  <c r="AD50" i="21"/>
  <c r="D38" i="21"/>
  <c r="E38" i="21"/>
  <c r="F38" i="21"/>
  <c r="G38" i="21"/>
  <c r="H38" i="21"/>
  <c r="I38" i="21"/>
  <c r="J38" i="21"/>
  <c r="K38" i="21"/>
  <c r="L38" i="21"/>
  <c r="M38" i="21"/>
  <c r="N38" i="21"/>
  <c r="O38" i="21"/>
  <c r="P38" i="21"/>
  <c r="Q38" i="21"/>
  <c r="R38" i="21"/>
  <c r="S38" i="21"/>
  <c r="T38" i="21"/>
  <c r="U38" i="21"/>
  <c r="V38" i="21"/>
  <c r="C38" i="21"/>
  <c r="AD39" i="21"/>
  <c r="AD37" i="21"/>
  <c r="AD36" i="21"/>
  <c r="AD25" i="21"/>
  <c r="AD24" i="21"/>
  <c r="AD23" i="21"/>
  <c r="AD22" i="21"/>
  <c r="AD21" i="21"/>
  <c r="AD20" i="21"/>
  <c r="AD19" i="21"/>
  <c r="AD14" i="21"/>
  <c r="AD15" i="21"/>
  <c r="AD9" i="21"/>
  <c r="AD10" i="21"/>
  <c r="AD11" i="21"/>
  <c r="AD12" i="21"/>
  <c r="AD13" i="21"/>
  <c r="AD8" i="21"/>
  <c r="AD32" i="21" l="1"/>
  <c r="AD38" i="21"/>
  <c r="D28" i="21" l="1"/>
  <c r="E28" i="21"/>
  <c r="F28" i="21"/>
  <c r="G28" i="21"/>
  <c r="H28" i="21"/>
  <c r="I28" i="21"/>
  <c r="J28" i="21"/>
  <c r="K28" i="21"/>
  <c r="L28" i="21"/>
  <c r="M28" i="21"/>
  <c r="N28" i="21"/>
  <c r="O28" i="21"/>
  <c r="P28" i="21"/>
  <c r="Q28" i="21"/>
  <c r="R28" i="21"/>
  <c r="S28" i="21"/>
  <c r="T28" i="21"/>
  <c r="U28" i="21"/>
  <c r="V28" i="21"/>
  <c r="W28" i="21"/>
  <c r="X28" i="21"/>
  <c r="Y28" i="21"/>
  <c r="Z28" i="21"/>
  <c r="AA28" i="21"/>
  <c r="AB28" i="21"/>
  <c r="AC28" i="21"/>
  <c r="D29" i="21"/>
  <c r="E29" i="21"/>
  <c r="F29" i="21"/>
  <c r="G29" i="21"/>
  <c r="H29" i="21"/>
  <c r="I29" i="21"/>
  <c r="J29" i="21"/>
  <c r="K29" i="21"/>
  <c r="L29" i="21"/>
  <c r="M29" i="21"/>
  <c r="N29" i="21"/>
  <c r="O29" i="21"/>
  <c r="P29" i="21"/>
  <c r="Q29" i="21"/>
  <c r="R29" i="21"/>
  <c r="S29" i="21"/>
  <c r="T29" i="21"/>
  <c r="U29" i="21"/>
  <c r="V29" i="21"/>
  <c r="W29" i="21"/>
  <c r="X29" i="21"/>
  <c r="Y29" i="21"/>
  <c r="Z29" i="21"/>
  <c r="AA29" i="21"/>
  <c r="AB29" i="21"/>
  <c r="AC29" i="21"/>
  <c r="C29" i="21"/>
  <c r="C28" i="21"/>
  <c r="C31" i="21" l="1"/>
  <c r="I31" i="21"/>
  <c r="D31" i="21"/>
  <c r="Y31" i="21"/>
  <c r="Q31" i="21"/>
  <c r="Z31" i="21"/>
  <c r="V31" i="21"/>
  <c r="R31" i="21"/>
  <c r="N31" i="21"/>
  <c r="J31" i="21"/>
  <c r="F31" i="21"/>
  <c r="AB31" i="21"/>
  <c r="X31" i="21"/>
  <c r="T31" i="21"/>
  <c r="P31" i="21"/>
  <c r="L31" i="21"/>
  <c r="H31" i="21"/>
  <c r="AD29" i="21"/>
  <c r="AC31" i="21"/>
  <c r="Y30" i="21"/>
  <c r="U31" i="21"/>
  <c r="M31" i="21"/>
  <c r="E31" i="21"/>
  <c r="AD28" i="21"/>
  <c r="C30" i="21"/>
  <c r="AA31" i="21"/>
  <c r="W31" i="21"/>
  <c r="S31" i="21"/>
  <c r="O31" i="21"/>
  <c r="K31" i="21"/>
  <c r="G31" i="21"/>
  <c r="S33" i="21" l="1"/>
  <c r="S43" i="21" s="1"/>
  <c r="G33" i="21"/>
  <c r="G43" i="21" s="1"/>
  <c r="P33" i="21"/>
  <c r="P43" i="21" s="1"/>
  <c r="D33" i="21"/>
  <c r="D43" i="21" s="1"/>
  <c r="R33" i="21"/>
  <c r="R43" i="21" s="1"/>
  <c r="W33" i="21"/>
  <c r="W43" i="21" s="1"/>
  <c r="M33" i="21"/>
  <c r="M43" i="21" s="1"/>
  <c r="S30" i="21"/>
  <c r="L33" i="21"/>
  <c r="L43" i="21" s="1"/>
  <c r="Y33" i="21"/>
  <c r="Y43" i="21" s="1"/>
  <c r="E33" i="21"/>
  <c r="E43" i="21" s="1"/>
  <c r="F33" i="21"/>
  <c r="F43" i="21" s="1"/>
  <c r="V33" i="21"/>
  <c r="V43" i="21" s="1"/>
  <c r="K33" i="21"/>
  <c r="K43" i="21" s="1"/>
  <c r="AA33" i="21"/>
  <c r="AA43" i="21" s="1"/>
  <c r="T33" i="21"/>
  <c r="T43" i="21" s="1"/>
  <c r="J43" i="21"/>
  <c r="J33" i="21"/>
  <c r="Z33" i="21"/>
  <c r="Z43" i="21" s="1"/>
  <c r="I33" i="21"/>
  <c r="I43" i="21" s="1"/>
  <c r="O33" i="21"/>
  <c r="O43" i="21" s="1"/>
  <c r="U33" i="21"/>
  <c r="U43" i="21" s="1"/>
  <c r="H33" i="21"/>
  <c r="H43" i="21" s="1"/>
  <c r="X33" i="21"/>
  <c r="X43" i="21" s="1"/>
  <c r="N33" i="21"/>
  <c r="N43" i="21" s="1"/>
  <c r="Q33" i="21"/>
  <c r="Q43" i="21" s="1"/>
  <c r="C33" i="21"/>
  <c r="O30" i="21"/>
  <c r="R30" i="21"/>
  <c r="L30" i="21"/>
  <c r="N30" i="21"/>
  <c r="AB30" i="21"/>
  <c r="Q30" i="21"/>
  <c r="M30" i="21"/>
  <c r="D30" i="21"/>
  <c r="I30" i="21"/>
  <c r="V30" i="21"/>
  <c r="P30" i="21"/>
  <c r="F30" i="21"/>
  <c r="Z30" i="21"/>
  <c r="T30" i="21"/>
  <c r="J30" i="21"/>
  <c r="H30" i="21"/>
  <c r="X30" i="21"/>
  <c r="E30" i="21"/>
  <c r="W30" i="21"/>
  <c r="AA30" i="21"/>
  <c r="U30" i="21"/>
  <c r="G30" i="21"/>
  <c r="AD31" i="21"/>
  <c r="K30" i="21"/>
  <c r="D45" i="18"/>
  <c r="E45" i="18"/>
  <c r="F45" i="18"/>
  <c r="G45" i="18"/>
  <c r="H45" i="18"/>
  <c r="I45" i="18"/>
  <c r="J45" i="18"/>
  <c r="K45" i="18"/>
  <c r="L45" i="18"/>
  <c r="M45" i="18"/>
  <c r="N45" i="18"/>
  <c r="O45" i="18"/>
  <c r="P45" i="18"/>
  <c r="Q45" i="18"/>
  <c r="R45" i="18"/>
  <c r="S45" i="18"/>
  <c r="T45" i="18"/>
  <c r="U45" i="18"/>
  <c r="V45" i="18"/>
  <c r="W45" i="18"/>
  <c r="X45" i="18"/>
  <c r="Y45" i="18"/>
  <c r="Z45" i="18"/>
  <c r="AA45" i="18"/>
  <c r="AB45" i="18"/>
  <c r="C45" i="18"/>
  <c r="AD33" i="21" l="1"/>
  <c r="AD43" i="21" s="1"/>
  <c r="C43" i="21"/>
  <c r="AD30" i="21"/>
  <c r="AC39" i="18"/>
  <c r="D35" i="18"/>
  <c r="D36" i="18" s="1"/>
  <c r="D41" i="18" s="1"/>
  <c r="F35" i="18"/>
  <c r="F36" i="18" s="1"/>
  <c r="F41" i="18" s="1"/>
  <c r="H35" i="18"/>
  <c r="H36" i="18" s="1"/>
  <c r="H41" i="18" s="1"/>
  <c r="J35" i="18"/>
  <c r="J36" i="18" s="1"/>
  <c r="J41" i="18" s="1"/>
  <c r="L35" i="18"/>
  <c r="L36" i="18" s="1"/>
  <c r="L41" i="18" s="1"/>
  <c r="N35" i="18"/>
  <c r="N36" i="18" s="1"/>
  <c r="N41" i="18" s="1"/>
  <c r="P35" i="18"/>
  <c r="P36" i="18" s="1"/>
  <c r="P41" i="18" s="1"/>
  <c r="R35" i="18"/>
  <c r="R36" i="18" s="1"/>
  <c r="R41" i="18" s="1"/>
  <c r="T35" i="18"/>
  <c r="T36" i="18" s="1"/>
  <c r="T41" i="18" s="1"/>
  <c r="V35" i="18"/>
  <c r="V36" i="18" s="1"/>
  <c r="V41" i="18" s="1"/>
  <c r="X35" i="18"/>
  <c r="X36" i="18" s="1"/>
  <c r="X41" i="18" s="1"/>
  <c r="Z35" i="18"/>
  <c r="Z36" i="18" s="1"/>
  <c r="Z41" i="18" s="1"/>
  <c r="AB35" i="18"/>
  <c r="AB36" i="18" s="1"/>
  <c r="AC46" i="21" l="1"/>
  <c r="AB46" i="21"/>
  <c r="AA46" i="21"/>
  <c r="Y46" i="21"/>
  <c r="P46" i="21"/>
  <c r="K46" i="21"/>
  <c r="Z46" i="21"/>
  <c r="H46" i="21"/>
  <c r="S46" i="21"/>
  <c r="G46" i="21"/>
  <c r="F46" i="21"/>
  <c r="M46" i="21"/>
  <c r="I46" i="21"/>
  <c r="X46" i="21"/>
  <c r="L46" i="21"/>
  <c r="W46" i="21"/>
  <c r="V46" i="21"/>
  <c r="T46" i="21"/>
  <c r="O46" i="21"/>
  <c r="N46" i="21"/>
  <c r="R46" i="21"/>
  <c r="E46" i="21"/>
  <c r="D46" i="21"/>
  <c r="J46" i="21"/>
  <c r="U46" i="21"/>
  <c r="Q46" i="21"/>
  <c r="C46" i="21"/>
  <c r="E29" i="18"/>
  <c r="E30" i="18" s="1"/>
  <c r="G29" i="18"/>
  <c r="G30" i="18" s="1"/>
  <c r="I29" i="18"/>
  <c r="I30" i="18" s="1"/>
  <c r="K29" i="18"/>
  <c r="K30" i="18" s="1"/>
  <c r="M29" i="18"/>
  <c r="M30" i="18" s="1"/>
  <c r="O29" i="18"/>
  <c r="O30" i="18" s="1"/>
  <c r="Q29" i="18"/>
  <c r="Q30" i="18" s="1"/>
  <c r="S29" i="18"/>
  <c r="S30" i="18" s="1"/>
  <c r="U29" i="18"/>
  <c r="U30" i="18" s="1"/>
  <c r="W29" i="18"/>
  <c r="W30" i="18" s="1"/>
  <c r="Y29" i="18"/>
  <c r="Y30" i="18" s="1"/>
  <c r="AA29" i="18"/>
  <c r="AA30" i="18" s="1"/>
  <c r="C29" i="18"/>
  <c r="E16" i="18"/>
  <c r="E17" i="18" s="1"/>
  <c r="G16" i="18"/>
  <c r="G17" i="18" s="1"/>
  <c r="I16" i="18"/>
  <c r="I17" i="18" s="1"/>
  <c r="K16" i="18"/>
  <c r="K17" i="18" s="1"/>
  <c r="M16" i="18"/>
  <c r="M17" i="18" s="1"/>
  <c r="O16" i="18"/>
  <c r="O17" i="18" s="1"/>
  <c r="Q16" i="18"/>
  <c r="Q17" i="18" s="1"/>
  <c r="S16" i="18"/>
  <c r="S17" i="18" s="1"/>
  <c r="U16" i="18"/>
  <c r="U17" i="18" s="1"/>
  <c r="W16" i="18"/>
  <c r="W17" i="18" s="1"/>
  <c r="Y16" i="18"/>
  <c r="Y17" i="18" s="1"/>
  <c r="AA16" i="18"/>
  <c r="AA17" i="18" s="1"/>
  <c r="C16" i="18"/>
  <c r="C17" i="18" s="1"/>
  <c r="E34" i="18"/>
  <c r="G34" i="18"/>
  <c r="I34" i="18"/>
  <c r="K34" i="18"/>
  <c r="M34" i="18"/>
  <c r="O34" i="18"/>
  <c r="Q34" i="18"/>
  <c r="S34" i="18"/>
  <c r="U34" i="18"/>
  <c r="W34" i="18"/>
  <c r="Y34" i="18"/>
  <c r="AA34" i="18"/>
  <c r="AC34" i="18"/>
  <c r="C34" i="18"/>
  <c r="E18" i="18"/>
  <c r="G18" i="18"/>
  <c r="I18" i="18"/>
  <c r="K18" i="18"/>
  <c r="M18" i="18"/>
  <c r="O18" i="18"/>
  <c r="Q18" i="18"/>
  <c r="S18" i="18"/>
  <c r="W18" i="18"/>
  <c r="AA18" i="18"/>
  <c r="AC18" i="18"/>
  <c r="C18" i="18"/>
  <c r="E31" i="18"/>
  <c r="G31" i="18"/>
  <c r="I31" i="18"/>
  <c r="K31" i="18"/>
  <c r="M31" i="18"/>
  <c r="O31" i="18"/>
  <c r="Q31" i="18"/>
  <c r="S31" i="18"/>
  <c r="U31" i="18"/>
  <c r="W31" i="18"/>
  <c r="Y31" i="18"/>
  <c r="AA31" i="18"/>
  <c r="AC31" i="18"/>
  <c r="C31" i="18"/>
  <c r="AB55" i="21" l="1"/>
  <c r="AB53" i="21"/>
  <c r="AC55" i="21"/>
  <c r="AC53" i="21"/>
  <c r="O55" i="21"/>
  <c r="O53" i="21"/>
  <c r="F55" i="21"/>
  <c r="F53" i="21"/>
  <c r="M55" i="21"/>
  <c r="M53" i="21"/>
  <c r="S55" i="21"/>
  <c r="S53" i="21"/>
  <c r="N53" i="21"/>
  <c r="N55" i="21"/>
  <c r="P53" i="21"/>
  <c r="P55" i="21"/>
  <c r="G53" i="21"/>
  <c r="G55" i="21"/>
  <c r="Y55" i="21"/>
  <c r="Y53" i="21"/>
  <c r="I55" i="21"/>
  <c r="I53" i="21"/>
  <c r="K55" i="21"/>
  <c r="K53" i="21"/>
  <c r="C55" i="21"/>
  <c r="C53" i="21"/>
  <c r="AD46" i="21"/>
  <c r="AD47" i="21" s="1"/>
  <c r="L53" i="21"/>
  <c r="L55" i="21"/>
  <c r="R53" i="21"/>
  <c r="R55" i="21"/>
  <c r="U55" i="21"/>
  <c r="U53" i="21"/>
  <c r="E55" i="21"/>
  <c r="E53" i="21"/>
  <c r="Z53" i="21"/>
  <c r="Z55" i="21"/>
  <c r="X53" i="21"/>
  <c r="X55" i="21"/>
  <c r="H55" i="21"/>
  <c r="H53" i="21"/>
  <c r="W53" i="21"/>
  <c r="W55" i="21"/>
  <c r="J53" i="21"/>
  <c r="J55" i="21"/>
  <c r="Q55" i="21"/>
  <c r="Q53" i="21"/>
  <c r="AA55" i="21"/>
  <c r="AA53" i="21"/>
  <c r="V53" i="21"/>
  <c r="V55" i="21"/>
  <c r="T55" i="21"/>
  <c r="T53" i="21"/>
  <c r="D55" i="21"/>
  <c r="D53" i="21"/>
  <c r="Y35" i="18"/>
  <c r="Y36" i="18" s="1"/>
  <c r="Q35" i="18"/>
  <c r="Q36" i="18" s="1"/>
  <c r="Q41" i="18" s="1"/>
  <c r="I35" i="18"/>
  <c r="I36" i="18" s="1"/>
  <c r="I41" i="18" s="1"/>
  <c r="C35" i="18"/>
  <c r="C36" i="18" s="1"/>
  <c r="C41" i="18" s="1"/>
  <c r="W35" i="18"/>
  <c r="W36" i="18" s="1"/>
  <c r="W41" i="18" s="1"/>
  <c r="O35" i="18"/>
  <c r="O36" i="18" s="1"/>
  <c r="O41" i="18" s="1"/>
  <c r="G35" i="18"/>
  <c r="G36" i="18" s="1"/>
  <c r="G41" i="18" s="1"/>
  <c r="AC35" i="18"/>
  <c r="AC36" i="18" s="1"/>
  <c r="U35" i="18"/>
  <c r="U36" i="18" s="1"/>
  <c r="M35" i="18"/>
  <c r="M36" i="18" s="1"/>
  <c r="M41" i="18" s="1"/>
  <c r="E35" i="18"/>
  <c r="E36" i="18"/>
  <c r="E41" i="18" s="1"/>
  <c r="AA35" i="18"/>
  <c r="AA36" i="18" s="1"/>
  <c r="AA41" i="18" s="1"/>
  <c r="S35" i="18"/>
  <c r="S36" i="18" s="1"/>
  <c r="K35" i="18"/>
  <c r="K36" i="18" s="1"/>
  <c r="K41" i="18" s="1"/>
  <c r="AC16" i="18"/>
  <c r="AC29" i="18"/>
  <c r="C30" i="18"/>
  <c r="AD53" i="21" l="1"/>
  <c r="AD55" i="21"/>
  <c r="S41" i="18"/>
  <c r="AC41" i="18" s="1"/>
  <c r="W43" i="14"/>
  <c r="V43" i="14"/>
  <c r="W40" i="13"/>
  <c r="V40" i="13"/>
  <c r="AA89" i="14"/>
  <c r="Z89" i="14"/>
  <c r="AA88" i="14"/>
  <c r="Z88" i="14"/>
  <c r="AA87" i="14"/>
  <c r="Z87" i="14"/>
  <c r="AA86" i="14"/>
  <c r="Z86" i="14"/>
  <c r="AA85" i="14"/>
  <c r="Z85" i="14"/>
  <c r="AA83" i="14"/>
  <c r="Z83" i="14"/>
  <c r="AA82" i="14"/>
  <c r="Z82" i="14"/>
  <c r="AA81" i="14"/>
  <c r="Z81" i="14"/>
  <c r="AA80" i="14"/>
  <c r="Z80" i="14"/>
  <c r="AA79" i="14"/>
  <c r="Z79" i="14"/>
  <c r="AA78" i="14"/>
  <c r="Z78" i="14"/>
  <c r="AA77" i="14"/>
  <c r="Z77" i="14"/>
  <c r="AA76" i="14"/>
  <c r="Z76" i="14"/>
  <c r="AA74" i="14"/>
  <c r="Z74" i="14"/>
  <c r="AA73" i="14"/>
  <c r="Z73" i="14"/>
  <c r="AA72" i="14"/>
  <c r="Z72" i="14"/>
  <c r="AA71" i="14"/>
  <c r="Z71" i="14"/>
  <c r="AA70" i="14"/>
  <c r="Z70" i="14"/>
  <c r="AA69" i="14"/>
  <c r="Z69" i="14"/>
  <c r="AA68" i="14"/>
  <c r="Z68" i="14"/>
  <c r="AA67" i="14"/>
  <c r="Z67" i="14"/>
  <c r="AA66" i="14"/>
  <c r="Z66" i="14"/>
  <c r="AA65" i="14"/>
  <c r="Z65" i="14"/>
  <c r="AA64" i="14"/>
  <c r="Z64" i="14"/>
  <c r="AA63" i="14"/>
  <c r="Z63" i="14"/>
  <c r="AA62" i="14"/>
  <c r="Z62" i="14"/>
  <c r="AA61" i="14"/>
  <c r="Z61" i="14"/>
  <c r="AA60" i="14"/>
  <c r="Z60" i="14"/>
  <c r="AA59" i="14"/>
  <c r="Z59" i="14"/>
  <c r="AA57" i="14"/>
  <c r="Z57" i="14"/>
  <c r="AA56" i="14"/>
  <c r="Z56" i="14"/>
  <c r="AA55" i="14"/>
  <c r="Z55" i="14"/>
  <c r="AA54" i="14"/>
  <c r="Z54" i="14"/>
  <c r="AA53" i="14"/>
  <c r="Z53" i="14"/>
  <c r="AA52" i="14"/>
  <c r="Z52" i="14"/>
  <c r="AA51" i="14"/>
  <c r="Z51" i="14"/>
  <c r="AA50" i="14"/>
  <c r="Z50" i="14"/>
  <c r="AA47" i="14"/>
  <c r="Z47" i="14"/>
  <c r="AA44" i="14"/>
  <c r="Z44" i="14"/>
  <c r="AA43" i="14"/>
  <c r="Z43" i="14"/>
  <c r="AA42" i="14"/>
  <c r="Z42" i="14"/>
  <c r="AA41" i="14"/>
  <c r="Z41" i="14"/>
  <c r="AA40" i="14"/>
  <c r="Z40" i="14"/>
  <c r="AA37" i="14"/>
  <c r="Z37" i="14"/>
  <c r="AA36" i="14"/>
  <c r="Z36" i="14"/>
  <c r="AA86" i="13"/>
  <c r="Z86" i="13"/>
  <c r="AA85" i="13"/>
  <c r="Z85" i="13"/>
  <c r="AA84" i="13"/>
  <c r="Z84" i="13"/>
  <c r="AA83" i="13"/>
  <c r="Z83" i="13"/>
  <c r="AA82" i="13"/>
  <c r="Z82" i="13"/>
  <c r="AA80" i="13"/>
  <c r="Z80" i="13"/>
  <c r="AA79" i="13"/>
  <c r="Z79" i="13"/>
  <c r="AA78" i="13"/>
  <c r="Z78" i="13"/>
  <c r="AA77" i="13"/>
  <c r="Z77" i="13"/>
  <c r="AA76" i="13"/>
  <c r="Z76" i="13"/>
  <c r="AA75" i="13"/>
  <c r="Z75" i="13"/>
  <c r="AA74" i="13"/>
  <c r="Z74" i="13"/>
  <c r="AA73" i="13"/>
  <c r="Z73" i="13"/>
  <c r="AA71" i="13"/>
  <c r="Z71" i="13"/>
  <c r="AA70" i="13"/>
  <c r="Z70" i="13"/>
  <c r="AA69" i="13"/>
  <c r="Z69" i="13"/>
  <c r="AA68" i="13"/>
  <c r="Z68" i="13"/>
  <c r="AA67" i="13"/>
  <c r="Z67" i="13"/>
  <c r="AA66" i="13"/>
  <c r="Z66" i="13"/>
  <c r="AA65" i="13"/>
  <c r="Z65" i="13"/>
  <c r="AA64" i="13"/>
  <c r="Z64" i="13"/>
  <c r="AA63" i="13"/>
  <c r="Z63" i="13"/>
  <c r="AA62" i="13"/>
  <c r="Z62" i="13"/>
  <c r="AA61" i="13"/>
  <c r="Z61" i="13"/>
  <c r="AA60" i="13"/>
  <c r="Z60" i="13"/>
  <c r="AA59" i="13"/>
  <c r="Z59" i="13"/>
  <c r="AA58" i="13"/>
  <c r="Z58" i="13"/>
  <c r="AA57" i="13"/>
  <c r="Z57" i="13"/>
  <c r="AA56" i="13"/>
  <c r="Z56" i="13"/>
  <c r="AA54" i="13"/>
  <c r="Z54" i="13"/>
  <c r="AA53" i="13"/>
  <c r="Z53" i="13"/>
  <c r="AA52" i="13"/>
  <c r="Z52" i="13"/>
  <c r="AA51" i="13"/>
  <c r="Z51" i="13"/>
  <c r="AA50" i="13"/>
  <c r="Z50" i="13"/>
  <c r="AA49" i="13"/>
  <c r="Z49" i="13"/>
  <c r="AA48" i="13"/>
  <c r="Z48" i="13"/>
  <c r="AA47" i="13"/>
  <c r="Z47" i="13"/>
  <c r="AA41" i="13"/>
  <c r="Z41" i="13"/>
  <c r="AA40" i="13"/>
  <c r="Z40" i="13"/>
  <c r="AA39" i="13"/>
  <c r="Z39" i="13"/>
  <c r="AA38" i="13"/>
  <c r="Z38" i="13"/>
  <c r="AA37" i="13"/>
  <c r="Z37" i="13"/>
  <c r="AA34" i="13"/>
  <c r="Z34" i="13"/>
  <c r="AA33" i="13"/>
  <c r="Z33" i="13"/>
  <c r="AA34" i="14"/>
  <c r="Z34" i="14"/>
  <c r="AA31" i="14"/>
  <c r="Z31" i="14"/>
  <c r="AA28" i="14"/>
  <c r="Z28" i="14"/>
  <c r="AA27" i="14"/>
  <c r="Z27" i="14"/>
  <c r="AA26" i="14"/>
  <c r="Z26" i="14"/>
  <c r="AA23" i="14"/>
  <c r="Z23" i="14"/>
  <c r="AA22" i="14"/>
  <c r="Z22" i="14"/>
  <c r="AA21" i="14"/>
  <c r="Z21" i="14"/>
  <c r="AA20" i="14"/>
  <c r="Z20" i="14"/>
  <c r="AA19" i="14"/>
  <c r="Z19" i="14"/>
  <c r="AA18" i="14"/>
  <c r="Z18" i="14"/>
  <c r="AA17" i="14"/>
  <c r="Z17" i="14"/>
  <c r="AA16" i="14"/>
  <c r="Z16" i="14"/>
  <c r="AA15" i="14"/>
  <c r="Z15" i="14"/>
  <c r="AA14" i="14"/>
  <c r="Z14" i="14"/>
  <c r="AA13" i="14"/>
  <c r="Z13" i="14"/>
  <c r="AA12" i="14"/>
  <c r="Z12" i="14"/>
  <c r="AA7" i="14"/>
  <c r="Z7" i="14"/>
  <c r="AA6" i="14"/>
  <c r="Z6" i="14"/>
  <c r="AA31" i="13"/>
  <c r="Z31" i="13"/>
  <c r="AA28" i="13"/>
  <c r="Z28" i="13"/>
  <c r="AA25" i="13"/>
  <c r="Z25" i="13"/>
  <c r="AA24" i="13"/>
  <c r="Z24" i="13"/>
  <c r="AA23" i="13"/>
  <c r="Z23" i="13"/>
  <c r="AA20" i="13"/>
  <c r="Z20" i="13"/>
  <c r="AA19" i="13"/>
  <c r="Z19" i="13"/>
  <c r="AA18" i="13"/>
  <c r="Z18" i="13"/>
  <c r="AA17" i="13"/>
  <c r="Z17" i="13"/>
  <c r="AA16" i="13"/>
  <c r="Z16" i="13"/>
  <c r="AA15" i="13"/>
  <c r="Z15" i="13"/>
  <c r="AA8" i="13"/>
  <c r="Z8" i="13"/>
  <c r="AA7" i="13"/>
  <c r="Z7" i="13"/>
  <c r="AA6" i="13"/>
  <c r="Z6" i="13"/>
  <c r="AA26" i="12"/>
  <c r="Z26" i="12"/>
  <c r="AA14" i="12"/>
  <c r="Z14" i="12"/>
  <c r="AA11" i="12"/>
  <c r="Z11" i="12"/>
  <c r="AA10" i="12"/>
  <c r="Z10" i="12"/>
  <c r="AA9" i="12"/>
  <c r="Z9" i="12"/>
  <c r="AA8" i="12"/>
  <c r="Z8" i="12"/>
  <c r="AA7" i="12"/>
  <c r="Z7" i="12"/>
  <c r="AA6" i="12"/>
  <c r="Z6" i="12"/>
  <c r="AA21" i="12"/>
  <c r="Z21" i="12"/>
  <c r="AA20" i="12"/>
  <c r="Z20" i="12"/>
  <c r="AA19" i="12"/>
  <c r="Z19" i="12"/>
  <c r="AA18" i="12"/>
  <c r="Z18" i="12"/>
  <c r="AA17" i="12"/>
  <c r="Z17" i="12"/>
  <c r="AA16" i="12"/>
  <c r="Z16" i="12"/>
  <c r="AA17" i="4"/>
  <c r="Z17" i="4"/>
  <c r="AA16" i="4"/>
  <c r="Z16" i="4"/>
  <c r="AA15" i="4"/>
  <c r="Z15" i="4"/>
  <c r="AA14" i="4"/>
  <c r="Z14" i="4"/>
  <c r="AA13" i="4"/>
  <c r="Z13" i="4"/>
  <c r="AA12" i="4"/>
  <c r="Z12" i="4"/>
  <c r="AQ75" i="15"/>
  <c r="AP75" i="15"/>
  <c r="AQ73" i="15"/>
  <c r="AP73" i="15"/>
  <c r="AQ64" i="15"/>
  <c r="AP64" i="15"/>
  <c r="AQ63" i="15"/>
  <c r="AP63" i="15"/>
  <c r="AQ62" i="15"/>
  <c r="AP62" i="15"/>
  <c r="AQ61" i="15"/>
  <c r="AP61" i="15"/>
  <c r="AQ60" i="15"/>
  <c r="AP60" i="15"/>
  <c r="AQ58" i="15"/>
  <c r="AP58" i="15"/>
  <c r="AQ57" i="15"/>
  <c r="AP57" i="15"/>
  <c r="AQ56" i="15"/>
  <c r="AP56" i="15"/>
  <c r="AQ55" i="15"/>
  <c r="AP55" i="15"/>
  <c r="AQ54" i="15"/>
  <c r="AP54" i="15"/>
  <c r="AQ53" i="15"/>
  <c r="AP53" i="15"/>
  <c r="AQ52" i="15"/>
  <c r="AP52" i="15"/>
  <c r="AQ51" i="15"/>
  <c r="AP51" i="15"/>
  <c r="AQ49" i="15"/>
  <c r="AP49" i="15"/>
  <c r="AQ48" i="15"/>
  <c r="AP48" i="15"/>
  <c r="AQ47" i="15"/>
  <c r="AP47" i="15"/>
  <c r="AQ46" i="15"/>
  <c r="AP46" i="15"/>
  <c r="AQ45" i="15"/>
  <c r="AP45" i="15"/>
  <c r="AQ44" i="15"/>
  <c r="AP44" i="15"/>
  <c r="AQ43" i="15"/>
  <c r="AP43" i="15"/>
  <c r="AQ42" i="15"/>
  <c r="AP42" i="15"/>
  <c r="AQ41" i="15"/>
  <c r="AP41" i="15"/>
  <c r="AQ40" i="15"/>
  <c r="AP40" i="15"/>
  <c r="AQ39" i="15"/>
  <c r="AP39" i="15"/>
  <c r="AQ38" i="15"/>
  <c r="AP38" i="15"/>
  <c r="AQ36" i="15"/>
  <c r="AP36" i="15"/>
  <c r="AQ35" i="15"/>
  <c r="AP35" i="15"/>
  <c r="AQ34" i="15"/>
  <c r="AP34" i="15"/>
  <c r="AQ32" i="15"/>
  <c r="AP32" i="15"/>
  <c r="AQ31" i="15"/>
  <c r="AP31" i="15"/>
  <c r="AQ30" i="15"/>
  <c r="AP30" i="15"/>
  <c r="AQ29" i="15"/>
  <c r="AP29" i="15"/>
  <c r="AQ28" i="15"/>
  <c r="AP28" i="15"/>
  <c r="AQ27" i="15"/>
  <c r="AP27" i="15"/>
  <c r="AQ26" i="15"/>
  <c r="AP26" i="15"/>
  <c r="AQ25" i="15"/>
  <c r="AP25" i="15"/>
  <c r="AQ22" i="15"/>
  <c r="AP22" i="15"/>
  <c r="AQ20" i="15"/>
  <c r="AP20" i="15"/>
  <c r="AQ19" i="15"/>
  <c r="AP19" i="15"/>
  <c r="AQ18" i="15"/>
  <c r="AP18" i="15"/>
  <c r="AQ17" i="15"/>
  <c r="AP17" i="15"/>
  <c r="AQ16" i="15"/>
  <c r="AP16" i="15"/>
  <c r="AQ15" i="15"/>
  <c r="AP15" i="15"/>
  <c r="AQ14" i="15"/>
  <c r="AP14" i="15"/>
  <c r="AQ13" i="15"/>
  <c r="AP13" i="15"/>
  <c r="AQ12" i="15"/>
  <c r="AP12" i="15"/>
  <c r="AQ11" i="15"/>
  <c r="AP11" i="15"/>
  <c r="AQ8" i="15"/>
  <c r="AQ9" i="15" s="1"/>
  <c r="AP8" i="15"/>
  <c r="AP9" i="15" s="1"/>
  <c r="AQ6" i="15"/>
  <c r="AP6" i="15"/>
  <c r="AA83" i="12"/>
  <c r="Z83" i="12"/>
  <c r="AA82" i="12"/>
  <c r="Z82" i="12"/>
  <c r="AA81" i="12"/>
  <c r="Z81" i="12"/>
  <c r="AA80" i="12"/>
  <c r="Z80" i="12"/>
  <c r="AA79" i="12"/>
  <c r="Z79" i="12"/>
  <c r="AA77" i="12"/>
  <c r="Z77" i="12"/>
  <c r="AA76" i="12"/>
  <c r="Z76" i="12"/>
  <c r="AA75" i="12"/>
  <c r="Z75" i="12"/>
  <c r="AA74" i="12"/>
  <c r="Z74" i="12"/>
  <c r="AA73" i="12"/>
  <c r="Z73" i="12"/>
  <c r="AA72" i="12"/>
  <c r="Z72" i="12"/>
  <c r="AA71" i="12"/>
  <c r="Z71" i="12"/>
  <c r="AA70" i="12"/>
  <c r="Z70" i="12"/>
  <c r="AA68" i="12"/>
  <c r="Z68" i="12"/>
  <c r="AA67" i="12"/>
  <c r="Z67" i="12"/>
  <c r="AA66" i="12"/>
  <c r="Z66" i="12"/>
  <c r="AA65" i="12"/>
  <c r="Z65" i="12"/>
  <c r="AA64" i="12"/>
  <c r="Z64" i="12"/>
  <c r="AA63" i="12"/>
  <c r="Z63" i="12"/>
  <c r="AA62" i="12"/>
  <c r="Z62" i="12"/>
  <c r="AA61" i="12"/>
  <c r="Z61" i="12"/>
  <c r="AA60" i="12"/>
  <c r="Z60" i="12"/>
  <c r="AA59" i="12"/>
  <c r="Z59" i="12"/>
  <c r="AA58" i="12"/>
  <c r="Z58" i="12"/>
  <c r="AA57" i="12"/>
  <c r="Z57" i="12"/>
  <c r="AA55" i="12"/>
  <c r="Z55" i="12"/>
  <c r="AA54" i="12"/>
  <c r="Z54" i="12"/>
  <c r="AA53" i="12"/>
  <c r="Z53" i="12"/>
  <c r="AA51" i="12"/>
  <c r="Z51" i="12"/>
  <c r="AA50" i="12"/>
  <c r="Z50" i="12"/>
  <c r="AA49" i="12"/>
  <c r="Z49" i="12"/>
  <c r="AA48" i="12"/>
  <c r="Z48" i="12"/>
  <c r="AA47" i="12"/>
  <c r="Z47" i="12"/>
  <c r="AA46" i="12"/>
  <c r="Z46" i="12"/>
  <c r="AA45" i="12"/>
  <c r="Z45" i="12"/>
  <c r="AA44" i="12"/>
  <c r="Z44" i="12"/>
  <c r="AA41" i="12"/>
  <c r="Z41" i="12"/>
  <c r="AA39" i="12"/>
  <c r="Z39" i="12"/>
  <c r="AA37" i="12"/>
  <c r="Z37" i="12"/>
  <c r="AA36" i="12"/>
  <c r="Z36" i="12"/>
  <c r="AA34" i="12"/>
  <c r="Z34" i="12"/>
  <c r="AA33" i="12"/>
  <c r="Z33" i="12"/>
  <c r="AA32" i="12"/>
  <c r="Z32" i="12"/>
  <c r="AA30" i="12"/>
  <c r="Z30" i="12"/>
  <c r="AA76" i="4"/>
  <c r="Z76" i="4"/>
  <c r="AA75" i="4"/>
  <c r="Z75" i="4"/>
  <c r="AA74" i="4"/>
  <c r="Z74" i="4"/>
  <c r="AA73" i="4"/>
  <c r="Z73" i="4"/>
  <c r="AA70" i="4"/>
  <c r="Z70" i="4"/>
  <c r="AA69" i="4"/>
  <c r="Z69" i="4"/>
  <c r="AA63" i="4"/>
  <c r="Z63" i="4"/>
  <c r="AA61" i="4"/>
  <c r="Z61" i="4"/>
  <c r="AA60" i="4"/>
  <c r="Z60" i="4"/>
  <c r="AA59" i="4"/>
  <c r="Z59" i="4"/>
  <c r="AA58" i="4"/>
  <c r="Z58" i="4"/>
  <c r="AA56" i="4"/>
  <c r="Z56" i="4"/>
  <c r="AA55" i="4"/>
  <c r="Z55" i="4"/>
  <c r="AA54" i="4"/>
  <c r="Z54" i="4"/>
  <c r="AA53" i="4"/>
  <c r="Z53" i="4"/>
  <c r="AA52" i="4"/>
  <c r="Z52" i="4"/>
  <c r="AA51" i="4"/>
  <c r="Z51" i="4"/>
  <c r="AA50" i="4"/>
  <c r="Z50" i="4"/>
  <c r="AA48" i="4"/>
  <c r="Z48" i="4"/>
  <c r="AA47" i="4"/>
  <c r="Z47" i="4"/>
  <c r="AA46" i="4"/>
  <c r="Z46" i="4"/>
  <c r="AA44" i="4"/>
  <c r="Z44" i="4"/>
  <c r="AA43" i="4"/>
  <c r="Z43" i="4"/>
  <c r="AA42" i="4"/>
  <c r="Z42" i="4"/>
  <c r="AA41" i="4"/>
  <c r="Z41" i="4"/>
  <c r="AA40" i="4"/>
  <c r="Z40" i="4"/>
  <c r="AA39" i="4"/>
  <c r="Z39" i="4"/>
  <c r="AA38" i="4"/>
  <c r="Z38" i="4"/>
  <c r="AA37" i="4"/>
  <c r="Z37" i="4"/>
  <c r="AA34" i="4"/>
  <c r="Z34" i="4"/>
  <c r="AA32" i="4"/>
  <c r="Z32" i="4"/>
  <c r="AA30" i="4"/>
  <c r="Z30" i="4"/>
  <c r="AA29" i="4"/>
  <c r="Z29" i="4"/>
  <c r="AA27" i="4"/>
  <c r="Z27" i="4"/>
  <c r="AA26" i="4"/>
  <c r="Z26" i="4"/>
  <c r="AA25" i="4"/>
  <c r="Z25" i="4"/>
  <c r="AA23" i="4"/>
  <c r="Z23" i="4"/>
  <c r="AA9" i="4"/>
  <c r="Z9" i="4"/>
  <c r="AA8" i="4"/>
  <c r="Z8" i="4"/>
  <c r="AA7" i="4"/>
  <c r="Z7" i="4"/>
  <c r="AA6" i="4"/>
  <c r="Z6" i="4"/>
  <c r="W89" i="14"/>
  <c r="V89" i="14"/>
  <c r="W88" i="14"/>
  <c r="V88" i="14"/>
  <c r="W87" i="14"/>
  <c r="V87" i="14"/>
  <c r="W86" i="14"/>
  <c r="V86" i="14"/>
  <c r="W83" i="14"/>
  <c r="V83" i="14"/>
  <c r="W82" i="14"/>
  <c r="V82" i="14"/>
  <c r="W81" i="14"/>
  <c r="V81" i="14"/>
  <c r="W80" i="14"/>
  <c r="V80" i="14"/>
  <c r="W79" i="14"/>
  <c r="V79" i="14"/>
  <c r="W78" i="14"/>
  <c r="V78" i="14"/>
  <c r="W77" i="14"/>
  <c r="V77" i="14"/>
  <c r="W76" i="14"/>
  <c r="V76" i="14"/>
  <c r="W74" i="14"/>
  <c r="V74" i="14"/>
  <c r="W73" i="14"/>
  <c r="V73" i="14"/>
  <c r="W72" i="14"/>
  <c r="V72" i="14"/>
  <c r="W71" i="14"/>
  <c r="V71" i="14"/>
  <c r="W70" i="14"/>
  <c r="V70" i="14"/>
  <c r="W69" i="14"/>
  <c r="V69" i="14"/>
  <c r="W68" i="14"/>
  <c r="V68" i="14"/>
  <c r="W67" i="14"/>
  <c r="V67" i="14"/>
  <c r="W66" i="14"/>
  <c r="V66" i="14"/>
  <c r="W65" i="14"/>
  <c r="V65" i="14"/>
  <c r="W64" i="14"/>
  <c r="V64" i="14"/>
  <c r="W63" i="14"/>
  <c r="V63" i="14"/>
  <c r="W61" i="14"/>
  <c r="V61" i="14"/>
  <c r="W60" i="14"/>
  <c r="V60" i="14"/>
  <c r="W59" i="14"/>
  <c r="V59" i="14"/>
  <c r="W57" i="14"/>
  <c r="V57" i="14"/>
  <c r="W56" i="14"/>
  <c r="V56" i="14"/>
  <c r="W55" i="14"/>
  <c r="V55" i="14"/>
  <c r="W54" i="14"/>
  <c r="V54" i="14"/>
  <c r="W53" i="14"/>
  <c r="V53" i="14"/>
  <c r="W52" i="14"/>
  <c r="V52" i="14"/>
  <c r="W51" i="14"/>
  <c r="V51" i="14"/>
  <c r="W50" i="14"/>
  <c r="V50" i="14"/>
  <c r="W40" i="14"/>
  <c r="V40" i="14"/>
  <c r="W86" i="13"/>
  <c r="V86" i="13"/>
  <c r="W85" i="13"/>
  <c r="V85" i="13"/>
  <c r="W84" i="13"/>
  <c r="V84" i="13"/>
  <c r="W83" i="13"/>
  <c r="V83" i="13"/>
  <c r="W80" i="13"/>
  <c r="V80" i="13"/>
  <c r="W79" i="13"/>
  <c r="V79" i="13"/>
  <c r="W78" i="13"/>
  <c r="V78" i="13"/>
  <c r="W77" i="13"/>
  <c r="V77" i="13"/>
  <c r="W76" i="13"/>
  <c r="V76" i="13"/>
  <c r="W75" i="13"/>
  <c r="V75" i="13"/>
  <c r="W74" i="13"/>
  <c r="V74" i="13"/>
  <c r="W73" i="13"/>
  <c r="V73" i="13"/>
  <c r="W71" i="13"/>
  <c r="V71" i="13"/>
  <c r="W70" i="13"/>
  <c r="V70" i="13"/>
  <c r="W69" i="13"/>
  <c r="V69" i="13"/>
  <c r="W68" i="13"/>
  <c r="V68" i="13"/>
  <c r="W67" i="13"/>
  <c r="V67" i="13"/>
  <c r="W66" i="13"/>
  <c r="V66" i="13"/>
  <c r="W65" i="13"/>
  <c r="V65" i="13"/>
  <c r="W64" i="13"/>
  <c r="V64" i="13"/>
  <c r="W63" i="13"/>
  <c r="V63" i="13"/>
  <c r="W62" i="13"/>
  <c r="V62" i="13"/>
  <c r="W61" i="13"/>
  <c r="V61" i="13"/>
  <c r="W60" i="13"/>
  <c r="V60" i="13"/>
  <c r="W58" i="13"/>
  <c r="V58" i="13"/>
  <c r="W57" i="13"/>
  <c r="V57" i="13"/>
  <c r="W56" i="13"/>
  <c r="V56" i="13"/>
  <c r="W54" i="13"/>
  <c r="V54" i="13"/>
  <c r="W53" i="13"/>
  <c r="V53" i="13"/>
  <c r="W52" i="13"/>
  <c r="V52" i="13"/>
  <c r="W51" i="13"/>
  <c r="V51" i="13"/>
  <c r="W50" i="13"/>
  <c r="V50" i="13"/>
  <c r="W49" i="13"/>
  <c r="V49" i="13"/>
  <c r="W48" i="13"/>
  <c r="V48" i="13"/>
  <c r="W47" i="13"/>
  <c r="V47" i="13"/>
  <c r="W37" i="13"/>
  <c r="V37" i="13"/>
  <c r="W83" i="12"/>
  <c r="V83" i="12"/>
  <c r="W82" i="12"/>
  <c r="V82" i="12"/>
  <c r="W81" i="12"/>
  <c r="V81" i="12"/>
  <c r="W80" i="12"/>
  <c r="V80" i="12"/>
  <c r="W77" i="12"/>
  <c r="V77" i="12"/>
  <c r="W76" i="12"/>
  <c r="V76" i="12"/>
  <c r="W75" i="12"/>
  <c r="V75" i="12"/>
  <c r="W74" i="12"/>
  <c r="V74" i="12"/>
  <c r="W73" i="12"/>
  <c r="V73" i="12"/>
  <c r="W72" i="12"/>
  <c r="V72" i="12"/>
  <c r="W71" i="12"/>
  <c r="V71" i="12"/>
  <c r="W70" i="12"/>
  <c r="V70" i="12"/>
  <c r="W68" i="12"/>
  <c r="V68" i="12"/>
  <c r="W67" i="12"/>
  <c r="V67" i="12"/>
  <c r="W66" i="12"/>
  <c r="V66" i="12"/>
  <c r="W65" i="12"/>
  <c r="V65" i="12"/>
  <c r="W64" i="12"/>
  <c r="V64" i="12"/>
  <c r="W63" i="12"/>
  <c r="V63" i="12"/>
  <c r="W62" i="12"/>
  <c r="V62" i="12"/>
  <c r="W61" i="12"/>
  <c r="V61" i="12"/>
  <c r="W60" i="12"/>
  <c r="V60" i="12"/>
  <c r="W59" i="12"/>
  <c r="V59" i="12"/>
  <c r="W58" i="12"/>
  <c r="V58" i="12"/>
  <c r="W57" i="12"/>
  <c r="V57" i="12"/>
  <c r="W55" i="12"/>
  <c r="V55" i="12"/>
  <c r="W54" i="12"/>
  <c r="V54" i="12"/>
  <c r="W53" i="12"/>
  <c r="V53" i="12"/>
  <c r="W51" i="12"/>
  <c r="V51" i="12"/>
  <c r="W50" i="12"/>
  <c r="V50" i="12"/>
  <c r="W49" i="12"/>
  <c r="V49" i="12"/>
  <c r="W48" i="12"/>
  <c r="V48" i="12"/>
  <c r="W47" i="12"/>
  <c r="V47" i="12"/>
  <c r="W46" i="12"/>
  <c r="V46" i="12"/>
  <c r="W45" i="12"/>
  <c r="V45" i="12"/>
  <c r="W44" i="12"/>
  <c r="V44" i="12"/>
  <c r="W41" i="12"/>
  <c r="V41" i="12"/>
  <c r="W39" i="12"/>
  <c r="V39" i="12"/>
  <c r="W38" i="12"/>
  <c r="V38" i="12"/>
  <c r="W37" i="12"/>
  <c r="V37" i="12"/>
  <c r="W36" i="12"/>
  <c r="V36" i="12"/>
  <c r="W35" i="12"/>
  <c r="V35" i="12"/>
  <c r="W34" i="12"/>
  <c r="V34" i="12"/>
  <c r="W33" i="12"/>
  <c r="V33" i="12"/>
  <c r="W32" i="12"/>
  <c r="V32" i="12"/>
  <c r="W30" i="12"/>
  <c r="V30" i="12"/>
  <c r="W34" i="14"/>
  <c r="V34" i="14"/>
  <c r="W31" i="14"/>
  <c r="V31" i="14"/>
  <c r="W28" i="14"/>
  <c r="V28" i="14"/>
  <c r="W27" i="14"/>
  <c r="V27" i="14"/>
  <c r="W26" i="14"/>
  <c r="V26" i="14"/>
  <c r="W23" i="14"/>
  <c r="V23" i="14"/>
  <c r="W22" i="14"/>
  <c r="V22" i="14"/>
  <c r="W21" i="14"/>
  <c r="V21" i="14"/>
  <c r="W20" i="14"/>
  <c r="V20" i="14"/>
  <c r="W19" i="14"/>
  <c r="V19" i="14"/>
  <c r="W18" i="14"/>
  <c r="V18" i="14"/>
  <c r="W17" i="14"/>
  <c r="V17" i="14"/>
  <c r="W16" i="14"/>
  <c r="V16" i="14"/>
  <c r="W15" i="14"/>
  <c r="V15" i="14"/>
  <c r="W14" i="14"/>
  <c r="V14" i="14"/>
  <c r="W13" i="14"/>
  <c r="V13" i="14"/>
  <c r="W12" i="14"/>
  <c r="V12" i="14"/>
  <c r="W7" i="14"/>
  <c r="V7" i="14"/>
  <c r="W6" i="14"/>
  <c r="V6" i="14"/>
  <c r="W28" i="13"/>
  <c r="V28" i="13"/>
  <c r="W25" i="13"/>
  <c r="V25" i="13"/>
  <c r="W24" i="13"/>
  <c r="V24" i="13"/>
  <c r="W23" i="13"/>
  <c r="V23" i="13"/>
  <c r="W20" i="13"/>
  <c r="V20" i="13"/>
  <c r="W19" i="13"/>
  <c r="V19" i="13"/>
  <c r="W18" i="13"/>
  <c r="V18" i="13"/>
  <c r="W17" i="13"/>
  <c r="V17" i="13"/>
  <c r="W16" i="13"/>
  <c r="V16" i="13"/>
  <c r="W15" i="13"/>
  <c r="V15" i="13"/>
  <c r="W8" i="13"/>
  <c r="V8" i="13"/>
  <c r="W7" i="13"/>
  <c r="V7" i="13"/>
  <c r="W6" i="13"/>
  <c r="V6" i="13"/>
  <c r="W26" i="12"/>
  <c r="V26" i="12"/>
  <c r="W21" i="12"/>
  <c r="V21" i="12"/>
  <c r="W20" i="12"/>
  <c r="V20" i="12"/>
  <c r="W19" i="12"/>
  <c r="V19" i="12"/>
  <c r="W18" i="12"/>
  <c r="V18" i="12"/>
  <c r="W17" i="12"/>
  <c r="V17" i="12"/>
  <c r="W16" i="12"/>
  <c r="V16" i="12"/>
  <c r="W14" i="12"/>
  <c r="V14" i="12"/>
  <c r="W11" i="12"/>
  <c r="V11" i="12"/>
  <c r="W10" i="12"/>
  <c r="V10" i="12"/>
  <c r="W9" i="12"/>
  <c r="V9" i="12"/>
  <c r="W8" i="12"/>
  <c r="V8" i="12"/>
  <c r="W7" i="12"/>
  <c r="V7" i="12"/>
  <c r="W6" i="12"/>
  <c r="V6" i="12"/>
  <c r="AM71" i="15"/>
  <c r="AL71" i="15"/>
  <c r="AM64" i="15"/>
  <c r="AL64" i="15"/>
  <c r="AM63" i="15"/>
  <c r="AL63" i="15"/>
  <c r="AM62" i="15"/>
  <c r="AL62" i="15"/>
  <c r="AM61" i="15"/>
  <c r="AL61" i="15"/>
  <c r="AM58" i="15"/>
  <c r="AL58" i="15"/>
  <c r="AM57" i="15"/>
  <c r="AL57" i="15"/>
  <c r="AM56" i="15"/>
  <c r="AL56" i="15"/>
  <c r="AM55" i="15"/>
  <c r="AL55" i="15"/>
  <c r="AM54" i="15"/>
  <c r="AL54" i="15"/>
  <c r="AM53" i="15"/>
  <c r="AL53" i="15"/>
  <c r="AM52" i="15"/>
  <c r="AL52" i="15"/>
  <c r="AM51" i="15"/>
  <c r="AL51" i="15"/>
  <c r="AM49" i="15"/>
  <c r="AL49" i="15"/>
  <c r="AM48" i="15"/>
  <c r="AL48" i="15"/>
  <c r="AM47" i="15"/>
  <c r="AL47" i="15"/>
  <c r="AM46" i="15"/>
  <c r="AL46" i="15"/>
  <c r="AM45" i="15"/>
  <c r="AL45" i="15"/>
  <c r="AM44" i="15"/>
  <c r="AL44" i="15"/>
  <c r="AM43" i="15"/>
  <c r="AL43" i="15"/>
  <c r="AM42" i="15"/>
  <c r="AL42" i="15"/>
  <c r="AM41" i="15"/>
  <c r="AL41" i="15"/>
  <c r="AM40" i="15"/>
  <c r="AL40" i="15"/>
  <c r="AM39" i="15"/>
  <c r="AL39" i="15"/>
  <c r="AM38" i="15"/>
  <c r="AL38" i="15"/>
  <c r="AM36" i="15"/>
  <c r="AL36" i="15"/>
  <c r="AM35" i="15"/>
  <c r="AL35" i="15"/>
  <c r="AM34" i="15"/>
  <c r="AL34" i="15"/>
  <c r="AM32" i="15"/>
  <c r="AL32" i="15"/>
  <c r="AM31" i="15"/>
  <c r="AL31" i="15"/>
  <c r="AM30" i="15"/>
  <c r="AL30" i="15"/>
  <c r="AM29" i="15"/>
  <c r="AL29" i="15"/>
  <c r="AM28" i="15"/>
  <c r="AL28" i="15"/>
  <c r="AM27" i="15"/>
  <c r="AL27" i="15"/>
  <c r="AM26" i="15"/>
  <c r="AL26" i="15"/>
  <c r="AM25" i="15"/>
  <c r="AL25" i="15"/>
  <c r="AM22" i="15"/>
  <c r="AL22" i="15"/>
  <c r="AM20" i="15"/>
  <c r="AL20" i="15"/>
  <c r="AM19" i="15"/>
  <c r="AL19" i="15"/>
  <c r="AM18" i="15"/>
  <c r="AL18" i="15"/>
  <c r="AM17" i="15"/>
  <c r="AL17" i="15"/>
  <c r="AM16" i="15"/>
  <c r="AL16" i="15"/>
  <c r="AM15" i="15"/>
  <c r="AL15" i="15"/>
  <c r="AM14" i="15"/>
  <c r="AL14" i="15"/>
  <c r="AM13" i="15"/>
  <c r="AL13" i="15"/>
  <c r="AM11" i="15"/>
  <c r="AL11" i="15"/>
  <c r="AM9" i="15"/>
  <c r="AL9" i="15"/>
  <c r="AM6" i="15"/>
  <c r="AL6" i="15"/>
  <c r="W76" i="4"/>
  <c r="V76" i="4"/>
  <c r="W75" i="4"/>
  <c r="V75" i="4"/>
  <c r="W74" i="4"/>
  <c r="V74" i="4"/>
  <c r="W73" i="4"/>
  <c r="V73" i="4"/>
  <c r="W70" i="4"/>
  <c r="V70" i="4"/>
  <c r="W69" i="4"/>
  <c r="V69" i="4"/>
  <c r="W68" i="4"/>
  <c r="V68" i="4"/>
  <c r="W67" i="4"/>
  <c r="V67" i="4"/>
  <c r="W66" i="4"/>
  <c r="V66" i="4"/>
  <c r="W65" i="4"/>
  <c r="V65" i="4"/>
  <c r="W64" i="4"/>
  <c r="V64" i="4"/>
  <c r="W63" i="4"/>
  <c r="V63" i="4"/>
  <c r="W61" i="4"/>
  <c r="V61" i="4"/>
  <c r="W60" i="4"/>
  <c r="V60" i="4"/>
  <c r="W59" i="4"/>
  <c r="V59" i="4"/>
  <c r="W58" i="4"/>
  <c r="V58" i="4"/>
  <c r="W57" i="4"/>
  <c r="V57" i="4"/>
  <c r="W56" i="4"/>
  <c r="V56" i="4"/>
  <c r="W55" i="4"/>
  <c r="V55" i="4"/>
  <c r="W54" i="4"/>
  <c r="V54" i="4"/>
  <c r="W53" i="4"/>
  <c r="V53" i="4"/>
  <c r="W52" i="4"/>
  <c r="V52" i="4"/>
  <c r="W51" i="4"/>
  <c r="V51" i="4"/>
  <c r="W50" i="4"/>
  <c r="V50" i="4"/>
  <c r="W48" i="4"/>
  <c r="V48" i="4"/>
  <c r="W47" i="4"/>
  <c r="V47" i="4"/>
  <c r="W46" i="4"/>
  <c r="V46" i="4"/>
  <c r="W44" i="4"/>
  <c r="V44" i="4"/>
  <c r="W43" i="4"/>
  <c r="V43" i="4"/>
  <c r="W42" i="4"/>
  <c r="V42" i="4"/>
  <c r="W41" i="4"/>
  <c r="V41" i="4"/>
  <c r="W40" i="4"/>
  <c r="V40" i="4"/>
  <c r="W39" i="4"/>
  <c r="V39" i="4"/>
  <c r="W38" i="4"/>
  <c r="V38" i="4"/>
  <c r="W37" i="4"/>
  <c r="V37" i="4"/>
  <c r="W34" i="4"/>
  <c r="V34" i="4"/>
  <c r="W32" i="4"/>
  <c r="V32" i="4"/>
  <c r="W31" i="4"/>
  <c r="V31" i="4"/>
  <c r="W30" i="4"/>
  <c r="V30" i="4"/>
  <c r="W29" i="4"/>
  <c r="V29" i="4"/>
  <c r="W28" i="4"/>
  <c r="V28" i="4"/>
  <c r="W27" i="4"/>
  <c r="V27" i="4"/>
  <c r="W26" i="4"/>
  <c r="V26" i="4"/>
  <c r="W25" i="4"/>
  <c r="V25" i="4"/>
  <c r="W23" i="4"/>
  <c r="V23" i="4"/>
  <c r="W17" i="4"/>
  <c r="V17" i="4"/>
  <c r="W16" i="4"/>
  <c r="V16" i="4"/>
  <c r="W15" i="4"/>
  <c r="V15" i="4"/>
  <c r="W14" i="4"/>
  <c r="V14" i="4"/>
  <c r="W13" i="4"/>
  <c r="V13" i="4"/>
  <c r="W12" i="4"/>
  <c r="V12" i="4"/>
  <c r="W9" i="4"/>
  <c r="V9" i="4"/>
  <c r="W8" i="4"/>
  <c r="V8" i="4"/>
  <c r="W7" i="4"/>
  <c r="V7" i="4"/>
  <c r="W6" i="4"/>
  <c r="V6" i="4"/>
  <c r="AQ71" i="15" l="1"/>
  <c r="AP71" i="15"/>
  <c r="T54" i="14"/>
  <c r="T53" i="14"/>
  <c r="U69" i="14"/>
  <c r="T69" i="14"/>
  <c r="U61" i="14"/>
  <c r="T61" i="14"/>
  <c r="U54" i="14"/>
  <c r="U53" i="14"/>
  <c r="U43" i="14"/>
  <c r="T43" i="14"/>
  <c r="U40" i="14"/>
  <c r="T40" i="14"/>
  <c r="U34" i="14"/>
  <c r="T34" i="14"/>
  <c r="U31" i="14"/>
  <c r="T31" i="14"/>
  <c r="U20" i="14"/>
  <c r="T20" i="14"/>
  <c r="U19" i="14"/>
  <c r="T19" i="14"/>
  <c r="U15" i="14"/>
  <c r="T15" i="14"/>
  <c r="U14" i="14"/>
  <c r="T14" i="14"/>
  <c r="U7" i="14"/>
  <c r="T7" i="14"/>
  <c r="U6" i="14"/>
  <c r="T6" i="14"/>
  <c r="T51" i="13"/>
  <c r="T50" i="13"/>
  <c r="U66" i="13"/>
  <c r="T66" i="13"/>
  <c r="U57" i="13"/>
  <c r="T57" i="13"/>
  <c r="U51" i="13"/>
  <c r="U50" i="13"/>
  <c r="U40" i="13"/>
  <c r="T40" i="13"/>
  <c r="U38" i="13"/>
  <c r="T38" i="13"/>
  <c r="U37" i="13"/>
  <c r="T37" i="13"/>
  <c r="U28" i="13"/>
  <c r="T28" i="13"/>
  <c r="U24" i="13"/>
  <c r="T24" i="13"/>
  <c r="U23" i="13"/>
  <c r="T23" i="13"/>
  <c r="U20" i="13"/>
  <c r="T20" i="13"/>
  <c r="U19" i="13"/>
  <c r="T19" i="13"/>
  <c r="U18" i="13"/>
  <c r="T18" i="13"/>
  <c r="U8" i="13"/>
  <c r="T8" i="13"/>
  <c r="U7" i="13"/>
  <c r="T7" i="13"/>
  <c r="U6" i="13"/>
  <c r="T6" i="13"/>
  <c r="U89" i="14"/>
  <c r="U88" i="14"/>
  <c r="U87" i="14"/>
  <c r="U86" i="14"/>
  <c r="U83" i="14"/>
  <c r="U82" i="14"/>
  <c r="U76" i="14"/>
  <c r="U73" i="14"/>
  <c r="U72" i="14"/>
  <c r="U68" i="14"/>
  <c r="U66" i="14"/>
  <c r="U65" i="14"/>
  <c r="U63" i="14"/>
  <c r="U57" i="14"/>
  <c r="U56" i="14"/>
  <c r="U55" i="14"/>
  <c r="U52" i="14"/>
  <c r="U51" i="14"/>
  <c r="U86" i="13"/>
  <c r="U85" i="13"/>
  <c r="U84" i="13"/>
  <c r="U83" i="13"/>
  <c r="U80" i="13"/>
  <c r="U79" i="13"/>
  <c r="U73" i="13"/>
  <c r="U70" i="13"/>
  <c r="U69" i="13"/>
  <c r="U65" i="13"/>
  <c r="U63" i="13"/>
  <c r="U62" i="13"/>
  <c r="U60" i="13"/>
  <c r="U59" i="13"/>
  <c r="U54" i="13"/>
  <c r="U53" i="13"/>
  <c r="U52" i="13"/>
  <c r="U49" i="13"/>
  <c r="U48" i="13"/>
  <c r="U83" i="12"/>
  <c r="U82" i="12"/>
  <c r="U81" i="12"/>
  <c r="U80" i="12"/>
  <c r="U77" i="12"/>
  <c r="U76" i="12"/>
  <c r="U70" i="12"/>
  <c r="U67" i="12"/>
  <c r="U66" i="12"/>
  <c r="U64" i="12"/>
  <c r="U62" i="12"/>
  <c r="U60" i="12"/>
  <c r="U59" i="12"/>
  <c r="U57" i="12"/>
  <c r="U51" i="12"/>
  <c r="U50" i="12"/>
  <c r="U49" i="12"/>
  <c r="U46" i="12"/>
  <c r="U63" i="12"/>
  <c r="T63" i="12"/>
  <c r="U53" i="12"/>
  <c r="T53" i="12"/>
  <c r="U47" i="12"/>
  <c r="T47" i="12"/>
  <c r="U45" i="12"/>
  <c r="U40" i="12"/>
  <c r="T40" i="12"/>
  <c r="U39" i="12"/>
  <c r="T39" i="12"/>
  <c r="U38" i="12"/>
  <c r="T38" i="12"/>
  <c r="U37" i="12"/>
  <c r="T37" i="12"/>
  <c r="U36" i="12"/>
  <c r="T36" i="12"/>
  <c r="U34" i="12"/>
  <c r="T34" i="12"/>
  <c r="U33" i="12"/>
  <c r="T33" i="12"/>
  <c r="U32" i="12"/>
  <c r="T32" i="12"/>
  <c r="U31" i="12"/>
  <c r="T31" i="12"/>
  <c r="U30" i="12"/>
  <c r="T30" i="12"/>
  <c r="U26" i="12"/>
  <c r="T26" i="12"/>
  <c r="U21" i="12"/>
  <c r="T21" i="12"/>
  <c r="U20" i="12"/>
  <c r="T20" i="12"/>
  <c r="U19" i="12"/>
  <c r="T19" i="12"/>
  <c r="U17" i="12"/>
  <c r="T17" i="12"/>
  <c r="U16" i="12"/>
  <c r="T16" i="12"/>
  <c r="U14" i="12"/>
  <c r="T14" i="12"/>
  <c r="U13" i="12"/>
  <c r="T13" i="12"/>
  <c r="U12" i="12"/>
  <c r="T12" i="12"/>
  <c r="AK73" i="15"/>
  <c r="AK71" i="15" s="1"/>
  <c r="AJ73" i="15"/>
  <c r="AJ71" i="15" s="1"/>
  <c r="AK9" i="15"/>
  <c r="AJ9" i="15"/>
  <c r="AK6" i="15"/>
  <c r="AJ6" i="15"/>
  <c r="AL3" i="15"/>
  <c r="AJ3" i="15"/>
  <c r="U14" i="16"/>
  <c r="T14" i="16"/>
  <c r="U12" i="16"/>
  <c r="T12" i="16"/>
  <c r="U10" i="16"/>
  <c r="T10" i="16"/>
  <c r="U8" i="16"/>
  <c r="T8" i="16"/>
  <c r="U6" i="16"/>
  <c r="T6" i="16"/>
  <c r="T3" i="16"/>
  <c r="U50" i="14"/>
  <c r="T50" i="14"/>
  <c r="V3" i="14"/>
  <c r="T3" i="14"/>
  <c r="U47" i="13"/>
  <c r="T47" i="13"/>
  <c r="V3" i="13"/>
  <c r="T3" i="13"/>
  <c r="U44" i="12"/>
  <c r="T44" i="12"/>
  <c r="AB3" i="12"/>
  <c r="V3" i="12"/>
  <c r="T3" i="12"/>
  <c r="R54" i="14"/>
  <c r="R53" i="14"/>
  <c r="S69" i="14"/>
  <c r="R69" i="14"/>
  <c r="S61" i="14"/>
  <c r="R61" i="14"/>
  <c r="S60" i="14"/>
  <c r="R60" i="14"/>
  <c r="S54" i="14"/>
  <c r="S53" i="14"/>
  <c r="S43" i="14"/>
  <c r="R43" i="14"/>
  <c r="S40" i="14"/>
  <c r="R40" i="14"/>
  <c r="S36" i="14"/>
  <c r="R36" i="14"/>
  <c r="S34" i="14"/>
  <c r="R34" i="14"/>
  <c r="S31" i="14"/>
  <c r="R31" i="14"/>
  <c r="S23" i="14"/>
  <c r="R23" i="14"/>
  <c r="S22" i="14"/>
  <c r="R22" i="14"/>
  <c r="S20" i="14"/>
  <c r="R20" i="14"/>
  <c r="S19" i="14"/>
  <c r="R19" i="14"/>
  <c r="S15" i="14"/>
  <c r="R15" i="14"/>
  <c r="S14" i="14"/>
  <c r="R14" i="14"/>
  <c r="S13" i="14"/>
  <c r="R13" i="14"/>
  <c r="S12" i="14"/>
  <c r="R12" i="14"/>
  <c r="S7" i="14"/>
  <c r="R7" i="14"/>
  <c r="S6" i="14"/>
  <c r="R6" i="14"/>
  <c r="R51" i="13"/>
  <c r="R50" i="13"/>
  <c r="S66" i="13"/>
  <c r="R66" i="13"/>
  <c r="S57" i="13"/>
  <c r="R57" i="13"/>
  <c r="S51" i="13"/>
  <c r="S50" i="13"/>
  <c r="S40" i="13"/>
  <c r="R40" i="13"/>
  <c r="S38" i="13"/>
  <c r="R38" i="13"/>
  <c r="S37" i="13"/>
  <c r="R37" i="13"/>
  <c r="S33" i="13"/>
  <c r="R33" i="13"/>
  <c r="S28" i="13"/>
  <c r="R28" i="13"/>
  <c r="S24" i="13"/>
  <c r="R24" i="13"/>
  <c r="S23" i="13"/>
  <c r="R23" i="13"/>
  <c r="S20" i="13"/>
  <c r="R20" i="13"/>
  <c r="S19" i="13"/>
  <c r="R19" i="13"/>
  <c r="S18" i="13"/>
  <c r="R18" i="13"/>
  <c r="S17" i="13"/>
  <c r="R17" i="13"/>
  <c r="S16" i="13"/>
  <c r="R16" i="13"/>
  <c r="S15" i="13"/>
  <c r="R15" i="13"/>
  <c r="S8" i="13"/>
  <c r="R8" i="13"/>
  <c r="S7" i="13"/>
  <c r="R7" i="13"/>
  <c r="S6" i="13"/>
  <c r="R6" i="13"/>
  <c r="S89" i="14"/>
  <c r="S88" i="14"/>
  <c r="S87" i="14"/>
  <c r="S86" i="14"/>
  <c r="S83" i="14"/>
  <c r="S82" i="14"/>
  <c r="S76" i="14"/>
  <c r="S73" i="14"/>
  <c r="S72" i="14"/>
  <c r="S68" i="14"/>
  <c r="S66" i="14"/>
  <c r="S65" i="14"/>
  <c r="S63" i="14"/>
  <c r="S57" i="14"/>
  <c r="S56" i="14"/>
  <c r="S55" i="14"/>
  <c r="S52" i="14"/>
  <c r="S51" i="14"/>
  <c r="S86" i="13"/>
  <c r="S85" i="13"/>
  <c r="S84" i="13"/>
  <c r="S83" i="13"/>
  <c r="S80" i="13"/>
  <c r="S79" i="13"/>
  <c r="S73" i="13"/>
  <c r="S70" i="13"/>
  <c r="S69" i="13"/>
  <c r="S65" i="13"/>
  <c r="S63" i="13"/>
  <c r="S62" i="13"/>
  <c r="S60" i="13"/>
  <c r="S59" i="13"/>
  <c r="S54" i="13"/>
  <c r="S53" i="13"/>
  <c r="S52" i="13"/>
  <c r="S49" i="13"/>
  <c r="S48" i="13"/>
  <c r="S83" i="12"/>
  <c r="S82" i="12"/>
  <c r="S81" i="12"/>
  <c r="S80" i="12"/>
  <c r="S77" i="12"/>
  <c r="S76" i="12"/>
  <c r="S70" i="12"/>
  <c r="S67" i="12"/>
  <c r="S66" i="12"/>
  <c r="S64" i="12"/>
  <c r="S62" i="12"/>
  <c r="S60" i="12"/>
  <c r="S59" i="12"/>
  <c r="S57" i="12"/>
  <c r="S51" i="12"/>
  <c r="S50" i="12"/>
  <c r="S49" i="12"/>
  <c r="S46" i="12"/>
  <c r="S76" i="4"/>
  <c r="S75" i="4"/>
  <c r="S74" i="4"/>
  <c r="S73" i="4"/>
  <c r="S70" i="4"/>
  <c r="S69" i="4"/>
  <c r="S63" i="4"/>
  <c r="S60" i="4"/>
  <c r="S59" i="4"/>
  <c r="S57" i="4"/>
  <c r="S55" i="4"/>
  <c r="S53" i="4"/>
  <c r="S52" i="4"/>
  <c r="S50" i="4"/>
  <c r="S44" i="4"/>
  <c r="S43" i="4"/>
  <c r="S42" i="4"/>
  <c r="S39" i="4"/>
  <c r="S63" i="12"/>
  <c r="R63" i="12"/>
  <c r="S53" i="12"/>
  <c r="R53" i="12"/>
  <c r="S47" i="12"/>
  <c r="R47" i="12"/>
  <c r="S45" i="12"/>
  <c r="S40" i="12"/>
  <c r="R40" i="12"/>
  <c r="S39" i="12"/>
  <c r="R39" i="12"/>
  <c r="S38" i="12"/>
  <c r="R38" i="12"/>
  <c r="S37" i="12"/>
  <c r="R37" i="12"/>
  <c r="S36" i="12"/>
  <c r="R36" i="12"/>
  <c r="S34" i="12"/>
  <c r="R34" i="12"/>
  <c r="S33" i="12"/>
  <c r="R33" i="12"/>
  <c r="S32" i="12"/>
  <c r="R32" i="12"/>
  <c r="S31" i="12"/>
  <c r="R31" i="12"/>
  <c r="S30" i="12"/>
  <c r="R30" i="12"/>
  <c r="S26" i="12"/>
  <c r="S14" i="12" s="1"/>
  <c r="R26" i="12"/>
  <c r="R14" i="12" s="1"/>
  <c r="S21" i="12"/>
  <c r="R21" i="12"/>
  <c r="S20" i="12"/>
  <c r="R20" i="12"/>
  <c r="S19" i="12"/>
  <c r="R19" i="12"/>
  <c r="S17" i="12"/>
  <c r="R17" i="12"/>
  <c r="S16" i="12"/>
  <c r="R16" i="12"/>
  <c r="S13" i="12"/>
  <c r="R13" i="12"/>
  <c r="S12" i="12"/>
  <c r="R12" i="12"/>
  <c r="S56" i="4"/>
  <c r="R56" i="4"/>
  <c r="S46" i="4"/>
  <c r="R46" i="4"/>
  <c r="S40" i="4"/>
  <c r="R40" i="4"/>
  <c r="S38" i="4"/>
  <c r="S33" i="4"/>
  <c r="R33" i="4"/>
  <c r="S32" i="4"/>
  <c r="R32" i="4"/>
  <c r="S31" i="4"/>
  <c r="R31" i="4"/>
  <c r="S30" i="4"/>
  <c r="R30" i="4"/>
  <c r="S27" i="4"/>
  <c r="R27" i="4"/>
  <c r="S26" i="4"/>
  <c r="R26" i="4"/>
  <c r="S25" i="4"/>
  <c r="R25" i="4"/>
  <c r="S24" i="4"/>
  <c r="R24" i="4"/>
  <c r="S23" i="4"/>
  <c r="R23" i="4"/>
  <c r="S17" i="4"/>
  <c r="R17" i="4"/>
  <c r="S16" i="4"/>
  <c r="R16" i="4"/>
  <c r="S15" i="4"/>
  <c r="R15" i="4"/>
  <c r="S13" i="4"/>
  <c r="R13" i="4"/>
  <c r="S12" i="4"/>
  <c r="R12" i="4"/>
  <c r="S8" i="4"/>
  <c r="R8" i="4"/>
  <c r="S7" i="4"/>
  <c r="R7" i="4"/>
  <c r="S6" i="4"/>
  <c r="R6" i="4"/>
  <c r="AI73" i="15"/>
  <c r="AI71" i="15" s="1"/>
  <c r="AH73" i="15"/>
  <c r="AH71" i="15" s="1"/>
  <c r="AI9" i="15"/>
  <c r="AH9" i="15"/>
  <c r="AI6" i="15"/>
  <c r="AH6" i="15"/>
  <c r="AH3" i="15"/>
  <c r="S14" i="16"/>
  <c r="R14" i="16"/>
  <c r="S12" i="16"/>
  <c r="R12" i="16"/>
  <c r="S10" i="16"/>
  <c r="R10" i="16"/>
  <c r="S8" i="16"/>
  <c r="R8" i="16"/>
  <c r="S6" i="16"/>
  <c r="R6" i="16"/>
  <c r="R3" i="16"/>
  <c r="S50" i="14"/>
  <c r="R50" i="14"/>
  <c r="R3" i="14"/>
  <c r="S47" i="13"/>
  <c r="R47" i="13"/>
  <c r="R3" i="13"/>
  <c r="S44" i="12"/>
  <c r="R44" i="12"/>
  <c r="R3" i="12"/>
  <c r="S37" i="4"/>
  <c r="R37" i="4"/>
  <c r="S9" i="4"/>
  <c r="R9" i="4"/>
  <c r="AB3" i="4"/>
  <c r="V3" i="4"/>
  <c r="R3" i="4"/>
  <c r="C96" i="14" l="1"/>
  <c r="B96" i="14"/>
  <c r="C89" i="14"/>
  <c r="B89" i="14"/>
  <c r="C88" i="14"/>
  <c r="B88" i="14"/>
  <c r="C87" i="14"/>
  <c r="B87" i="14"/>
  <c r="C86" i="14"/>
  <c r="B86" i="14"/>
  <c r="C85" i="14"/>
  <c r="B85" i="14"/>
  <c r="C83" i="14"/>
  <c r="B83" i="14"/>
  <c r="C81" i="14"/>
  <c r="B81" i="14"/>
  <c r="C80" i="14"/>
  <c r="B80" i="14"/>
  <c r="C79" i="14"/>
  <c r="B79" i="14"/>
  <c r="C78" i="14"/>
  <c r="B78" i="14"/>
  <c r="C77" i="14"/>
  <c r="B77" i="14"/>
  <c r="C76" i="14"/>
  <c r="B76" i="14"/>
  <c r="C74" i="14"/>
  <c r="B74" i="14"/>
  <c r="C71" i="14"/>
  <c r="B71" i="14"/>
  <c r="C70" i="14"/>
  <c r="B70" i="14"/>
  <c r="C69" i="14"/>
  <c r="B69" i="14"/>
  <c r="C68" i="14"/>
  <c r="B68" i="14"/>
  <c r="C67" i="14"/>
  <c r="B67" i="14"/>
  <c r="C66" i="14"/>
  <c r="B66" i="14"/>
  <c r="C65" i="14"/>
  <c r="B65" i="14"/>
  <c r="C64" i="14"/>
  <c r="B64" i="14"/>
  <c r="C63" i="14"/>
  <c r="B63" i="14"/>
  <c r="C62" i="14"/>
  <c r="B62" i="14"/>
  <c r="C61" i="14"/>
  <c r="B61" i="14"/>
  <c r="C60" i="14"/>
  <c r="B60" i="14"/>
  <c r="C59" i="14"/>
  <c r="B59" i="14"/>
  <c r="C56" i="14"/>
  <c r="B56" i="14"/>
  <c r="C55" i="14"/>
  <c r="B55" i="14"/>
  <c r="C54" i="14"/>
  <c r="B54" i="14"/>
  <c r="C53" i="14"/>
  <c r="B53" i="14"/>
  <c r="C52" i="14"/>
  <c r="B52" i="14"/>
  <c r="C51" i="14"/>
  <c r="B51" i="14"/>
  <c r="C50" i="14"/>
  <c r="B50" i="14"/>
  <c r="C47" i="14"/>
  <c r="B47" i="14"/>
  <c r="C46" i="14"/>
  <c r="B46" i="14"/>
  <c r="C45" i="14"/>
  <c r="B45" i="14"/>
  <c r="C44" i="14"/>
  <c r="B44" i="14"/>
  <c r="C43" i="14"/>
  <c r="B43" i="14"/>
  <c r="C42" i="14"/>
  <c r="B42" i="14"/>
  <c r="C40" i="14"/>
  <c r="B40" i="14"/>
  <c r="C39" i="14"/>
  <c r="B39" i="14"/>
  <c r="C38" i="14"/>
  <c r="B38" i="14"/>
  <c r="C37" i="14"/>
  <c r="B37" i="14"/>
  <c r="C36" i="14"/>
  <c r="B36" i="14"/>
  <c r="C32" i="14"/>
  <c r="C34" i="14" s="1"/>
  <c r="B32" i="14"/>
  <c r="B34" i="14" s="1"/>
  <c r="C93" i="13"/>
  <c r="B93" i="13"/>
  <c r="C86" i="13"/>
  <c r="B86" i="13"/>
  <c r="C85" i="13"/>
  <c r="B85" i="13"/>
  <c r="C84" i="13"/>
  <c r="B84" i="13"/>
  <c r="C83" i="13"/>
  <c r="B83" i="13"/>
  <c r="C82" i="13"/>
  <c r="B82" i="13"/>
  <c r="C80" i="13"/>
  <c r="B80" i="13"/>
  <c r="C78" i="13"/>
  <c r="B78" i="13"/>
  <c r="C77" i="13"/>
  <c r="B77" i="13"/>
  <c r="C76" i="13"/>
  <c r="B76" i="13"/>
  <c r="C75" i="13"/>
  <c r="B75" i="13"/>
  <c r="C74" i="13"/>
  <c r="B74" i="13"/>
  <c r="C73" i="13"/>
  <c r="B73" i="13"/>
  <c r="C71" i="13"/>
  <c r="B71" i="13"/>
  <c r="C68" i="13"/>
  <c r="B68" i="13"/>
  <c r="C67" i="13"/>
  <c r="B67" i="13"/>
  <c r="C66" i="13"/>
  <c r="B66" i="13"/>
  <c r="C65" i="13"/>
  <c r="B65" i="13"/>
  <c r="C64" i="13"/>
  <c r="B64" i="13"/>
  <c r="C63" i="13"/>
  <c r="B63" i="13"/>
  <c r="C62" i="13"/>
  <c r="B62" i="13"/>
  <c r="C61" i="13"/>
  <c r="B61" i="13"/>
  <c r="C60" i="13"/>
  <c r="B60" i="13"/>
  <c r="C59" i="13"/>
  <c r="B59" i="13"/>
  <c r="C58" i="13"/>
  <c r="B58" i="13"/>
  <c r="C57" i="13"/>
  <c r="B57" i="13"/>
  <c r="C56" i="13"/>
  <c r="B56" i="13"/>
  <c r="C53" i="13"/>
  <c r="B53" i="13"/>
  <c r="C52" i="13"/>
  <c r="B52" i="13"/>
  <c r="C51" i="13"/>
  <c r="B51" i="13"/>
  <c r="C50" i="13"/>
  <c r="B50" i="13"/>
  <c r="C49" i="13"/>
  <c r="B49" i="13"/>
  <c r="C48" i="13"/>
  <c r="B48" i="13"/>
  <c r="C47" i="13"/>
  <c r="B47" i="13"/>
  <c r="C44" i="13"/>
  <c r="B44" i="13"/>
  <c r="C43" i="13"/>
  <c r="B43" i="13"/>
  <c r="C42" i="13"/>
  <c r="B42" i="13"/>
  <c r="C41" i="13"/>
  <c r="B41" i="13"/>
  <c r="C40" i="13"/>
  <c r="B40" i="13"/>
  <c r="C39" i="13"/>
  <c r="B39" i="13"/>
  <c r="C37" i="13"/>
  <c r="B37" i="13"/>
  <c r="C36" i="13"/>
  <c r="B36" i="13"/>
  <c r="C35" i="13"/>
  <c r="B35" i="13"/>
  <c r="C34" i="13"/>
  <c r="B34" i="13"/>
  <c r="C33" i="13"/>
  <c r="B33" i="13"/>
  <c r="C29" i="13"/>
  <c r="C31" i="13" s="1"/>
  <c r="B29" i="13"/>
  <c r="B31" i="13" s="1"/>
  <c r="C31" i="14"/>
  <c r="B31" i="14"/>
  <c r="C28" i="14"/>
  <c r="B28" i="14"/>
  <c r="C27" i="14"/>
  <c r="B27" i="14"/>
  <c r="C26" i="14"/>
  <c r="B26" i="14"/>
  <c r="C23" i="14"/>
  <c r="B23" i="14"/>
  <c r="C22" i="14"/>
  <c r="B22" i="14"/>
  <c r="C21" i="14"/>
  <c r="B21" i="14"/>
  <c r="C20" i="14"/>
  <c r="B20" i="14"/>
  <c r="C19" i="14"/>
  <c r="B19" i="14"/>
  <c r="C18" i="14"/>
  <c r="B18" i="14"/>
  <c r="C17" i="14"/>
  <c r="B17" i="14"/>
  <c r="C16" i="14"/>
  <c r="B16" i="14"/>
  <c r="C15" i="14"/>
  <c r="B15" i="14"/>
  <c r="C14" i="14"/>
  <c r="B14" i="14"/>
  <c r="C13" i="14"/>
  <c r="B13" i="14"/>
  <c r="C12" i="14"/>
  <c r="B12" i="14"/>
  <c r="C11" i="14"/>
  <c r="B11" i="14"/>
  <c r="C10" i="14"/>
  <c r="B10" i="14"/>
  <c r="C7" i="14"/>
  <c r="B7" i="14"/>
  <c r="C6" i="14"/>
  <c r="B6" i="14"/>
  <c r="B28" i="13"/>
  <c r="B25" i="13"/>
  <c r="B24" i="13"/>
  <c r="B23" i="13"/>
  <c r="C28" i="13"/>
  <c r="C25" i="13"/>
  <c r="C24" i="13"/>
  <c r="C23" i="13"/>
  <c r="C20" i="13"/>
  <c r="B20" i="13"/>
  <c r="C19" i="13"/>
  <c r="B19" i="13"/>
  <c r="C18" i="13"/>
  <c r="B18" i="13"/>
  <c r="C17" i="13"/>
  <c r="B17" i="13"/>
  <c r="C16" i="13"/>
  <c r="B16" i="13"/>
  <c r="C15" i="13"/>
  <c r="B15" i="13"/>
  <c r="C14" i="13"/>
  <c r="B14" i="13"/>
  <c r="C13" i="13"/>
  <c r="B13" i="13"/>
  <c r="C12" i="13"/>
  <c r="B12" i="13"/>
  <c r="C8" i="13"/>
  <c r="B8" i="13"/>
  <c r="C7" i="13"/>
  <c r="B7" i="13"/>
  <c r="C6" i="13"/>
  <c r="B6" i="13"/>
  <c r="C11" i="12"/>
  <c r="C10" i="12"/>
  <c r="C9" i="12"/>
  <c r="C8" i="12"/>
  <c r="C7" i="12"/>
  <c r="C6" i="12"/>
  <c r="B26" i="12"/>
  <c r="B25" i="12"/>
  <c r="B22" i="12"/>
  <c r="B21" i="12"/>
  <c r="B20" i="12"/>
  <c r="B19" i="12"/>
  <c r="B18" i="12"/>
  <c r="B17" i="12"/>
  <c r="B16" i="12"/>
  <c r="B11" i="12"/>
  <c r="B10" i="12"/>
  <c r="B9" i="12"/>
  <c r="B8" i="12"/>
  <c r="B7" i="12"/>
  <c r="B6" i="12"/>
  <c r="C26" i="12"/>
  <c r="C25" i="12"/>
  <c r="C22" i="12"/>
  <c r="C21" i="12"/>
  <c r="C20" i="12"/>
  <c r="C19" i="12"/>
  <c r="C18" i="12"/>
  <c r="C17" i="12"/>
  <c r="C16" i="12"/>
  <c r="C17" i="4"/>
  <c r="B17" i="4"/>
  <c r="C16" i="4"/>
  <c r="B16" i="4"/>
  <c r="C15" i="4"/>
  <c r="B15" i="4"/>
  <c r="C14" i="4"/>
  <c r="B14" i="4"/>
  <c r="C13" i="4"/>
  <c r="B13" i="4"/>
  <c r="C12" i="4"/>
  <c r="B12" i="4"/>
  <c r="C75" i="15"/>
  <c r="B75" i="15"/>
  <c r="C73" i="15"/>
  <c r="C71" i="15" s="1"/>
  <c r="B73" i="15"/>
  <c r="B71" i="15" s="1"/>
  <c r="C64" i="15"/>
  <c r="B64" i="15"/>
  <c r="C63" i="15"/>
  <c r="B63" i="15"/>
  <c r="C62" i="15"/>
  <c r="B62" i="15"/>
  <c r="C61" i="15"/>
  <c r="B61" i="15"/>
  <c r="C60" i="15"/>
  <c r="B60" i="15"/>
  <c r="C58" i="15"/>
  <c r="B58" i="15"/>
  <c r="C56" i="15"/>
  <c r="B56" i="15"/>
  <c r="C55" i="15"/>
  <c r="B55" i="15"/>
  <c r="C54" i="15"/>
  <c r="B54" i="15"/>
  <c r="C53" i="15"/>
  <c r="B53" i="15"/>
  <c r="C52" i="15"/>
  <c r="B52" i="15"/>
  <c r="C51" i="15"/>
  <c r="B51" i="15"/>
  <c r="C49" i="15"/>
  <c r="B49" i="15"/>
  <c r="C46" i="15"/>
  <c r="B46" i="15"/>
  <c r="C45" i="15"/>
  <c r="B45" i="15"/>
  <c r="C44" i="15"/>
  <c r="B44" i="15"/>
  <c r="C43" i="15"/>
  <c r="B43" i="15"/>
  <c r="C42" i="15"/>
  <c r="B42" i="15"/>
  <c r="C41" i="15"/>
  <c r="B41" i="15"/>
  <c r="C40" i="15"/>
  <c r="B40" i="15"/>
  <c r="C39" i="15"/>
  <c r="B39" i="15"/>
  <c r="C38" i="15"/>
  <c r="B38" i="15"/>
  <c r="C37" i="15"/>
  <c r="B37" i="15"/>
  <c r="C36" i="15"/>
  <c r="B36" i="15"/>
  <c r="C35" i="15"/>
  <c r="B35" i="15"/>
  <c r="C34" i="15"/>
  <c r="B34" i="15"/>
  <c r="C31" i="15"/>
  <c r="B31" i="15"/>
  <c r="C30" i="15"/>
  <c r="B30" i="15"/>
  <c r="C29" i="15"/>
  <c r="B29" i="15"/>
  <c r="C28" i="15"/>
  <c r="B28" i="15"/>
  <c r="C27" i="15"/>
  <c r="B27" i="15"/>
  <c r="C26" i="15"/>
  <c r="B26" i="15"/>
  <c r="C25" i="15"/>
  <c r="B25" i="15"/>
  <c r="C22" i="15"/>
  <c r="B22" i="15"/>
  <c r="C21" i="15"/>
  <c r="B21" i="15"/>
  <c r="C20" i="15"/>
  <c r="B20" i="15"/>
  <c r="C19" i="15"/>
  <c r="B19" i="15"/>
  <c r="C18" i="15"/>
  <c r="B18" i="15"/>
  <c r="C17" i="15"/>
  <c r="B17" i="15"/>
  <c r="C15" i="15"/>
  <c r="B15" i="15"/>
  <c r="C14" i="15"/>
  <c r="B14" i="15"/>
  <c r="C13" i="15"/>
  <c r="B13" i="15"/>
  <c r="C12" i="15"/>
  <c r="B12" i="15"/>
  <c r="C11" i="15"/>
  <c r="B11" i="15"/>
  <c r="C8" i="15"/>
  <c r="C9" i="15" s="1"/>
  <c r="B8" i="15"/>
  <c r="B9" i="15" s="1"/>
  <c r="C6" i="15"/>
  <c r="B6" i="15"/>
  <c r="C90" i="12"/>
  <c r="B90" i="12"/>
  <c r="C83" i="12"/>
  <c r="B83" i="12"/>
  <c r="C82" i="12"/>
  <c r="B82" i="12"/>
  <c r="C81" i="12"/>
  <c r="B81" i="12"/>
  <c r="C80" i="12"/>
  <c r="B80" i="12"/>
  <c r="C79" i="12"/>
  <c r="B79" i="12"/>
  <c r="C77" i="12"/>
  <c r="B77" i="12"/>
  <c r="C75" i="12"/>
  <c r="B75" i="12"/>
  <c r="C74" i="12"/>
  <c r="B74" i="12"/>
  <c r="C73" i="12"/>
  <c r="B73" i="12"/>
  <c r="C72" i="12"/>
  <c r="B72" i="12"/>
  <c r="C71" i="12"/>
  <c r="B71" i="12"/>
  <c r="C70" i="12"/>
  <c r="B70" i="12"/>
  <c r="C68" i="12"/>
  <c r="B68" i="12"/>
  <c r="C65" i="12"/>
  <c r="B65" i="12"/>
  <c r="C64" i="12"/>
  <c r="B64" i="12"/>
  <c r="C63" i="12"/>
  <c r="B63" i="12"/>
  <c r="C62" i="12"/>
  <c r="B62" i="12"/>
  <c r="C61" i="12"/>
  <c r="B61" i="12"/>
  <c r="C60" i="12"/>
  <c r="B60" i="12"/>
  <c r="C59" i="12"/>
  <c r="B59" i="12"/>
  <c r="C58" i="12"/>
  <c r="B58" i="12"/>
  <c r="C57" i="12"/>
  <c r="B57" i="12"/>
  <c r="C56" i="12"/>
  <c r="B56" i="12"/>
  <c r="C55" i="12"/>
  <c r="B55" i="12"/>
  <c r="C54" i="12"/>
  <c r="B54" i="12"/>
  <c r="C53" i="12"/>
  <c r="B53" i="12"/>
  <c r="C50" i="12"/>
  <c r="B50" i="12"/>
  <c r="C49" i="12"/>
  <c r="B49" i="12"/>
  <c r="C48" i="12"/>
  <c r="B48" i="12"/>
  <c r="C47" i="12"/>
  <c r="B47" i="12"/>
  <c r="C46" i="12"/>
  <c r="B46" i="12"/>
  <c r="C45" i="12"/>
  <c r="B45" i="12"/>
  <c r="C44" i="12"/>
  <c r="B44" i="12"/>
  <c r="C41" i="12"/>
  <c r="B41" i="12"/>
  <c r="C40" i="12"/>
  <c r="B40" i="12"/>
  <c r="C39" i="12"/>
  <c r="B39" i="12"/>
  <c r="C38" i="12"/>
  <c r="B38" i="12"/>
  <c r="C37" i="12"/>
  <c r="B37" i="12"/>
  <c r="C36" i="12"/>
  <c r="B36" i="12"/>
  <c r="C34" i="12"/>
  <c r="B34" i="12"/>
  <c r="C33" i="12"/>
  <c r="B33" i="12"/>
  <c r="C32" i="12"/>
  <c r="B32" i="12"/>
  <c r="C31" i="12"/>
  <c r="B31" i="12"/>
  <c r="C30" i="12"/>
  <c r="B30" i="12"/>
  <c r="C14" i="12"/>
  <c r="B14" i="12"/>
  <c r="C83" i="4"/>
  <c r="B83" i="4"/>
  <c r="C76" i="4"/>
  <c r="B76" i="4"/>
  <c r="C75" i="4"/>
  <c r="B75" i="4"/>
  <c r="C74" i="4"/>
  <c r="B74" i="4"/>
  <c r="C73" i="4"/>
  <c r="B73" i="4"/>
  <c r="C72" i="4"/>
  <c r="B72" i="4"/>
  <c r="C70" i="4"/>
  <c r="B70" i="4"/>
  <c r="C68" i="4"/>
  <c r="B68" i="4"/>
  <c r="C67" i="4"/>
  <c r="B67" i="4"/>
  <c r="C66" i="4"/>
  <c r="B66" i="4"/>
  <c r="C65" i="4"/>
  <c r="B65" i="4"/>
  <c r="C64" i="4"/>
  <c r="B64" i="4"/>
  <c r="C63" i="4"/>
  <c r="B63" i="4"/>
  <c r="C61" i="4"/>
  <c r="B61" i="4"/>
  <c r="C58" i="4"/>
  <c r="B58" i="4"/>
  <c r="C57" i="4"/>
  <c r="B57" i="4"/>
  <c r="C56" i="4"/>
  <c r="B56" i="4"/>
  <c r="C55" i="4"/>
  <c r="B55" i="4"/>
  <c r="C54" i="4"/>
  <c r="B54" i="4"/>
  <c r="C53" i="4"/>
  <c r="B53" i="4"/>
  <c r="C52" i="4"/>
  <c r="B52" i="4"/>
  <c r="C51" i="4"/>
  <c r="B51" i="4"/>
  <c r="C50" i="4"/>
  <c r="B50" i="4"/>
  <c r="C49" i="4"/>
  <c r="B49" i="4"/>
  <c r="C48" i="4"/>
  <c r="B48" i="4"/>
  <c r="C47" i="4"/>
  <c r="B47" i="4"/>
  <c r="C46" i="4"/>
  <c r="B46" i="4"/>
  <c r="C43" i="4"/>
  <c r="B43" i="4"/>
  <c r="C42" i="4"/>
  <c r="B42" i="4"/>
  <c r="C41" i="4"/>
  <c r="B41" i="4"/>
  <c r="C40" i="4"/>
  <c r="B40" i="4"/>
  <c r="C39" i="4"/>
  <c r="B39" i="4"/>
  <c r="C38" i="4"/>
  <c r="B38" i="4"/>
  <c r="C37" i="4"/>
  <c r="B37" i="4"/>
  <c r="C34" i="4"/>
  <c r="B34" i="4"/>
  <c r="C33" i="4"/>
  <c r="B33" i="4"/>
  <c r="C32" i="4"/>
  <c r="B32" i="4"/>
  <c r="C31" i="4"/>
  <c r="B31" i="4"/>
  <c r="C30" i="4"/>
  <c r="B30" i="4"/>
  <c r="C29" i="4"/>
  <c r="B29" i="4"/>
  <c r="C27" i="4"/>
  <c r="B27" i="4"/>
  <c r="C26" i="4"/>
  <c r="B26" i="4"/>
  <c r="C25" i="4"/>
  <c r="B25" i="4"/>
  <c r="C24" i="4"/>
  <c r="B24" i="4"/>
  <c r="C23" i="4"/>
  <c r="B23" i="4"/>
  <c r="C9" i="4"/>
  <c r="B9" i="4"/>
  <c r="C8" i="4"/>
  <c r="B8" i="4"/>
  <c r="C7" i="4"/>
  <c r="B7" i="4"/>
  <c r="C6" i="4"/>
  <c r="B6" i="4"/>
  <c r="P54" i="14" l="1"/>
  <c r="P53" i="14"/>
  <c r="Q69" i="14"/>
  <c r="P69" i="14"/>
  <c r="Q61" i="14"/>
  <c r="P61" i="14"/>
  <c r="Q60" i="14"/>
  <c r="P60" i="14"/>
  <c r="Q59" i="14"/>
  <c r="P59" i="14"/>
  <c r="Q54" i="14"/>
  <c r="Q53" i="14"/>
  <c r="Q47" i="14"/>
  <c r="P47" i="14"/>
  <c r="Q44" i="14"/>
  <c r="P44" i="14"/>
  <c r="Q43" i="14"/>
  <c r="P43" i="14"/>
  <c r="Q40" i="14"/>
  <c r="P40" i="14"/>
  <c r="Q36" i="14"/>
  <c r="P36" i="14"/>
  <c r="Q34" i="14"/>
  <c r="P34" i="14"/>
  <c r="Q31" i="14"/>
  <c r="P31" i="14"/>
  <c r="U28" i="14"/>
  <c r="T28" i="14"/>
  <c r="S28" i="14"/>
  <c r="R28" i="14"/>
  <c r="Q28" i="14"/>
  <c r="P28" i="14"/>
  <c r="Q27" i="14"/>
  <c r="P27" i="14"/>
  <c r="Q26" i="14"/>
  <c r="P26" i="14"/>
  <c r="Q23" i="14"/>
  <c r="P23" i="14"/>
  <c r="Q22" i="14"/>
  <c r="P22" i="14"/>
  <c r="Q20" i="14"/>
  <c r="P20" i="14"/>
  <c r="Q19" i="14"/>
  <c r="P19" i="14"/>
  <c r="Q15" i="14"/>
  <c r="P15" i="14"/>
  <c r="Q14" i="14"/>
  <c r="P14" i="14"/>
  <c r="Q13" i="14"/>
  <c r="P13" i="14"/>
  <c r="Q12" i="14"/>
  <c r="P12" i="14"/>
  <c r="Q7" i="14"/>
  <c r="P7" i="14"/>
  <c r="Q6" i="14"/>
  <c r="P6" i="14"/>
  <c r="P51" i="13"/>
  <c r="P50" i="13"/>
  <c r="Q66" i="13"/>
  <c r="P66" i="13"/>
  <c r="Q58" i="13"/>
  <c r="P58" i="13"/>
  <c r="Q57" i="13"/>
  <c r="P57" i="13"/>
  <c r="Q56" i="13"/>
  <c r="P56" i="13"/>
  <c r="Q51" i="13"/>
  <c r="Q50" i="13"/>
  <c r="Q44" i="13"/>
  <c r="P44" i="13"/>
  <c r="Q41" i="13"/>
  <c r="P41" i="13"/>
  <c r="Q40" i="13"/>
  <c r="P40" i="13"/>
  <c r="Q37" i="13"/>
  <c r="P37" i="13"/>
  <c r="Q33" i="13"/>
  <c r="P33" i="13"/>
  <c r="Q31" i="13"/>
  <c r="P31" i="13"/>
  <c r="Q24" i="13"/>
  <c r="P24" i="13"/>
  <c r="Q23" i="13"/>
  <c r="P23" i="13"/>
  <c r="Q20" i="13"/>
  <c r="P20" i="13"/>
  <c r="Q19" i="13"/>
  <c r="P19" i="13"/>
  <c r="Q18" i="13"/>
  <c r="P18" i="13"/>
  <c r="Q17" i="13"/>
  <c r="P17" i="13"/>
  <c r="Q16" i="13"/>
  <c r="P16" i="13"/>
  <c r="Q15" i="13"/>
  <c r="P15" i="13"/>
  <c r="Q8" i="13"/>
  <c r="P8" i="13"/>
  <c r="Q7" i="13"/>
  <c r="P7" i="13"/>
  <c r="Q6" i="13"/>
  <c r="P6" i="13"/>
  <c r="Q89" i="14"/>
  <c r="Q88" i="14"/>
  <c r="Q87" i="14"/>
  <c r="Q86" i="14"/>
  <c r="Q83" i="14"/>
  <c r="Q82" i="14"/>
  <c r="Q76" i="14"/>
  <c r="Q73" i="14"/>
  <c r="Q72" i="14"/>
  <c r="Q71" i="14"/>
  <c r="Q68" i="14"/>
  <c r="Q66" i="14"/>
  <c r="Q65" i="14"/>
  <c r="Q63" i="14"/>
  <c r="Q62" i="14"/>
  <c r="Q57" i="14"/>
  <c r="Q56" i="14"/>
  <c r="Q55" i="14"/>
  <c r="Q52" i="14"/>
  <c r="Q51" i="14"/>
  <c r="Q86" i="13"/>
  <c r="Q85" i="13"/>
  <c r="Q84" i="13"/>
  <c r="Q83" i="13"/>
  <c r="Q80" i="13"/>
  <c r="Q79" i="13"/>
  <c r="Q73" i="13"/>
  <c r="Q70" i="13"/>
  <c r="Q69" i="13"/>
  <c r="Q68" i="13"/>
  <c r="Q65" i="13"/>
  <c r="Q63" i="13"/>
  <c r="Q62" i="13"/>
  <c r="Q60" i="13"/>
  <c r="Q59" i="13"/>
  <c r="Q54" i="13"/>
  <c r="Q53" i="13"/>
  <c r="Q52" i="13"/>
  <c r="Q49" i="13"/>
  <c r="Q48" i="13"/>
  <c r="Q83" i="12"/>
  <c r="Q82" i="12"/>
  <c r="Q81" i="12"/>
  <c r="Q80" i="12"/>
  <c r="Q77" i="12"/>
  <c r="Q76" i="12"/>
  <c r="Q70" i="12"/>
  <c r="Q67" i="12"/>
  <c r="Q66" i="12"/>
  <c r="Q65" i="12"/>
  <c r="Q62" i="12"/>
  <c r="Q60" i="12"/>
  <c r="Q59" i="12"/>
  <c r="Q57" i="12"/>
  <c r="Q56" i="12"/>
  <c r="Q51" i="12"/>
  <c r="Q50" i="12"/>
  <c r="Q49" i="12"/>
  <c r="Q46" i="12"/>
  <c r="Q76" i="4"/>
  <c r="Q75" i="4"/>
  <c r="Q74" i="4"/>
  <c r="Q73" i="4"/>
  <c r="Q70" i="4"/>
  <c r="Q69" i="4"/>
  <c r="Q63" i="4"/>
  <c r="Q60" i="4"/>
  <c r="Q59" i="4"/>
  <c r="Q58" i="4"/>
  <c r="Q55" i="4"/>
  <c r="Q53" i="4"/>
  <c r="Q52" i="4"/>
  <c r="Q50" i="4"/>
  <c r="Q49" i="4"/>
  <c r="Q44" i="4"/>
  <c r="Q43" i="4"/>
  <c r="Q42" i="4"/>
  <c r="Q39" i="4"/>
  <c r="Q63" i="12"/>
  <c r="P63" i="12"/>
  <c r="Q47" i="12"/>
  <c r="P47" i="12"/>
  <c r="Q45" i="12"/>
  <c r="Q40" i="12"/>
  <c r="P40" i="12"/>
  <c r="Q39" i="12"/>
  <c r="P39" i="12"/>
  <c r="Q38" i="12"/>
  <c r="P38" i="12"/>
  <c r="Q37" i="12"/>
  <c r="P37" i="12"/>
  <c r="Q36" i="12"/>
  <c r="P36" i="12"/>
  <c r="Q35" i="12"/>
  <c r="P35" i="12"/>
  <c r="Q34" i="12"/>
  <c r="P34" i="12"/>
  <c r="Q32" i="12"/>
  <c r="P32" i="12"/>
  <c r="Q31" i="12"/>
  <c r="P31" i="12"/>
  <c r="Q30" i="12"/>
  <c r="P30" i="12"/>
  <c r="Q26" i="12"/>
  <c r="P26" i="12"/>
  <c r="Q21" i="12"/>
  <c r="P21" i="12"/>
  <c r="Q20" i="12"/>
  <c r="P20" i="12"/>
  <c r="Q19" i="12"/>
  <c r="P19" i="12"/>
  <c r="Q17" i="12"/>
  <c r="P17" i="12"/>
  <c r="Q16" i="12"/>
  <c r="P16" i="12"/>
  <c r="Q14" i="12"/>
  <c r="P14" i="12"/>
  <c r="Q13" i="12"/>
  <c r="P13" i="12"/>
  <c r="Q12" i="12"/>
  <c r="P12" i="12"/>
  <c r="Q56" i="4"/>
  <c r="P56" i="4"/>
  <c r="Q46" i="4"/>
  <c r="P46" i="4"/>
  <c r="Q40" i="4"/>
  <c r="P40" i="4"/>
  <c r="Q38" i="4"/>
  <c r="Q33" i="4"/>
  <c r="P33" i="4"/>
  <c r="Q32" i="4"/>
  <c r="P32" i="4"/>
  <c r="Q31" i="4"/>
  <c r="P31" i="4"/>
  <c r="Q30" i="4"/>
  <c r="P30" i="4"/>
  <c r="Q29" i="4"/>
  <c r="P29" i="4"/>
  <c r="Q28" i="4"/>
  <c r="P28" i="4"/>
  <c r="Q27" i="4"/>
  <c r="P27" i="4"/>
  <c r="Q26" i="4"/>
  <c r="P26" i="4"/>
  <c r="Q25" i="4"/>
  <c r="P25" i="4"/>
  <c r="Q24" i="4"/>
  <c r="P24" i="4"/>
  <c r="Q23" i="4"/>
  <c r="P23" i="4"/>
  <c r="Q17" i="4"/>
  <c r="P17" i="4"/>
  <c r="Q16" i="4"/>
  <c r="P16" i="4"/>
  <c r="Q15" i="4"/>
  <c r="P15" i="4"/>
  <c r="Q13" i="4"/>
  <c r="P13" i="4"/>
  <c r="Q12" i="4"/>
  <c r="P12" i="4"/>
  <c r="Q8" i="4"/>
  <c r="P8" i="4"/>
  <c r="Q7" i="4"/>
  <c r="P7" i="4"/>
  <c r="Q6" i="4"/>
  <c r="P6" i="4"/>
  <c r="AE73" i="15"/>
  <c r="AE71" i="15" s="1"/>
  <c r="AD73" i="15"/>
  <c r="AD71" i="15" s="1"/>
  <c r="AE8" i="15"/>
  <c r="AE9" i="15" s="1"/>
  <c r="AD8" i="15"/>
  <c r="AD9" i="15" s="1"/>
  <c r="AE6" i="15"/>
  <c r="AD6" i="15"/>
  <c r="AD3" i="15"/>
  <c r="P3" i="16"/>
  <c r="Q50" i="14"/>
  <c r="P50" i="14"/>
  <c r="P3" i="14"/>
  <c r="Q47" i="13"/>
  <c r="P47" i="13"/>
  <c r="P3" i="13"/>
  <c r="Q44" i="12"/>
  <c r="P44" i="12"/>
  <c r="P3" i="12"/>
  <c r="Q37" i="4"/>
  <c r="P37" i="4"/>
  <c r="Q9" i="4"/>
  <c r="P9" i="4"/>
  <c r="P3" i="4"/>
  <c r="Y89" i="14"/>
  <c r="X89" i="14"/>
  <c r="Y88" i="14"/>
  <c r="X88" i="14"/>
  <c r="Y87" i="14"/>
  <c r="X87" i="14"/>
  <c r="Y86" i="14"/>
  <c r="X86" i="14"/>
  <c r="Y85" i="14"/>
  <c r="X85" i="14"/>
  <c r="Y83" i="14"/>
  <c r="X83" i="14"/>
  <c r="Y82" i="14"/>
  <c r="X82" i="14"/>
  <c r="Y81" i="14"/>
  <c r="X81" i="14"/>
  <c r="Y80" i="14"/>
  <c r="X80" i="14"/>
  <c r="Y79" i="14"/>
  <c r="X79" i="14"/>
  <c r="Y78" i="14"/>
  <c r="X78" i="14"/>
  <c r="Y77" i="14"/>
  <c r="X77" i="14"/>
  <c r="Y76" i="14"/>
  <c r="X76" i="14"/>
  <c r="Y74" i="14"/>
  <c r="X74" i="14"/>
  <c r="Y73" i="14"/>
  <c r="X73" i="14"/>
  <c r="Y72" i="14"/>
  <c r="X72" i="14"/>
  <c r="Y71" i="14"/>
  <c r="X71" i="14"/>
  <c r="Y70" i="14"/>
  <c r="X70" i="14"/>
  <c r="Y69" i="14"/>
  <c r="X69" i="14"/>
  <c r="Y68" i="14"/>
  <c r="X68" i="14"/>
  <c r="Y67" i="14"/>
  <c r="X67" i="14"/>
  <c r="Y66" i="14"/>
  <c r="X66" i="14"/>
  <c r="Y65" i="14"/>
  <c r="X65" i="14"/>
  <c r="Y64" i="14"/>
  <c r="X64" i="14"/>
  <c r="Y63" i="14"/>
  <c r="X63" i="14"/>
  <c r="Y62" i="14"/>
  <c r="X62" i="14"/>
  <c r="Y61" i="14"/>
  <c r="X61" i="14"/>
  <c r="Y60" i="14"/>
  <c r="X60" i="14"/>
  <c r="Y59" i="14"/>
  <c r="X59" i="14"/>
  <c r="Y57" i="14"/>
  <c r="X57" i="14"/>
  <c r="Y56" i="14"/>
  <c r="X56" i="14"/>
  <c r="Y55" i="14"/>
  <c r="X55" i="14"/>
  <c r="Y54" i="14"/>
  <c r="X54" i="14"/>
  <c r="Y53" i="14"/>
  <c r="X53" i="14"/>
  <c r="Y52" i="14"/>
  <c r="X52" i="14"/>
  <c r="Y51" i="14"/>
  <c r="X51" i="14"/>
  <c r="Y50" i="14"/>
  <c r="X50" i="14"/>
  <c r="Y47" i="14"/>
  <c r="X47" i="14"/>
  <c r="Y44" i="14"/>
  <c r="X44" i="14"/>
  <c r="Y43" i="14"/>
  <c r="X43" i="14"/>
  <c r="Y42" i="14"/>
  <c r="X42" i="14"/>
  <c r="Y41" i="14"/>
  <c r="X41" i="14"/>
  <c r="Y40" i="14"/>
  <c r="X40" i="14"/>
  <c r="Y37" i="14"/>
  <c r="X37" i="14"/>
  <c r="Y36" i="14"/>
  <c r="X36" i="14"/>
  <c r="Y86" i="13"/>
  <c r="X86" i="13"/>
  <c r="Y85" i="13"/>
  <c r="X85" i="13"/>
  <c r="Y84" i="13"/>
  <c r="X84" i="13"/>
  <c r="Y83" i="13"/>
  <c r="X83" i="13"/>
  <c r="Y82" i="13"/>
  <c r="X82" i="13"/>
  <c r="Y80" i="13"/>
  <c r="X80" i="13"/>
  <c r="Y79" i="13"/>
  <c r="X79" i="13"/>
  <c r="Y78" i="13"/>
  <c r="X78" i="13"/>
  <c r="Y77" i="13"/>
  <c r="X77" i="13"/>
  <c r="Y76" i="13"/>
  <c r="X76" i="13"/>
  <c r="Y75" i="13"/>
  <c r="X75" i="13"/>
  <c r="Y74" i="13"/>
  <c r="X74" i="13"/>
  <c r="Y73" i="13"/>
  <c r="X73" i="13"/>
  <c r="Y71" i="13"/>
  <c r="X71" i="13"/>
  <c r="Y70" i="13"/>
  <c r="X70" i="13"/>
  <c r="Y69" i="13"/>
  <c r="X69" i="13"/>
  <c r="Y68" i="13"/>
  <c r="X68" i="13"/>
  <c r="Y67" i="13"/>
  <c r="X67" i="13"/>
  <c r="Y66" i="13"/>
  <c r="X66" i="13"/>
  <c r="Y65" i="13"/>
  <c r="X65" i="13"/>
  <c r="Y64" i="13"/>
  <c r="X64" i="13"/>
  <c r="Y63" i="13"/>
  <c r="X63" i="13"/>
  <c r="Y62" i="13"/>
  <c r="X62" i="13"/>
  <c r="Y61" i="13"/>
  <c r="X61" i="13"/>
  <c r="Y60" i="13"/>
  <c r="X60" i="13"/>
  <c r="Y59" i="13"/>
  <c r="X59" i="13"/>
  <c r="Y58" i="13"/>
  <c r="X58" i="13"/>
  <c r="Y57" i="13"/>
  <c r="X57" i="13"/>
  <c r="Y56" i="13"/>
  <c r="X56" i="13"/>
  <c r="Y54" i="13"/>
  <c r="X54" i="13"/>
  <c r="Y53" i="13"/>
  <c r="X53" i="13"/>
  <c r="Y52" i="13"/>
  <c r="X52" i="13"/>
  <c r="Y51" i="13"/>
  <c r="X51" i="13"/>
  <c r="Y50" i="13"/>
  <c r="X50" i="13"/>
  <c r="Y49" i="13"/>
  <c r="X49" i="13"/>
  <c r="Y48" i="13"/>
  <c r="X48" i="13"/>
  <c r="Y47" i="13"/>
  <c r="X47" i="13"/>
  <c r="Y41" i="13"/>
  <c r="X41" i="13"/>
  <c r="Y40" i="13"/>
  <c r="X40" i="13"/>
  <c r="Y39" i="13"/>
  <c r="X39" i="13"/>
  <c r="Y38" i="13"/>
  <c r="X38" i="13"/>
  <c r="Y37" i="13"/>
  <c r="X37" i="13"/>
  <c r="Y34" i="13"/>
  <c r="X34" i="13"/>
  <c r="Y33" i="13"/>
  <c r="X33" i="13"/>
  <c r="Y34" i="14"/>
  <c r="X34" i="14"/>
  <c r="Y31" i="14"/>
  <c r="X31" i="14"/>
  <c r="Y28" i="14"/>
  <c r="X28" i="14"/>
  <c r="Y27" i="14"/>
  <c r="X27" i="14"/>
  <c r="Y26" i="14"/>
  <c r="X26" i="14"/>
  <c r="Y23" i="14"/>
  <c r="X23" i="14"/>
  <c r="Y22" i="14"/>
  <c r="X22" i="14"/>
  <c r="Y21" i="14"/>
  <c r="X21" i="14"/>
  <c r="Y20" i="14"/>
  <c r="X20" i="14"/>
  <c r="Y19" i="14"/>
  <c r="X19" i="14"/>
  <c r="Y18" i="14"/>
  <c r="X18" i="14"/>
  <c r="Y17" i="14"/>
  <c r="X17" i="14"/>
  <c r="Y16" i="14"/>
  <c r="X16" i="14"/>
  <c r="Y15" i="14"/>
  <c r="X15" i="14"/>
  <c r="Y14" i="14"/>
  <c r="X14" i="14"/>
  <c r="Y13" i="14"/>
  <c r="X13" i="14"/>
  <c r="Y12" i="14"/>
  <c r="X12" i="14"/>
  <c r="Y7" i="14"/>
  <c r="X7" i="14"/>
  <c r="Y6" i="14"/>
  <c r="X6" i="14"/>
  <c r="Y31" i="13"/>
  <c r="X31" i="13"/>
  <c r="Y28" i="13"/>
  <c r="X28" i="13"/>
  <c r="Y25" i="13"/>
  <c r="X25" i="13"/>
  <c r="Y24" i="13"/>
  <c r="X24" i="13"/>
  <c r="Y23" i="13"/>
  <c r="X23" i="13"/>
  <c r="Y20" i="13"/>
  <c r="X20" i="13"/>
  <c r="Y19" i="13"/>
  <c r="X19" i="13"/>
  <c r="Y18" i="13"/>
  <c r="X18" i="13"/>
  <c r="Y17" i="13"/>
  <c r="X17" i="13"/>
  <c r="Y16" i="13"/>
  <c r="X16" i="13"/>
  <c r="Y15" i="13"/>
  <c r="X15" i="13"/>
  <c r="Y8" i="13"/>
  <c r="X8" i="13"/>
  <c r="Y7" i="13"/>
  <c r="X7" i="13"/>
  <c r="Y6" i="13"/>
  <c r="X6" i="13"/>
  <c r="Y26" i="12"/>
  <c r="X26" i="12"/>
  <c r="Y14" i="12"/>
  <c r="X14" i="12"/>
  <c r="Y11" i="12"/>
  <c r="X11" i="12"/>
  <c r="Y10" i="12"/>
  <c r="X10" i="12"/>
  <c r="Y9" i="12"/>
  <c r="X9" i="12"/>
  <c r="Y8" i="12"/>
  <c r="X8" i="12"/>
  <c r="Y7" i="12"/>
  <c r="X7" i="12"/>
  <c r="Y6" i="12"/>
  <c r="X6" i="12"/>
  <c r="Y21" i="12"/>
  <c r="X21" i="12"/>
  <c r="Y20" i="12"/>
  <c r="X20" i="12"/>
  <c r="Y19" i="12"/>
  <c r="X19" i="12"/>
  <c r="Y18" i="12"/>
  <c r="X18" i="12"/>
  <c r="Y17" i="12"/>
  <c r="X17" i="12"/>
  <c r="Y16" i="12"/>
  <c r="X16" i="12"/>
  <c r="Y17" i="4"/>
  <c r="X17" i="4"/>
  <c r="Y16" i="4"/>
  <c r="X16" i="4"/>
  <c r="Y15" i="4"/>
  <c r="X15" i="4"/>
  <c r="Y14" i="4"/>
  <c r="X14" i="4"/>
  <c r="Y13" i="4"/>
  <c r="X13" i="4"/>
  <c r="Y12" i="4"/>
  <c r="X12" i="4"/>
  <c r="AO75" i="15"/>
  <c r="AN75" i="15"/>
  <c r="AO73" i="15"/>
  <c r="AN73" i="15"/>
  <c r="AO64" i="15"/>
  <c r="AN64" i="15"/>
  <c r="AO63" i="15"/>
  <c r="AN63" i="15"/>
  <c r="AO62" i="15"/>
  <c r="AN62" i="15"/>
  <c r="AO61" i="15"/>
  <c r="AN61" i="15"/>
  <c r="AO60" i="15"/>
  <c r="AN60" i="15"/>
  <c r="AO58" i="15"/>
  <c r="AN58" i="15"/>
  <c r="AO57" i="15"/>
  <c r="AN57" i="15"/>
  <c r="AO56" i="15"/>
  <c r="AN56" i="15"/>
  <c r="AO55" i="15"/>
  <c r="AN55" i="15"/>
  <c r="AO54" i="15"/>
  <c r="AN54" i="15"/>
  <c r="AO53" i="15"/>
  <c r="AN53" i="15"/>
  <c r="AO52" i="15"/>
  <c r="AN52" i="15"/>
  <c r="AO51" i="15"/>
  <c r="AN51" i="15"/>
  <c r="AO49" i="15"/>
  <c r="AN49" i="15"/>
  <c r="AO48" i="15"/>
  <c r="AN48" i="15"/>
  <c r="AO47" i="15"/>
  <c r="AN47" i="15"/>
  <c r="AO46" i="15"/>
  <c r="AN46" i="15"/>
  <c r="AO45" i="15"/>
  <c r="AN45" i="15"/>
  <c r="AO44" i="15"/>
  <c r="AN44" i="15"/>
  <c r="AO43" i="15"/>
  <c r="AN43" i="15"/>
  <c r="AO42" i="15"/>
  <c r="AN42" i="15"/>
  <c r="AO41" i="15"/>
  <c r="AN41" i="15"/>
  <c r="AO40" i="15"/>
  <c r="AN40" i="15"/>
  <c r="AO39" i="15"/>
  <c r="AN39" i="15"/>
  <c r="AO38" i="15"/>
  <c r="AN38" i="15"/>
  <c r="AO36" i="15"/>
  <c r="AN36" i="15"/>
  <c r="AO35" i="15"/>
  <c r="AN35" i="15"/>
  <c r="AO34" i="15"/>
  <c r="AN34" i="15"/>
  <c r="AO32" i="15"/>
  <c r="AN32" i="15"/>
  <c r="AO31" i="15"/>
  <c r="AN31" i="15"/>
  <c r="AO30" i="15"/>
  <c r="AN30" i="15"/>
  <c r="AO29" i="15"/>
  <c r="AN29" i="15"/>
  <c r="AO28" i="15"/>
  <c r="AN28" i="15"/>
  <c r="AO27" i="15"/>
  <c r="AN27" i="15"/>
  <c r="AO26" i="15"/>
  <c r="AN26" i="15"/>
  <c r="AO25" i="15"/>
  <c r="AN25" i="15"/>
  <c r="AO22" i="15"/>
  <c r="AN22" i="15"/>
  <c r="AO20" i="15"/>
  <c r="AN20" i="15"/>
  <c r="AO19" i="15"/>
  <c r="AN19" i="15"/>
  <c r="AO18" i="15"/>
  <c r="AN18" i="15"/>
  <c r="AO17" i="15"/>
  <c r="AN17" i="15"/>
  <c r="AO16" i="15"/>
  <c r="AN16" i="15"/>
  <c r="AO15" i="15"/>
  <c r="AN15" i="15"/>
  <c r="AO14" i="15"/>
  <c r="AN14" i="15"/>
  <c r="AO13" i="15"/>
  <c r="AN13" i="15"/>
  <c r="AO12" i="15"/>
  <c r="AN12" i="15"/>
  <c r="AO11" i="15"/>
  <c r="AN11" i="15"/>
  <c r="AO8" i="15"/>
  <c r="AO9" i="15" s="1"/>
  <c r="AN8" i="15"/>
  <c r="AN9" i="15" s="1"/>
  <c r="AO6" i="15"/>
  <c r="AN6" i="15"/>
  <c r="Y83" i="12"/>
  <c r="X83" i="12"/>
  <c r="Y82" i="12"/>
  <c r="X82" i="12"/>
  <c r="Y81" i="12"/>
  <c r="X81" i="12"/>
  <c r="Y80" i="12"/>
  <c r="X80" i="12"/>
  <c r="Y79" i="12"/>
  <c r="X79" i="12"/>
  <c r="Y77" i="12"/>
  <c r="X77" i="12"/>
  <c r="Y76" i="12"/>
  <c r="X76" i="12"/>
  <c r="Y75" i="12"/>
  <c r="X75" i="12"/>
  <c r="Y74" i="12"/>
  <c r="X74" i="12"/>
  <c r="Y73" i="12"/>
  <c r="X73" i="12"/>
  <c r="Y72" i="12"/>
  <c r="X72" i="12"/>
  <c r="Y71" i="12"/>
  <c r="X71" i="12"/>
  <c r="Y70" i="12"/>
  <c r="X70" i="12"/>
  <c r="Y68" i="12"/>
  <c r="X68" i="12"/>
  <c r="Y67" i="12"/>
  <c r="X67" i="12"/>
  <c r="Y66" i="12"/>
  <c r="X66" i="12"/>
  <c r="Y65" i="12"/>
  <c r="X65" i="12"/>
  <c r="Y64" i="12"/>
  <c r="X64" i="12"/>
  <c r="Y63" i="12"/>
  <c r="X63" i="12"/>
  <c r="Y62" i="12"/>
  <c r="X62" i="12"/>
  <c r="Y61" i="12"/>
  <c r="X61" i="12"/>
  <c r="Y60" i="12"/>
  <c r="X60" i="12"/>
  <c r="Y59" i="12"/>
  <c r="X59" i="12"/>
  <c r="Y58" i="12"/>
  <c r="X58" i="12"/>
  <c r="Y57" i="12"/>
  <c r="X57" i="12"/>
  <c r="Y55" i="12"/>
  <c r="X55" i="12"/>
  <c r="Y54" i="12"/>
  <c r="X54" i="12"/>
  <c r="Y53" i="12"/>
  <c r="X53" i="12"/>
  <c r="Y51" i="12"/>
  <c r="X51" i="12"/>
  <c r="Y50" i="12"/>
  <c r="X50" i="12"/>
  <c r="Y49" i="12"/>
  <c r="X49" i="12"/>
  <c r="Y48" i="12"/>
  <c r="X48" i="12"/>
  <c r="Y47" i="12"/>
  <c r="X47" i="12"/>
  <c r="Y46" i="12"/>
  <c r="X46" i="12"/>
  <c r="Y45" i="12"/>
  <c r="X45" i="12"/>
  <c r="Y44" i="12"/>
  <c r="X44" i="12"/>
  <c r="Y41" i="12"/>
  <c r="X41" i="12"/>
  <c r="Y39" i="12"/>
  <c r="X39" i="12"/>
  <c r="Y37" i="12"/>
  <c r="X37" i="12"/>
  <c r="Y36" i="12"/>
  <c r="X36" i="12"/>
  <c r="Y34" i="12"/>
  <c r="X34" i="12"/>
  <c r="Y33" i="12"/>
  <c r="X33" i="12"/>
  <c r="Y32" i="12"/>
  <c r="X32" i="12"/>
  <c r="Y30" i="12"/>
  <c r="X30" i="12"/>
  <c r="Y76" i="4"/>
  <c r="X76" i="4"/>
  <c r="Y75" i="4"/>
  <c r="X75" i="4"/>
  <c r="Y74" i="4"/>
  <c r="X74" i="4"/>
  <c r="Y73" i="4"/>
  <c r="X73" i="4"/>
  <c r="Y70" i="4"/>
  <c r="X70" i="4"/>
  <c r="Y69" i="4"/>
  <c r="X69" i="4"/>
  <c r="Y63" i="4"/>
  <c r="X63" i="4"/>
  <c r="Y61" i="4"/>
  <c r="X61" i="4"/>
  <c r="Y60" i="4"/>
  <c r="X60" i="4"/>
  <c r="Y59" i="4"/>
  <c r="X59" i="4"/>
  <c r="Y58" i="4"/>
  <c r="X58" i="4"/>
  <c r="Y56" i="4"/>
  <c r="X56" i="4"/>
  <c r="Y55" i="4"/>
  <c r="X55" i="4"/>
  <c r="Y54" i="4"/>
  <c r="X54" i="4"/>
  <c r="Y53" i="4"/>
  <c r="X53" i="4"/>
  <c r="Y52" i="4"/>
  <c r="X52" i="4"/>
  <c r="Y51" i="4"/>
  <c r="X51" i="4"/>
  <c r="Y50" i="4"/>
  <c r="X50" i="4"/>
  <c r="Y48" i="4"/>
  <c r="X48" i="4"/>
  <c r="Y47" i="4"/>
  <c r="X47" i="4"/>
  <c r="Y46" i="4"/>
  <c r="X46" i="4"/>
  <c r="Y44" i="4"/>
  <c r="X44" i="4"/>
  <c r="Y43" i="4"/>
  <c r="X43" i="4"/>
  <c r="Y42" i="4"/>
  <c r="X42" i="4"/>
  <c r="Y41" i="4"/>
  <c r="X41" i="4"/>
  <c r="Y40" i="4"/>
  <c r="X40" i="4"/>
  <c r="Y39" i="4"/>
  <c r="X39" i="4"/>
  <c r="Y38" i="4"/>
  <c r="X38" i="4"/>
  <c r="Y37" i="4"/>
  <c r="X37" i="4"/>
  <c r="Y34" i="4"/>
  <c r="X34" i="4"/>
  <c r="Y32" i="4"/>
  <c r="X32" i="4"/>
  <c r="Y30" i="4"/>
  <c r="X30" i="4"/>
  <c r="Y29" i="4"/>
  <c r="X29" i="4"/>
  <c r="Y27" i="4"/>
  <c r="X27" i="4"/>
  <c r="Y26" i="4"/>
  <c r="X26" i="4"/>
  <c r="Y25" i="4"/>
  <c r="X25" i="4"/>
  <c r="Y23" i="4"/>
  <c r="X23" i="4"/>
  <c r="Y9" i="4"/>
  <c r="X9" i="4"/>
  <c r="Y8" i="4"/>
  <c r="X8" i="4"/>
  <c r="Y7" i="4"/>
  <c r="X7" i="4"/>
  <c r="Y6" i="4"/>
  <c r="X6" i="4"/>
  <c r="O89" i="14"/>
  <c r="N89" i="14"/>
  <c r="O88" i="14"/>
  <c r="N88" i="14"/>
  <c r="O87" i="14"/>
  <c r="N87" i="14"/>
  <c r="O86" i="14"/>
  <c r="N86" i="14"/>
  <c r="O85" i="14"/>
  <c r="N85" i="14"/>
  <c r="O83" i="14"/>
  <c r="N83" i="14"/>
  <c r="O82" i="14"/>
  <c r="N82" i="14"/>
  <c r="O81" i="14"/>
  <c r="N81" i="14"/>
  <c r="O80" i="14"/>
  <c r="N80" i="14"/>
  <c r="O79" i="14"/>
  <c r="N79" i="14"/>
  <c r="O78" i="14"/>
  <c r="N78" i="14"/>
  <c r="O77" i="14"/>
  <c r="N77" i="14"/>
  <c r="O76" i="14"/>
  <c r="N76" i="14"/>
  <c r="O74" i="14"/>
  <c r="N74" i="14"/>
  <c r="O73" i="14"/>
  <c r="N73" i="14"/>
  <c r="O72" i="14"/>
  <c r="N72" i="14"/>
  <c r="O71" i="14"/>
  <c r="N71" i="14"/>
  <c r="O70" i="14"/>
  <c r="N70" i="14"/>
  <c r="O69" i="14"/>
  <c r="N69" i="14"/>
  <c r="O68" i="14"/>
  <c r="N68" i="14"/>
  <c r="O67" i="14"/>
  <c r="N67" i="14"/>
  <c r="O66" i="14"/>
  <c r="N66" i="14"/>
  <c r="O65" i="14"/>
  <c r="N65" i="14"/>
  <c r="O64" i="14"/>
  <c r="N64" i="14"/>
  <c r="O63" i="14"/>
  <c r="N63" i="14"/>
  <c r="O62" i="14"/>
  <c r="N62" i="14"/>
  <c r="O61" i="14"/>
  <c r="N61" i="14"/>
  <c r="O60" i="14"/>
  <c r="N60" i="14"/>
  <c r="O59" i="14"/>
  <c r="N59" i="14"/>
  <c r="O57" i="14"/>
  <c r="N57" i="14"/>
  <c r="O56" i="14"/>
  <c r="N56" i="14"/>
  <c r="O55" i="14"/>
  <c r="N55" i="14"/>
  <c r="O54" i="14"/>
  <c r="N54" i="14"/>
  <c r="O53" i="14"/>
  <c r="N53" i="14"/>
  <c r="O52" i="14"/>
  <c r="N52" i="14"/>
  <c r="O51" i="14"/>
  <c r="N51" i="14"/>
  <c r="O50" i="14"/>
  <c r="N50" i="14"/>
  <c r="O47" i="14"/>
  <c r="N47" i="14"/>
  <c r="O44" i="14"/>
  <c r="N44" i="14"/>
  <c r="O43" i="14"/>
  <c r="N43" i="14"/>
  <c r="O42" i="14"/>
  <c r="N42" i="14"/>
  <c r="O41" i="14"/>
  <c r="N41" i="14"/>
  <c r="O40" i="14"/>
  <c r="N40" i="14"/>
  <c r="O37" i="14"/>
  <c r="N37" i="14"/>
  <c r="O36" i="14"/>
  <c r="N36" i="14"/>
  <c r="O86" i="13"/>
  <c r="N86" i="13"/>
  <c r="O85" i="13"/>
  <c r="N85" i="13"/>
  <c r="O84" i="13"/>
  <c r="N84" i="13"/>
  <c r="O83" i="13"/>
  <c r="N83" i="13"/>
  <c r="O82" i="13"/>
  <c r="N82" i="13"/>
  <c r="O80" i="13"/>
  <c r="N80" i="13"/>
  <c r="O79" i="13"/>
  <c r="N79" i="13"/>
  <c r="O78" i="13"/>
  <c r="N78" i="13"/>
  <c r="O77" i="13"/>
  <c r="N77" i="13"/>
  <c r="O76" i="13"/>
  <c r="N76" i="13"/>
  <c r="O75" i="13"/>
  <c r="N75" i="13"/>
  <c r="O74" i="13"/>
  <c r="N74" i="13"/>
  <c r="O73" i="13"/>
  <c r="N73" i="13"/>
  <c r="O71" i="13"/>
  <c r="N71" i="13"/>
  <c r="O70" i="13"/>
  <c r="N70" i="13"/>
  <c r="O69" i="13"/>
  <c r="N69" i="13"/>
  <c r="O68" i="13"/>
  <c r="N68" i="13"/>
  <c r="O67" i="13"/>
  <c r="N67" i="13"/>
  <c r="O66" i="13"/>
  <c r="N66" i="13"/>
  <c r="O65" i="13"/>
  <c r="N65" i="13"/>
  <c r="O64" i="13"/>
  <c r="N64" i="13"/>
  <c r="O63" i="13"/>
  <c r="N63" i="13"/>
  <c r="O62" i="13"/>
  <c r="N62" i="13"/>
  <c r="O61" i="13"/>
  <c r="N61" i="13"/>
  <c r="O60" i="13"/>
  <c r="N60" i="13"/>
  <c r="O59" i="13"/>
  <c r="N59" i="13"/>
  <c r="O58" i="13"/>
  <c r="N58" i="13"/>
  <c r="O57" i="13"/>
  <c r="N57" i="13"/>
  <c r="O56" i="13"/>
  <c r="N56" i="13"/>
  <c r="O54" i="13"/>
  <c r="N54" i="13"/>
  <c r="O53" i="13"/>
  <c r="N53" i="13"/>
  <c r="O52" i="13"/>
  <c r="N52" i="13"/>
  <c r="O51" i="13"/>
  <c r="N51" i="13"/>
  <c r="O50" i="13"/>
  <c r="N50" i="13"/>
  <c r="O49" i="13"/>
  <c r="N49" i="13"/>
  <c r="O48" i="13"/>
  <c r="N48" i="13"/>
  <c r="O47" i="13"/>
  <c r="N47" i="13"/>
  <c r="O41" i="13"/>
  <c r="N41" i="13"/>
  <c r="O40" i="13"/>
  <c r="N40" i="13"/>
  <c r="O39" i="13"/>
  <c r="N39" i="13"/>
  <c r="O38" i="13"/>
  <c r="N38" i="13"/>
  <c r="O37" i="13"/>
  <c r="N37" i="13"/>
  <c r="O34" i="13"/>
  <c r="N34" i="13"/>
  <c r="O33" i="13"/>
  <c r="N33" i="13"/>
  <c r="O34" i="14"/>
  <c r="N34" i="14"/>
  <c r="O31" i="14"/>
  <c r="N31" i="14"/>
  <c r="O28" i="14"/>
  <c r="N28" i="14"/>
  <c r="O27" i="14"/>
  <c r="N27" i="14"/>
  <c r="O26" i="14"/>
  <c r="N26" i="14"/>
  <c r="O23" i="14"/>
  <c r="N23" i="14"/>
  <c r="O22" i="14"/>
  <c r="N22" i="14"/>
  <c r="O21" i="14"/>
  <c r="N21" i="14"/>
  <c r="O20" i="14"/>
  <c r="N20" i="14"/>
  <c r="O19" i="14"/>
  <c r="N19" i="14"/>
  <c r="O18" i="14"/>
  <c r="N18" i="14"/>
  <c r="O17" i="14"/>
  <c r="N17" i="14"/>
  <c r="O16" i="14"/>
  <c r="N16" i="14"/>
  <c r="O15" i="14"/>
  <c r="N15" i="14"/>
  <c r="O14" i="14"/>
  <c r="N14" i="14"/>
  <c r="O13" i="14"/>
  <c r="N13" i="14"/>
  <c r="O12" i="14"/>
  <c r="N12" i="14"/>
  <c r="O7" i="14"/>
  <c r="N7" i="14"/>
  <c r="O6" i="14"/>
  <c r="N6" i="14"/>
  <c r="O31" i="13"/>
  <c r="N31" i="13"/>
  <c r="O28" i="13"/>
  <c r="N28" i="13"/>
  <c r="O25" i="13"/>
  <c r="N25" i="13"/>
  <c r="O24" i="13"/>
  <c r="N24" i="13"/>
  <c r="O23" i="13"/>
  <c r="N23" i="13"/>
  <c r="O20" i="13"/>
  <c r="N20" i="13"/>
  <c r="O19" i="13"/>
  <c r="N19" i="13"/>
  <c r="O18" i="13"/>
  <c r="N18" i="13"/>
  <c r="O17" i="13"/>
  <c r="N17" i="13"/>
  <c r="O16" i="13"/>
  <c r="N16" i="13"/>
  <c r="O15" i="13"/>
  <c r="N15" i="13"/>
  <c r="O8" i="13"/>
  <c r="N8" i="13"/>
  <c r="O7" i="13"/>
  <c r="N7" i="13"/>
  <c r="O6" i="13"/>
  <c r="N6" i="13"/>
  <c r="O26" i="12"/>
  <c r="N26" i="12"/>
  <c r="O14" i="12"/>
  <c r="N14" i="12"/>
  <c r="O11" i="12"/>
  <c r="N11" i="12"/>
  <c r="O10" i="12"/>
  <c r="N10" i="12"/>
  <c r="O9" i="12"/>
  <c r="N9" i="12"/>
  <c r="O8" i="12"/>
  <c r="N8" i="12"/>
  <c r="O7" i="12"/>
  <c r="N7" i="12"/>
  <c r="O6" i="12"/>
  <c r="N6" i="12"/>
  <c r="O21" i="12"/>
  <c r="N21" i="12"/>
  <c r="O20" i="12"/>
  <c r="N20" i="12"/>
  <c r="O19" i="12"/>
  <c r="N19" i="12"/>
  <c r="O18" i="12"/>
  <c r="N18" i="12"/>
  <c r="O17" i="12"/>
  <c r="N17" i="12"/>
  <c r="O16" i="12"/>
  <c r="N16" i="12"/>
  <c r="O17" i="4"/>
  <c r="N17" i="4"/>
  <c r="O16" i="4"/>
  <c r="N16" i="4"/>
  <c r="O15" i="4"/>
  <c r="N15" i="4"/>
  <c r="O14" i="4"/>
  <c r="N14" i="4"/>
  <c r="O13" i="4"/>
  <c r="N13" i="4"/>
  <c r="O12" i="4"/>
  <c r="N12" i="4"/>
  <c r="AA75" i="15"/>
  <c r="Z75" i="15"/>
  <c r="AA73" i="15"/>
  <c r="Z73" i="15"/>
  <c r="AA64" i="15"/>
  <c r="Z64" i="15"/>
  <c r="AA63" i="15"/>
  <c r="Z63" i="15"/>
  <c r="AA62" i="15"/>
  <c r="Z62" i="15"/>
  <c r="AA61" i="15"/>
  <c r="Z61" i="15"/>
  <c r="AA60" i="15"/>
  <c r="Z60" i="15"/>
  <c r="AA58" i="15"/>
  <c r="Z58" i="15"/>
  <c r="AA57" i="15"/>
  <c r="Z57" i="15"/>
  <c r="AA56" i="15"/>
  <c r="Z56" i="15"/>
  <c r="AA55" i="15"/>
  <c r="Z55" i="15"/>
  <c r="AA54" i="15"/>
  <c r="Z54" i="15"/>
  <c r="AA53" i="15"/>
  <c r="Z53" i="15"/>
  <c r="AA52" i="15"/>
  <c r="Z52" i="15"/>
  <c r="AA51" i="15"/>
  <c r="Z51" i="15"/>
  <c r="AA49" i="15"/>
  <c r="Z49" i="15"/>
  <c r="AA48" i="15"/>
  <c r="Z48" i="15"/>
  <c r="AA47" i="15"/>
  <c r="Z47" i="15"/>
  <c r="AA46" i="15"/>
  <c r="Z46" i="15"/>
  <c r="AA45" i="15"/>
  <c r="Z45" i="15"/>
  <c r="AA44" i="15"/>
  <c r="Z44" i="15"/>
  <c r="AA43" i="15"/>
  <c r="Z43" i="15"/>
  <c r="AA42" i="15"/>
  <c r="Z42" i="15"/>
  <c r="AA41" i="15"/>
  <c r="Z41" i="15"/>
  <c r="AA40" i="15"/>
  <c r="Z40" i="15"/>
  <c r="AA39" i="15"/>
  <c r="Z39" i="15"/>
  <c r="AA38" i="15"/>
  <c r="Z38" i="15"/>
  <c r="AA36" i="15"/>
  <c r="Z36" i="15"/>
  <c r="AA35" i="15"/>
  <c r="Z35" i="15"/>
  <c r="AA34" i="15"/>
  <c r="Z34" i="15"/>
  <c r="AA32" i="15"/>
  <c r="Z32" i="15"/>
  <c r="AA31" i="15"/>
  <c r="Z31" i="15"/>
  <c r="AA30" i="15"/>
  <c r="Z30" i="15"/>
  <c r="AA29" i="15"/>
  <c r="Z29" i="15"/>
  <c r="AA28" i="15"/>
  <c r="Z28" i="15"/>
  <c r="AA27" i="15"/>
  <c r="Z27" i="15"/>
  <c r="AA26" i="15"/>
  <c r="Z26" i="15"/>
  <c r="AA25" i="15"/>
  <c r="Z25" i="15"/>
  <c r="AA22" i="15"/>
  <c r="Z22" i="15"/>
  <c r="AA20" i="15"/>
  <c r="Z20" i="15"/>
  <c r="AA19" i="15"/>
  <c r="Z19" i="15"/>
  <c r="AA18" i="15"/>
  <c r="Z18" i="15"/>
  <c r="AA17" i="15"/>
  <c r="Z17" i="15"/>
  <c r="AA16" i="15"/>
  <c r="Z16" i="15"/>
  <c r="AA15" i="15"/>
  <c r="Z15" i="15"/>
  <c r="AA14" i="15"/>
  <c r="Z14" i="15"/>
  <c r="AA13" i="15"/>
  <c r="Z13" i="15"/>
  <c r="AA12" i="15"/>
  <c r="Z12" i="15"/>
  <c r="AA11" i="15"/>
  <c r="Z11" i="15"/>
  <c r="AA8" i="15"/>
  <c r="AA9" i="15" s="1"/>
  <c r="Z8" i="15"/>
  <c r="Z9" i="15" s="1"/>
  <c r="AA6" i="15"/>
  <c r="Z6" i="15"/>
  <c r="O83" i="12"/>
  <c r="N83" i="12"/>
  <c r="O82" i="12"/>
  <c r="N82" i="12"/>
  <c r="O81" i="12"/>
  <c r="N81" i="12"/>
  <c r="O80" i="12"/>
  <c r="N80" i="12"/>
  <c r="O79" i="12"/>
  <c r="N79" i="12"/>
  <c r="O77" i="12"/>
  <c r="N77" i="12"/>
  <c r="O76" i="12"/>
  <c r="N76" i="12"/>
  <c r="O75" i="12"/>
  <c r="N75" i="12"/>
  <c r="O74" i="12"/>
  <c r="N74" i="12"/>
  <c r="O73" i="12"/>
  <c r="N73" i="12"/>
  <c r="O72" i="12"/>
  <c r="N72" i="12"/>
  <c r="O71" i="12"/>
  <c r="N71" i="12"/>
  <c r="O70" i="12"/>
  <c r="N70" i="12"/>
  <c r="O68" i="12"/>
  <c r="N68" i="12"/>
  <c r="O67" i="12"/>
  <c r="N67" i="12"/>
  <c r="O66" i="12"/>
  <c r="N66" i="12"/>
  <c r="O65" i="12"/>
  <c r="N65" i="12"/>
  <c r="O64" i="12"/>
  <c r="N64" i="12"/>
  <c r="O63" i="12"/>
  <c r="N63" i="12"/>
  <c r="O62" i="12"/>
  <c r="N62" i="12"/>
  <c r="O61" i="12"/>
  <c r="N61" i="12"/>
  <c r="O60" i="12"/>
  <c r="N60" i="12"/>
  <c r="O59" i="12"/>
  <c r="N59" i="12"/>
  <c r="O58" i="12"/>
  <c r="N58" i="12"/>
  <c r="O57" i="12"/>
  <c r="N57" i="12"/>
  <c r="O55" i="12"/>
  <c r="N55" i="12"/>
  <c r="O54" i="12"/>
  <c r="N54" i="12"/>
  <c r="O53" i="12"/>
  <c r="N53" i="12"/>
  <c r="O51" i="12"/>
  <c r="N51" i="12"/>
  <c r="O50" i="12"/>
  <c r="N50" i="12"/>
  <c r="O49" i="12"/>
  <c r="N49" i="12"/>
  <c r="O48" i="12"/>
  <c r="N48" i="12"/>
  <c r="O47" i="12"/>
  <c r="N47" i="12"/>
  <c r="O46" i="12"/>
  <c r="N46" i="12"/>
  <c r="O45" i="12"/>
  <c r="N45" i="12"/>
  <c r="O44" i="12"/>
  <c r="N44" i="12"/>
  <c r="O41" i="12"/>
  <c r="N41" i="12"/>
  <c r="O39" i="12"/>
  <c r="N39" i="12"/>
  <c r="O37" i="12"/>
  <c r="N37" i="12"/>
  <c r="O36" i="12"/>
  <c r="N36" i="12"/>
  <c r="O34" i="12"/>
  <c r="N34" i="12"/>
  <c r="O33" i="12"/>
  <c r="N33" i="12"/>
  <c r="O32" i="12"/>
  <c r="N32" i="12"/>
  <c r="O30" i="12"/>
  <c r="N30" i="12"/>
  <c r="O76" i="4"/>
  <c r="N76" i="4"/>
  <c r="O75" i="4"/>
  <c r="N75" i="4"/>
  <c r="O74" i="4"/>
  <c r="N74" i="4"/>
  <c r="O73" i="4"/>
  <c r="N73" i="4"/>
  <c r="O70" i="4"/>
  <c r="N70" i="4"/>
  <c r="O69" i="4"/>
  <c r="N69" i="4"/>
  <c r="O63" i="4"/>
  <c r="N63" i="4"/>
  <c r="O61" i="4"/>
  <c r="N61" i="4"/>
  <c r="O60" i="4"/>
  <c r="N60" i="4"/>
  <c r="O59" i="4"/>
  <c r="N59" i="4"/>
  <c r="O58" i="4"/>
  <c r="N58" i="4"/>
  <c r="O56" i="4"/>
  <c r="N56" i="4"/>
  <c r="O55" i="4"/>
  <c r="N55" i="4"/>
  <c r="O54" i="4"/>
  <c r="N54" i="4"/>
  <c r="O53" i="4"/>
  <c r="N53" i="4"/>
  <c r="O52" i="4"/>
  <c r="N52" i="4"/>
  <c r="O51" i="4"/>
  <c r="N51" i="4"/>
  <c r="O50" i="4"/>
  <c r="N50" i="4"/>
  <c r="O48" i="4"/>
  <c r="N48" i="4"/>
  <c r="O47" i="4"/>
  <c r="N47" i="4"/>
  <c r="O46" i="4"/>
  <c r="N46" i="4"/>
  <c r="O44" i="4"/>
  <c r="N44" i="4"/>
  <c r="O43" i="4"/>
  <c r="N43" i="4"/>
  <c r="O42" i="4"/>
  <c r="N42" i="4"/>
  <c r="O41" i="4"/>
  <c r="N41" i="4"/>
  <c r="O40" i="4"/>
  <c r="N40" i="4"/>
  <c r="O39" i="4"/>
  <c r="N39" i="4"/>
  <c r="O38" i="4"/>
  <c r="N38" i="4"/>
  <c r="O37" i="4"/>
  <c r="N37" i="4"/>
  <c r="O34" i="4"/>
  <c r="N34" i="4"/>
  <c r="O32" i="4"/>
  <c r="N32" i="4"/>
  <c r="O30" i="4"/>
  <c r="N30" i="4"/>
  <c r="O29" i="4"/>
  <c r="N29" i="4"/>
  <c r="O27" i="4"/>
  <c r="N27" i="4"/>
  <c r="O26" i="4"/>
  <c r="N26" i="4"/>
  <c r="O25" i="4"/>
  <c r="N25" i="4"/>
  <c r="O23" i="4"/>
  <c r="N23" i="4"/>
  <c r="O9" i="4"/>
  <c r="N9" i="4"/>
  <c r="O8" i="4"/>
  <c r="N8" i="4"/>
  <c r="O7" i="4"/>
  <c r="N7" i="4"/>
  <c r="O6" i="4"/>
  <c r="N6" i="4"/>
  <c r="K89" i="14"/>
  <c r="J89" i="14"/>
  <c r="K88" i="14"/>
  <c r="J88" i="14"/>
  <c r="K87" i="14"/>
  <c r="J87" i="14"/>
  <c r="K86" i="14"/>
  <c r="J86" i="14"/>
  <c r="K85" i="14"/>
  <c r="J85" i="14"/>
  <c r="K83" i="14"/>
  <c r="J83" i="14"/>
  <c r="K82" i="14"/>
  <c r="J82" i="14"/>
  <c r="K81" i="14"/>
  <c r="J81" i="14"/>
  <c r="K80" i="14"/>
  <c r="J80" i="14"/>
  <c r="K79" i="14"/>
  <c r="J79" i="14"/>
  <c r="K78" i="14"/>
  <c r="J78" i="14"/>
  <c r="K77" i="14"/>
  <c r="J77" i="14"/>
  <c r="K76" i="14"/>
  <c r="J76" i="14"/>
  <c r="K74" i="14"/>
  <c r="J74" i="14"/>
  <c r="K73" i="14"/>
  <c r="J73" i="14"/>
  <c r="K72" i="14"/>
  <c r="J72" i="14"/>
  <c r="K71" i="14"/>
  <c r="J71" i="14"/>
  <c r="K70" i="14"/>
  <c r="J70" i="14"/>
  <c r="K69" i="14"/>
  <c r="J69" i="14"/>
  <c r="K68" i="14"/>
  <c r="J68" i="14"/>
  <c r="K67" i="14"/>
  <c r="J67" i="14"/>
  <c r="K66" i="14"/>
  <c r="J66" i="14"/>
  <c r="K65" i="14"/>
  <c r="J65" i="14"/>
  <c r="K64" i="14"/>
  <c r="J64" i="14"/>
  <c r="K63" i="14"/>
  <c r="J63" i="14"/>
  <c r="K62" i="14"/>
  <c r="J62" i="14"/>
  <c r="K61" i="14"/>
  <c r="J61" i="14"/>
  <c r="K60" i="14"/>
  <c r="J60" i="14"/>
  <c r="K59" i="14"/>
  <c r="J59" i="14"/>
  <c r="K57" i="14"/>
  <c r="J57" i="14"/>
  <c r="K56" i="14"/>
  <c r="J56" i="14"/>
  <c r="K55" i="14"/>
  <c r="J55" i="14"/>
  <c r="K54" i="14"/>
  <c r="J54" i="14"/>
  <c r="K53" i="14"/>
  <c r="J53" i="14"/>
  <c r="K52" i="14"/>
  <c r="J52" i="14"/>
  <c r="K51" i="14"/>
  <c r="J51" i="14"/>
  <c r="K50" i="14"/>
  <c r="J50" i="14"/>
  <c r="K44" i="14"/>
  <c r="J44" i="14"/>
  <c r="K43" i="14"/>
  <c r="J43" i="14"/>
  <c r="K41" i="14"/>
  <c r="J41" i="14"/>
  <c r="K40" i="14"/>
  <c r="J40" i="14"/>
  <c r="K37" i="14"/>
  <c r="J37" i="14"/>
  <c r="K86" i="13"/>
  <c r="J86" i="13"/>
  <c r="K85" i="13"/>
  <c r="J85" i="13"/>
  <c r="K84" i="13"/>
  <c r="J84" i="13"/>
  <c r="K83" i="13"/>
  <c r="J83" i="13"/>
  <c r="K82" i="13"/>
  <c r="J82" i="13"/>
  <c r="K80" i="13"/>
  <c r="J80" i="13"/>
  <c r="K79" i="13"/>
  <c r="J79" i="13"/>
  <c r="K78" i="13"/>
  <c r="J78" i="13"/>
  <c r="K77" i="13"/>
  <c r="J77" i="13"/>
  <c r="K76" i="13"/>
  <c r="J76" i="13"/>
  <c r="K75" i="13"/>
  <c r="J75" i="13"/>
  <c r="K74" i="13"/>
  <c r="J74" i="13"/>
  <c r="K73" i="13"/>
  <c r="J73" i="13"/>
  <c r="K71" i="13"/>
  <c r="J71" i="13"/>
  <c r="K70" i="13"/>
  <c r="J70" i="13"/>
  <c r="K69" i="13"/>
  <c r="J69" i="13"/>
  <c r="K68" i="13"/>
  <c r="J68" i="13"/>
  <c r="K67" i="13"/>
  <c r="J67" i="13"/>
  <c r="K66" i="13"/>
  <c r="J66" i="13"/>
  <c r="K65" i="13"/>
  <c r="J65" i="13"/>
  <c r="K64" i="13"/>
  <c r="J64" i="13"/>
  <c r="K63" i="13"/>
  <c r="J63" i="13"/>
  <c r="K62" i="13"/>
  <c r="J62" i="13"/>
  <c r="K61" i="13"/>
  <c r="J61" i="13"/>
  <c r="K60" i="13"/>
  <c r="J60" i="13"/>
  <c r="K59" i="13"/>
  <c r="J59" i="13"/>
  <c r="K58" i="13"/>
  <c r="J58" i="13"/>
  <c r="K57" i="13"/>
  <c r="J57" i="13"/>
  <c r="K56" i="13"/>
  <c r="J56" i="13"/>
  <c r="K54" i="13"/>
  <c r="J54" i="13"/>
  <c r="K53" i="13"/>
  <c r="J53" i="13"/>
  <c r="K52" i="13"/>
  <c r="J52" i="13"/>
  <c r="K51" i="13"/>
  <c r="J51" i="13"/>
  <c r="K50" i="13"/>
  <c r="J50" i="13"/>
  <c r="K49" i="13"/>
  <c r="J49" i="13"/>
  <c r="K48" i="13"/>
  <c r="J48" i="13"/>
  <c r="K47" i="13"/>
  <c r="J47" i="13"/>
  <c r="K41" i="13"/>
  <c r="J41" i="13"/>
  <c r="K40" i="13"/>
  <c r="J40" i="13"/>
  <c r="K38" i="13"/>
  <c r="J38" i="13"/>
  <c r="K37" i="13"/>
  <c r="J37" i="13"/>
  <c r="K34" i="13"/>
  <c r="J34" i="13"/>
  <c r="K33" i="13"/>
  <c r="J33" i="13"/>
  <c r="K29" i="13"/>
  <c r="J29" i="13"/>
  <c r="K83" i="12"/>
  <c r="J83" i="12"/>
  <c r="K82" i="12"/>
  <c r="J82" i="12"/>
  <c r="K81" i="12"/>
  <c r="J81" i="12"/>
  <c r="K80" i="12"/>
  <c r="J80" i="12"/>
  <c r="K77" i="12"/>
  <c r="J77" i="12"/>
  <c r="K76" i="12"/>
  <c r="J76" i="12"/>
  <c r="K75" i="12"/>
  <c r="J75" i="12"/>
  <c r="K74" i="12"/>
  <c r="J74" i="12"/>
  <c r="K73" i="12"/>
  <c r="J73" i="12"/>
  <c r="K72" i="12"/>
  <c r="J72" i="12"/>
  <c r="K71" i="12"/>
  <c r="J71" i="12"/>
  <c r="K70" i="12"/>
  <c r="J70" i="12"/>
  <c r="K68" i="12"/>
  <c r="J68" i="12"/>
  <c r="K67" i="12"/>
  <c r="J67" i="12"/>
  <c r="K66" i="12"/>
  <c r="J66" i="12"/>
  <c r="K65" i="12"/>
  <c r="J65" i="12"/>
  <c r="K64" i="12"/>
  <c r="J64" i="12"/>
  <c r="K63" i="12"/>
  <c r="J63" i="12"/>
  <c r="K62" i="12"/>
  <c r="J62" i="12"/>
  <c r="K61" i="12"/>
  <c r="J61" i="12"/>
  <c r="K60" i="12"/>
  <c r="J60" i="12"/>
  <c r="K59" i="12"/>
  <c r="J59" i="12"/>
  <c r="K58" i="12"/>
  <c r="J58" i="12"/>
  <c r="K57" i="12"/>
  <c r="J57" i="12"/>
  <c r="K55" i="12"/>
  <c r="J55" i="12"/>
  <c r="K54" i="12"/>
  <c r="J54" i="12"/>
  <c r="K53" i="12"/>
  <c r="J53" i="12"/>
  <c r="K50" i="12"/>
  <c r="J50" i="12"/>
  <c r="K49" i="12"/>
  <c r="J49" i="12"/>
  <c r="K48" i="12"/>
  <c r="J48" i="12"/>
  <c r="K47" i="12"/>
  <c r="J47" i="12"/>
  <c r="K46" i="12"/>
  <c r="J46" i="12"/>
  <c r="K45" i="12"/>
  <c r="J45" i="12"/>
  <c r="K44" i="12"/>
  <c r="J44" i="12"/>
  <c r="K39" i="12"/>
  <c r="J39" i="12"/>
  <c r="K37" i="12"/>
  <c r="J37" i="12"/>
  <c r="K36" i="12"/>
  <c r="J36" i="12"/>
  <c r="K34" i="12"/>
  <c r="J34" i="12"/>
  <c r="K33" i="12"/>
  <c r="J33" i="12"/>
  <c r="K32" i="12"/>
  <c r="J32" i="12"/>
  <c r="K30" i="12"/>
  <c r="J30" i="12"/>
  <c r="K21" i="12"/>
  <c r="J21" i="12"/>
  <c r="K20" i="12"/>
  <c r="J20" i="12"/>
  <c r="K19" i="12"/>
  <c r="J19" i="12"/>
  <c r="K17" i="12"/>
  <c r="J17" i="12"/>
  <c r="K16" i="12"/>
  <c r="J16" i="12"/>
  <c r="S73" i="15"/>
  <c r="S71" i="15" s="1"/>
  <c r="R73" i="15"/>
  <c r="R71" i="15" s="1"/>
  <c r="S64" i="15"/>
  <c r="R64" i="15"/>
  <c r="S63" i="15"/>
  <c r="R63" i="15"/>
  <c r="S62" i="15"/>
  <c r="R62" i="15"/>
  <c r="S61" i="15"/>
  <c r="R61" i="15"/>
  <c r="S60" i="15"/>
  <c r="R60" i="15"/>
  <c r="S58" i="15"/>
  <c r="R58" i="15"/>
  <c r="S57" i="15"/>
  <c r="R57" i="15"/>
  <c r="S56" i="15"/>
  <c r="R56" i="15"/>
  <c r="S55" i="15"/>
  <c r="R55" i="15"/>
  <c r="S54" i="15"/>
  <c r="R54" i="15"/>
  <c r="S53" i="15"/>
  <c r="R53" i="15"/>
  <c r="S52" i="15"/>
  <c r="R52" i="15"/>
  <c r="S51" i="15"/>
  <c r="R51" i="15"/>
  <c r="S49" i="15"/>
  <c r="R49" i="15"/>
  <c r="S48" i="15"/>
  <c r="R48" i="15"/>
  <c r="S47" i="15"/>
  <c r="R47" i="15"/>
  <c r="S46" i="15"/>
  <c r="R46" i="15"/>
  <c r="S45" i="15"/>
  <c r="R45" i="15"/>
  <c r="S44" i="15"/>
  <c r="R44" i="15"/>
  <c r="S43" i="15"/>
  <c r="R43" i="15"/>
  <c r="S42" i="15"/>
  <c r="R42" i="15"/>
  <c r="S41" i="15"/>
  <c r="R41" i="15"/>
  <c r="S40" i="15"/>
  <c r="R40" i="15"/>
  <c r="S39" i="15"/>
  <c r="R39" i="15"/>
  <c r="S38" i="15"/>
  <c r="R38" i="15"/>
  <c r="S37" i="15"/>
  <c r="R37" i="15"/>
  <c r="S36" i="15"/>
  <c r="R36" i="15"/>
  <c r="S35" i="15"/>
  <c r="R35" i="15"/>
  <c r="S34" i="15"/>
  <c r="R34" i="15"/>
  <c r="S31" i="15"/>
  <c r="R31" i="15"/>
  <c r="S30" i="15"/>
  <c r="R30" i="15"/>
  <c r="S29" i="15"/>
  <c r="R29" i="15"/>
  <c r="S28" i="15"/>
  <c r="R28" i="15"/>
  <c r="S27" i="15"/>
  <c r="R27" i="15"/>
  <c r="S26" i="15"/>
  <c r="R26" i="15"/>
  <c r="S25" i="15"/>
  <c r="R25" i="15"/>
  <c r="S22" i="15"/>
  <c r="R22" i="15"/>
  <c r="S21" i="15"/>
  <c r="R21" i="15"/>
  <c r="S20" i="15"/>
  <c r="R20" i="15"/>
  <c r="S19" i="15"/>
  <c r="R19" i="15"/>
  <c r="S18" i="15"/>
  <c r="R18" i="15"/>
  <c r="S17" i="15"/>
  <c r="R17" i="15"/>
  <c r="S15" i="15"/>
  <c r="R15" i="15"/>
  <c r="S14" i="15"/>
  <c r="R14" i="15"/>
  <c r="S13" i="15"/>
  <c r="R13" i="15"/>
  <c r="S12" i="15"/>
  <c r="R12" i="15"/>
  <c r="S11" i="15"/>
  <c r="R11" i="15"/>
  <c r="S8" i="15"/>
  <c r="S9" i="15" s="1"/>
  <c r="R8" i="15"/>
  <c r="R9" i="15" s="1"/>
  <c r="S6" i="15"/>
  <c r="R6" i="15"/>
  <c r="K83" i="4"/>
  <c r="J83" i="4"/>
  <c r="K76" i="4"/>
  <c r="J76" i="4"/>
  <c r="K75" i="4"/>
  <c r="J75" i="4"/>
  <c r="K74" i="4"/>
  <c r="J74" i="4"/>
  <c r="K73" i="4"/>
  <c r="J73" i="4"/>
  <c r="K72" i="4"/>
  <c r="J72" i="4"/>
  <c r="K70" i="4"/>
  <c r="J70" i="4"/>
  <c r="K69" i="4"/>
  <c r="J69" i="4"/>
  <c r="K68" i="4"/>
  <c r="J68" i="4"/>
  <c r="K67" i="4"/>
  <c r="J67" i="4"/>
  <c r="K66" i="4"/>
  <c r="J66" i="4"/>
  <c r="K65" i="4"/>
  <c r="J65" i="4"/>
  <c r="K64" i="4"/>
  <c r="J64" i="4"/>
  <c r="K63" i="4"/>
  <c r="J63" i="4"/>
  <c r="K61" i="4"/>
  <c r="J61" i="4"/>
  <c r="K60" i="4"/>
  <c r="J60" i="4"/>
  <c r="K59" i="4"/>
  <c r="J59" i="4"/>
  <c r="K58" i="4"/>
  <c r="J58" i="4"/>
  <c r="K57" i="4"/>
  <c r="J57" i="4"/>
  <c r="K56" i="4"/>
  <c r="J56" i="4"/>
  <c r="K55" i="4"/>
  <c r="J55" i="4"/>
  <c r="K54" i="4"/>
  <c r="J54" i="4"/>
  <c r="K53" i="4"/>
  <c r="J53" i="4"/>
  <c r="K52" i="4"/>
  <c r="J52" i="4"/>
  <c r="K51" i="4"/>
  <c r="J51" i="4"/>
  <c r="K50" i="4"/>
  <c r="J50" i="4"/>
  <c r="K49" i="4"/>
  <c r="J49" i="4"/>
  <c r="K48" i="4"/>
  <c r="J48" i="4"/>
  <c r="K47" i="4"/>
  <c r="J47" i="4"/>
  <c r="K46" i="4"/>
  <c r="J46" i="4"/>
  <c r="K43" i="4"/>
  <c r="J43" i="4"/>
  <c r="K42" i="4"/>
  <c r="J42" i="4"/>
  <c r="K41" i="4"/>
  <c r="J41" i="4"/>
  <c r="K40" i="4"/>
  <c r="J40" i="4"/>
  <c r="K39" i="4"/>
  <c r="J39" i="4"/>
  <c r="K38" i="4"/>
  <c r="J38" i="4"/>
  <c r="K37" i="4"/>
  <c r="J37" i="4"/>
  <c r="K34" i="4"/>
  <c r="J34" i="4"/>
  <c r="K33" i="4"/>
  <c r="J33" i="4"/>
  <c r="K32" i="4"/>
  <c r="J32" i="4"/>
  <c r="K31" i="4"/>
  <c r="J31" i="4"/>
  <c r="K30" i="4"/>
  <c r="J30" i="4"/>
  <c r="K29" i="4"/>
  <c r="J29" i="4"/>
  <c r="K27" i="4"/>
  <c r="J27" i="4"/>
  <c r="K26" i="4"/>
  <c r="J26" i="4"/>
  <c r="K25" i="4"/>
  <c r="J25" i="4"/>
  <c r="K24" i="4"/>
  <c r="J24" i="4"/>
  <c r="K23" i="4"/>
  <c r="J23" i="4"/>
  <c r="K17" i="4"/>
  <c r="J17" i="4"/>
  <c r="K16" i="4"/>
  <c r="J16" i="4"/>
  <c r="K15" i="4"/>
  <c r="J15" i="4"/>
  <c r="K13" i="4"/>
  <c r="J13" i="4"/>
  <c r="K12" i="4"/>
  <c r="J12" i="4"/>
  <c r="K9" i="4"/>
  <c r="J9" i="4"/>
  <c r="K8" i="4"/>
  <c r="J8" i="4"/>
  <c r="K7" i="4"/>
  <c r="J7" i="4"/>
  <c r="K34" i="14"/>
  <c r="J34" i="14"/>
  <c r="K31" i="14"/>
  <c r="J31" i="14"/>
  <c r="K28" i="14"/>
  <c r="J28" i="14"/>
  <c r="K27" i="14"/>
  <c r="J27" i="14"/>
  <c r="K26" i="14"/>
  <c r="J26" i="14"/>
  <c r="K23" i="14"/>
  <c r="J23" i="14"/>
  <c r="K22" i="14"/>
  <c r="J22" i="14"/>
  <c r="K21" i="14"/>
  <c r="J21" i="14"/>
  <c r="K20" i="14"/>
  <c r="J20" i="14"/>
  <c r="K19" i="14"/>
  <c r="J19" i="14"/>
  <c r="K18" i="14"/>
  <c r="J18" i="14"/>
  <c r="K17" i="14"/>
  <c r="J17" i="14"/>
  <c r="K16" i="14"/>
  <c r="J16" i="14"/>
  <c r="K15" i="14"/>
  <c r="J15" i="14"/>
  <c r="K14" i="14"/>
  <c r="J14" i="14"/>
  <c r="K13" i="14"/>
  <c r="J13" i="14"/>
  <c r="K12" i="14"/>
  <c r="J12" i="14"/>
  <c r="K7" i="14"/>
  <c r="J7" i="14"/>
  <c r="K6" i="14"/>
  <c r="J6" i="14"/>
  <c r="K31" i="13"/>
  <c r="J31" i="13"/>
  <c r="K28" i="13"/>
  <c r="J28" i="13"/>
  <c r="K24" i="13"/>
  <c r="J24" i="13"/>
  <c r="K23" i="13"/>
  <c r="J23" i="13"/>
  <c r="K20" i="13"/>
  <c r="J20" i="13"/>
  <c r="K19" i="13"/>
  <c r="J19" i="13"/>
  <c r="K18" i="13"/>
  <c r="J18" i="13"/>
  <c r="K17" i="13"/>
  <c r="J17" i="13"/>
  <c r="K16" i="13"/>
  <c r="J16" i="13"/>
  <c r="K15" i="13"/>
  <c r="J15" i="13"/>
  <c r="K8" i="13"/>
  <c r="J8" i="13"/>
  <c r="K7" i="13"/>
  <c r="J7" i="13"/>
  <c r="K6" i="13"/>
  <c r="J6" i="13"/>
  <c r="K26" i="12"/>
  <c r="J26" i="12"/>
  <c r="K14" i="12"/>
  <c r="J14" i="12"/>
  <c r="K11" i="12"/>
  <c r="J11" i="12"/>
  <c r="K10" i="12"/>
  <c r="J10" i="12"/>
  <c r="K9" i="12"/>
  <c r="J9" i="12"/>
  <c r="K8" i="12"/>
  <c r="J8" i="12"/>
  <c r="K7" i="12"/>
  <c r="J7" i="12"/>
  <c r="K6" i="12"/>
  <c r="J6" i="12"/>
  <c r="K6" i="4"/>
  <c r="J6" i="4"/>
  <c r="I89" i="14"/>
  <c r="H89" i="14"/>
  <c r="I88" i="14"/>
  <c r="H88" i="14"/>
  <c r="I87" i="14"/>
  <c r="H87" i="14"/>
  <c r="I86" i="14"/>
  <c r="H86" i="14"/>
  <c r="I85" i="14"/>
  <c r="H85" i="14"/>
  <c r="I83" i="14"/>
  <c r="H83" i="14"/>
  <c r="I82" i="14"/>
  <c r="H82" i="14"/>
  <c r="I81" i="14"/>
  <c r="H81" i="14"/>
  <c r="I80" i="14"/>
  <c r="H80" i="14"/>
  <c r="I79" i="14"/>
  <c r="H79" i="14"/>
  <c r="I78" i="14"/>
  <c r="H78" i="14"/>
  <c r="I77" i="14"/>
  <c r="H77" i="14"/>
  <c r="I76" i="14"/>
  <c r="H76" i="14"/>
  <c r="I74" i="14"/>
  <c r="H74" i="14"/>
  <c r="I73" i="14"/>
  <c r="H73" i="14"/>
  <c r="I72" i="14"/>
  <c r="H72" i="14"/>
  <c r="I71" i="14"/>
  <c r="H71" i="14"/>
  <c r="I70" i="14"/>
  <c r="H70" i="14"/>
  <c r="I69" i="14"/>
  <c r="H69" i="14"/>
  <c r="I68" i="14"/>
  <c r="H68" i="14"/>
  <c r="I67" i="14"/>
  <c r="H67" i="14"/>
  <c r="I66" i="14"/>
  <c r="H66" i="14"/>
  <c r="I65" i="14"/>
  <c r="H65" i="14"/>
  <c r="I64" i="14"/>
  <c r="H64" i="14"/>
  <c r="I63" i="14"/>
  <c r="H63" i="14"/>
  <c r="I62" i="14"/>
  <c r="H62" i="14"/>
  <c r="I61" i="14"/>
  <c r="H61" i="14"/>
  <c r="I60" i="14"/>
  <c r="H60" i="14"/>
  <c r="I59" i="14"/>
  <c r="H59" i="14"/>
  <c r="I57" i="14"/>
  <c r="H57" i="14"/>
  <c r="I56" i="14"/>
  <c r="H56" i="14"/>
  <c r="I55" i="14"/>
  <c r="H55" i="14"/>
  <c r="I54" i="14"/>
  <c r="H54" i="14"/>
  <c r="I53" i="14"/>
  <c r="H53" i="14"/>
  <c r="I52" i="14"/>
  <c r="H52" i="14"/>
  <c r="I51" i="14"/>
  <c r="H51" i="14"/>
  <c r="I50" i="14"/>
  <c r="H50" i="14"/>
  <c r="I44" i="14"/>
  <c r="H44" i="14"/>
  <c r="I43" i="14"/>
  <c r="H43" i="14"/>
  <c r="I41" i="14"/>
  <c r="H41" i="14"/>
  <c r="I40" i="14"/>
  <c r="H40" i="14"/>
  <c r="I37" i="14"/>
  <c r="H37" i="14"/>
  <c r="I86" i="13"/>
  <c r="H86" i="13"/>
  <c r="I85" i="13"/>
  <c r="H85" i="13"/>
  <c r="I84" i="13"/>
  <c r="H84" i="13"/>
  <c r="I83" i="13"/>
  <c r="H83" i="13"/>
  <c r="I82" i="13"/>
  <c r="H82" i="13"/>
  <c r="I80" i="13"/>
  <c r="H80" i="13"/>
  <c r="I79" i="13"/>
  <c r="H79" i="13"/>
  <c r="I78" i="13"/>
  <c r="H78" i="13"/>
  <c r="I77" i="13"/>
  <c r="H77" i="13"/>
  <c r="I76" i="13"/>
  <c r="H76" i="13"/>
  <c r="I75" i="13"/>
  <c r="H75" i="13"/>
  <c r="I74" i="13"/>
  <c r="H74" i="13"/>
  <c r="I73" i="13"/>
  <c r="H73" i="13"/>
  <c r="I71" i="13"/>
  <c r="H71" i="13"/>
  <c r="I70" i="13"/>
  <c r="H70" i="13"/>
  <c r="I69" i="13"/>
  <c r="H69" i="13"/>
  <c r="I68" i="13"/>
  <c r="H68" i="13"/>
  <c r="I67" i="13"/>
  <c r="H67" i="13"/>
  <c r="I66" i="13"/>
  <c r="H66" i="13"/>
  <c r="I65" i="13"/>
  <c r="H65" i="13"/>
  <c r="I64" i="13"/>
  <c r="H64" i="13"/>
  <c r="I63" i="13"/>
  <c r="H63" i="13"/>
  <c r="I62" i="13"/>
  <c r="H62" i="13"/>
  <c r="I61" i="13"/>
  <c r="H61" i="13"/>
  <c r="I60" i="13"/>
  <c r="H60" i="13"/>
  <c r="I59" i="13"/>
  <c r="H59" i="13"/>
  <c r="I58" i="13"/>
  <c r="H58" i="13"/>
  <c r="I57" i="13"/>
  <c r="H57" i="13"/>
  <c r="I56" i="13"/>
  <c r="H56" i="13"/>
  <c r="I54" i="13"/>
  <c r="H54" i="13"/>
  <c r="I53" i="13"/>
  <c r="H53" i="13"/>
  <c r="I52" i="13"/>
  <c r="H52" i="13"/>
  <c r="I51" i="13"/>
  <c r="H51" i="13"/>
  <c r="I50" i="13"/>
  <c r="H50" i="13"/>
  <c r="I49" i="13"/>
  <c r="H49" i="13"/>
  <c r="I48" i="13"/>
  <c r="H48" i="13"/>
  <c r="I47" i="13"/>
  <c r="H47" i="13"/>
  <c r="I41" i="13"/>
  <c r="H41" i="13"/>
  <c r="I40" i="13"/>
  <c r="H40" i="13"/>
  <c r="I38" i="13"/>
  <c r="H38" i="13"/>
  <c r="I37" i="13"/>
  <c r="H37" i="13"/>
  <c r="I34" i="13"/>
  <c r="H34" i="13"/>
  <c r="I33" i="13"/>
  <c r="H33" i="13"/>
  <c r="I29" i="13"/>
  <c r="H29" i="13"/>
  <c r="I83" i="12"/>
  <c r="H83" i="12"/>
  <c r="I82" i="12"/>
  <c r="H82" i="12"/>
  <c r="I81" i="12"/>
  <c r="H81" i="12"/>
  <c r="I80" i="12"/>
  <c r="H80" i="12"/>
  <c r="I77" i="12"/>
  <c r="H77" i="12"/>
  <c r="I76" i="12"/>
  <c r="H76" i="12"/>
  <c r="I75" i="12"/>
  <c r="H75" i="12"/>
  <c r="I74" i="12"/>
  <c r="H74" i="12"/>
  <c r="I73" i="12"/>
  <c r="H73" i="12"/>
  <c r="I72" i="12"/>
  <c r="H72" i="12"/>
  <c r="I71" i="12"/>
  <c r="H71" i="12"/>
  <c r="I70" i="12"/>
  <c r="H70" i="12"/>
  <c r="I68" i="12"/>
  <c r="H68" i="12"/>
  <c r="I67" i="12"/>
  <c r="H67" i="12"/>
  <c r="I66" i="12"/>
  <c r="H66" i="12"/>
  <c r="I65" i="12"/>
  <c r="H65" i="12"/>
  <c r="I64" i="12"/>
  <c r="H64" i="12"/>
  <c r="I63" i="12"/>
  <c r="H63" i="12"/>
  <c r="I62" i="12"/>
  <c r="H62" i="12"/>
  <c r="I61" i="12"/>
  <c r="H61" i="12"/>
  <c r="I60" i="12"/>
  <c r="H60" i="12"/>
  <c r="I59" i="12"/>
  <c r="H59" i="12"/>
  <c r="I58" i="12"/>
  <c r="H58" i="12"/>
  <c r="I57" i="12"/>
  <c r="H57" i="12"/>
  <c r="I55" i="12"/>
  <c r="H55" i="12"/>
  <c r="I54" i="12"/>
  <c r="H54" i="12"/>
  <c r="I53" i="12"/>
  <c r="H53" i="12"/>
  <c r="I50" i="12"/>
  <c r="H50" i="12"/>
  <c r="I49" i="12"/>
  <c r="H49" i="12"/>
  <c r="I48" i="12"/>
  <c r="H48" i="12"/>
  <c r="I47" i="12"/>
  <c r="H47" i="12"/>
  <c r="I46" i="12"/>
  <c r="H46" i="12"/>
  <c r="I45" i="12"/>
  <c r="H45" i="12"/>
  <c r="I44" i="12"/>
  <c r="H44" i="12"/>
  <c r="I39" i="12"/>
  <c r="H39" i="12"/>
  <c r="I37" i="12"/>
  <c r="H37" i="12"/>
  <c r="I36" i="12"/>
  <c r="H36" i="12"/>
  <c r="I34" i="12"/>
  <c r="H34" i="12"/>
  <c r="I33" i="12"/>
  <c r="H33" i="12"/>
  <c r="I32" i="12"/>
  <c r="H32" i="12"/>
  <c r="I30" i="12"/>
  <c r="H30" i="12"/>
  <c r="I21" i="12"/>
  <c r="H21" i="12"/>
  <c r="I20" i="12"/>
  <c r="H20" i="12"/>
  <c r="I19" i="12"/>
  <c r="H19" i="12"/>
  <c r="I17" i="12"/>
  <c r="H17" i="12"/>
  <c r="I16" i="12"/>
  <c r="H16" i="12"/>
  <c r="O73" i="15"/>
  <c r="O71" i="15" s="1"/>
  <c r="N73" i="15"/>
  <c r="N71" i="15" s="1"/>
  <c r="O64" i="15"/>
  <c r="N64" i="15"/>
  <c r="O63" i="15"/>
  <c r="N63" i="15"/>
  <c r="O62" i="15"/>
  <c r="N62" i="15"/>
  <c r="O61" i="15"/>
  <c r="N61" i="15"/>
  <c r="O60" i="15"/>
  <c r="N60" i="15"/>
  <c r="O58" i="15"/>
  <c r="N58" i="15"/>
  <c r="O57" i="15"/>
  <c r="N57" i="15"/>
  <c r="O56" i="15"/>
  <c r="N56" i="15"/>
  <c r="O55" i="15"/>
  <c r="N55" i="15"/>
  <c r="O54" i="15"/>
  <c r="N54" i="15"/>
  <c r="O53" i="15"/>
  <c r="N53" i="15"/>
  <c r="O52" i="15"/>
  <c r="N52" i="15"/>
  <c r="O51" i="15"/>
  <c r="N51" i="15"/>
  <c r="O49" i="15"/>
  <c r="N49" i="15"/>
  <c r="O48" i="15"/>
  <c r="N48" i="15"/>
  <c r="O47" i="15"/>
  <c r="N47" i="15"/>
  <c r="O46" i="15"/>
  <c r="N46" i="15"/>
  <c r="O45" i="15"/>
  <c r="N45" i="15"/>
  <c r="O44" i="15"/>
  <c r="N44" i="15"/>
  <c r="O43" i="15"/>
  <c r="N43" i="15"/>
  <c r="O42" i="15"/>
  <c r="N42" i="15"/>
  <c r="O41" i="15"/>
  <c r="N41" i="15"/>
  <c r="O40" i="15"/>
  <c r="N40" i="15"/>
  <c r="O39" i="15"/>
  <c r="N39" i="15"/>
  <c r="O38" i="15"/>
  <c r="N38" i="15"/>
  <c r="O37" i="15"/>
  <c r="N37" i="15"/>
  <c r="O36" i="15"/>
  <c r="N36" i="15"/>
  <c r="O35" i="15"/>
  <c r="N35" i="15"/>
  <c r="O34" i="15"/>
  <c r="N34" i="15"/>
  <c r="O31" i="15"/>
  <c r="N31" i="15"/>
  <c r="O30" i="15"/>
  <c r="N30" i="15"/>
  <c r="O29" i="15"/>
  <c r="N29" i="15"/>
  <c r="O28" i="15"/>
  <c r="N28" i="15"/>
  <c r="O27" i="15"/>
  <c r="N27" i="15"/>
  <c r="O26" i="15"/>
  <c r="N26" i="15"/>
  <c r="O25" i="15"/>
  <c r="N25" i="15"/>
  <c r="O22" i="15"/>
  <c r="N22" i="15"/>
  <c r="O21" i="15"/>
  <c r="N21" i="15"/>
  <c r="O20" i="15"/>
  <c r="N20" i="15"/>
  <c r="O19" i="15"/>
  <c r="N19" i="15"/>
  <c r="O18" i="15"/>
  <c r="N18" i="15"/>
  <c r="O17" i="15"/>
  <c r="N17" i="15"/>
  <c r="O15" i="15"/>
  <c r="N15" i="15"/>
  <c r="O14" i="15"/>
  <c r="N14" i="15"/>
  <c r="O13" i="15"/>
  <c r="N13" i="15"/>
  <c r="O12" i="15"/>
  <c r="N12" i="15"/>
  <c r="O11" i="15"/>
  <c r="N11" i="15"/>
  <c r="O8" i="15"/>
  <c r="O9" i="15" s="1"/>
  <c r="N8" i="15"/>
  <c r="N9" i="15" s="1"/>
  <c r="O6" i="15"/>
  <c r="N6" i="15"/>
  <c r="I83" i="4"/>
  <c r="H83" i="4"/>
  <c r="I76" i="4"/>
  <c r="H76" i="4"/>
  <c r="I75" i="4"/>
  <c r="H75" i="4"/>
  <c r="I74" i="4"/>
  <c r="H74" i="4"/>
  <c r="I73" i="4"/>
  <c r="H73" i="4"/>
  <c r="I72" i="4"/>
  <c r="H72" i="4"/>
  <c r="I70" i="4"/>
  <c r="H70" i="4"/>
  <c r="I69" i="4"/>
  <c r="H69" i="4"/>
  <c r="I68" i="4"/>
  <c r="H68" i="4"/>
  <c r="I67" i="4"/>
  <c r="H67" i="4"/>
  <c r="I66" i="4"/>
  <c r="H66" i="4"/>
  <c r="I65" i="4"/>
  <c r="H65" i="4"/>
  <c r="I64" i="4"/>
  <c r="H64" i="4"/>
  <c r="I63" i="4"/>
  <c r="H63" i="4"/>
  <c r="I61" i="4"/>
  <c r="H61" i="4"/>
  <c r="I60" i="4"/>
  <c r="H60" i="4"/>
  <c r="I59" i="4"/>
  <c r="H59" i="4"/>
  <c r="I58" i="4"/>
  <c r="H58" i="4"/>
  <c r="I57" i="4"/>
  <c r="H57" i="4"/>
  <c r="I56" i="4"/>
  <c r="H56" i="4"/>
  <c r="I55" i="4"/>
  <c r="H55" i="4"/>
  <c r="I54" i="4"/>
  <c r="H54" i="4"/>
  <c r="I53" i="4"/>
  <c r="H53" i="4"/>
  <c r="I52" i="4"/>
  <c r="H52" i="4"/>
  <c r="I51" i="4"/>
  <c r="H51" i="4"/>
  <c r="I50" i="4"/>
  <c r="H50" i="4"/>
  <c r="I49" i="4"/>
  <c r="H49" i="4"/>
  <c r="I48" i="4"/>
  <c r="H48" i="4"/>
  <c r="I47" i="4"/>
  <c r="H47" i="4"/>
  <c r="I46" i="4"/>
  <c r="H46" i="4"/>
  <c r="I43" i="4"/>
  <c r="H43" i="4"/>
  <c r="I42" i="4"/>
  <c r="H42" i="4"/>
  <c r="I41" i="4"/>
  <c r="H41" i="4"/>
  <c r="I40" i="4"/>
  <c r="H40" i="4"/>
  <c r="I39" i="4"/>
  <c r="H39" i="4"/>
  <c r="I38" i="4"/>
  <c r="H38" i="4"/>
  <c r="I37" i="4"/>
  <c r="H37" i="4"/>
  <c r="I34" i="4"/>
  <c r="H34" i="4"/>
  <c r="I33" i="4"/>
  <c r="H33" i="4"/>
  <c r="I32" i="4"/>
  <c r="H32" i="4"/>
  <c r="I31" i="4"/>
  <c r="H31" i="4"/>
  <c r="I30" i="4"/>
  <c r="H30" i="4"/>
  <c r="I29" i="4"/>
  <c r="H29" i="4"/>
  <c r="I27" i="4"/>
  <c r="H27" i="4"/>
  <c r="I26" i="4"/>
  <c r="H26" i="4"/>
  <c r="I25" i="4"/>
  <c r="H25" i="4"/>
  <c r="I24" i="4"/>
  <c r="H24" i="4"/>
  <c r="I23" i="4"/>
  <c r="H23" i="4"/>
  <c r="I17" i="4"/>
  <c r="H17" i="4"/>
  <c r="I16" i="4"/>
  <c r="H16" i="4"/>
  <c r="I15" i="4"/>
  <c r="H15" i="4"/>
  <c r="I13" i="4"/>
  <c r="H13" i="4"/>
  <c r="I12" i="4"/>
  <c r="H12" i="4"/>
  <c r="I9" i="4"/>
  <c r="H9" i="4"/>
  <c r="I8" i="4"/>
  <c r="H8" i="4"/>
  <c r="I7" i="4"/>
  <c r="H7" i="4"/>
  <c r="I34" i="14"/>
  <c r="H34" i="14"/>
  <c r="I31" i="14"/>
  <c r="H31" i="14"/>
  <c r="I28" i="14"/>
  <c r="H28" i="14"/>
  <c r="I27" i="14"/>
  <c r="H27" i="14"/>
  <c r="I26" i="14"/>
  <c r="H26" i="14"/>
  <c r="I23" i="14"/>
  <c r="H23" i="14"/>
  <c r="I22" i="14"/>
  <c r="H22" i="14"/>
  <c r="I21" i="14"/>
  <c r="H21" i="14"/>
  <c r="I20" i="14"/>
  <c r="H20" i="14"/>
  <c r="I19" i="14"/>
  <c r="H19" i="14"/>
  <c r="I18" i="14"/>
  <c r="H18" i="14"/>
  <c r="I17" i="14"/>
  <c r="H17" i="14"/>
  <c r="I16" i="14"/>
  <c r="H16" i="14"/>
  <c r="I15" i="14"/>
  <c r="H15" i="14"/>
  <c r="I14" i="14"/>
  <c r="H14" i="14"/>
  <c r="I13" i="14"/>
  <c r="H13" i="14"/>
  <c r="I12" i="14"/>
  <c r="H12" i="14"/>
  <c r="I7" i="14"/>
  <c r="H7" i="14"/>
  <c r="I6" i="14"/>
  <c r="H6" i="14"/>
  <c r="I31" i="13"/>
  <c r="H31" i="13"/>
  <c r="I28" i="13"/>
  <c r="H28" i="13"/>
  <c r="I24" i="13"/>
  <c r="H24" i="13"/>
  <c r="I23" i="13"/>
  <c r="H23" i="13"/>
  <c r="I20" i="13"/>
  <c r="H20" i="13"/>
  <c r="I19" i="13"/>
  <c r="H19" i="13"/>
  <c r="I18" i="13"/>
  <c r="H18" i="13"/>
  <c r="I17" i="13"/>
  <c r="H17" i="13"/>
  <c r="I16" i="13"/>
  <c r="H16" i="13"/>
  <c r="I15" i="13"/>
  <c r="H15" i="13"/>
  <c r="I8" i="13"/>
  <c r="H8" i="13"/>
  <c r="I7" i="13"/>
  <c r="H7" i="13"/>
  <c r="I6" i="13"/>
  <c r="H6" i="13"/>
  <c r="I26" i="12"/>
  <c r="H26" i="12"/>
  <c r="I14" i="12"/>
  <c r="H14" i="12"/>
  <c r="I11" i="12"/>
  <c r="H11" i="12"/>
  <c r="I10" i="12"/>
  <c r="H10" i="12"/>
  <c r="I9" i="12"/>
  <c r="H9" i="12"/>
  <c r="I8" i="12"/>
  <c r="H8" i="12"/>
  <c r="I7" i="12"/>
  <c r="H7" i="12"/>
  <c r="I6" i="12"/>
  <c r="H6" i="12"/>
  <c r="I6" i="4"/>
  <c r="H6" i="4"/>
  <c r="G96" i="14"/>
  <c r="F96" i="14"/>
  <c r="G89" i="14"/>
  <c r="F89" i="14"/>
  <c r="G88" i="14"/>
  <c r="F88" i="14"/>
  <c r="G87" i="14"/>
  <c r="F87" i="14"/>
  <c r="G86" i="14"/>
  <c r="F86" i="14"/>
  <c r="G85" i="14"/>
  <c r="F85" i="14"/>
  <c r="G83" i="14"/>
  <c r="F83" i="14"/>
  <c r="G81" i="14"/>
  <c r="F81" i="14"/>
  <c r="G80" i="14"/>
  <c r="F80" i="14"/>
  <c r="G79" i="14"/>
  <c r="F79" i="14"/>
  <c r="G78" i="14"/>
  <c r="F78" i="14"/>
  <c r="G77" i="14"/>
  <c r="F77" i="14"/>
  <c r="G76" i="14"/>
  <c r="F76" i="14"/>
  <c r="G74" i="14"/>
  <c r="F74" i="14"/>
  <c r="G71" i="14"/>
  <c r="F71" i="14"/>
  <c r="G70" i="14"/>
  <c r="F70" i="14"/>
  <c r="G69" i="14"/>
  <c r="F69" i="14"/>
  <c r="G68" i="14"/>
  <c r="F68" i="14"/>
  <c r="G67" i="14"/>
  <c r="F67" i="14"/>
  <c r="G66" i="14"/>
  <c r="F66" i="14"/>
  <c r="G65" i="14"/>
  <c r="F65" i="14"/>
  <c r="G64" i="14"/>
  <c r="F64" i="14"/>
  <c r="G63" i="14"/>
  <c r="F63" i="14"/>
  <c r="G62" i="14"/>
  <c r="F62" i="14"/>
  <c r="G61" i="14"/>
  <c r="F61" i="14"/>
  <c r="G60" i="14"/>
  <c r="F60" i="14"/>
  <c r="G59" i="14"/>
  <c r="F59" i="14"/>
  <c r="G56" i="14"/>
  <c r="F56" i="14"/>
  <c r="G55" i="14"/>
  <c r="F55" i="14"/>
  <c r="G54" i="14"/>
  <c r="F54" i="14"/>
  <c r="G53" i="14"/>
  <c r="F53" i="14"/>
  <c r="G52" i="14"/>
  <c r="F52" i="14"/>
  <c r="G51" i="14"/>
  <c r="F51" i="14"/>
  <c r="G50" i="14"/>
  <c r="F50" i="14"/>
  <c r="G47" i="14"/>
  <c r="F47" i="14"/>
  <c r="G46" i="14"/>
  <c r="F46" i="14"/>
  <c r="G45" i="14"/>
  <c r="F45" i="14"/>
  <c r="G44" i="14"/>
  <c r="F44" i="14"/>
  <c r="G43" i="14"/>
  <c r="F43" i="14"/>
  <c r="G42" i="14"/>
  <c r="F42" i="14"/>
  <c r="G40" i="14"/>
  <c r="F40" i="14"/>
  <c r="G39" i="14"/>
  <c r="F39" i="14"/>
  <c r="G38" i="14"/>
  <c r="F38" i="14"/>
  <c r="G37" i="14"/>
  <c r="F37" i="14"/>
  <c r="G36" i="14"/>
  <c r="F36" i="14"/>
  <c r="G32" i="14"/>
  <c r="G34" i="14" s="1"/>
  <c r="F32" i="14"/>
  <c r="F34" i="14" s="1"/>
  <c r="G93" i="13"/>
  <c r="F93" i="13"/>
  <c r="G86" i="13"/>
  <c r="F86" i="13"/>
  <c r="G85" i="13"/>
  <c r="F85" i="13"/>
  <c r="G84" i="13"/>
  <c r="F84" i="13"/>
  <c r="G83" i="13"/>
  <c r="F83" i="13"/>
  <c r="G82" i="13"/>
  <c r="F82" i="13"/>
  <c r="G80" i="13"/>
  <c r="F80" i="13"/>
  <c r="G78" i="13"/>
  <c r="F78" i="13"/>
  <c r="G77" i="13"/>
  <c r="F77" i="13"/>
  <c r="G76" i="13"/>
  <c r="F76" i="13"/>
  <c r="G75" i="13"/>
  <c r="F75" i="13"/>
  <c r="G74" i="13"/>
  <c r="F74" i="13"/>
  <c r="G73" i="13"/>
  <c r="F73" i="13"/>
  <c r="G71" i="13"/>
  <c r="F71" i="13"/>
  <c r="G68" i="13"/>
  <c r="F68" i="13"/>
  <c r="G67" i="13"/>
  <c r="F67" i="13"/>
  <c r="G66" i="13"/>
  <c r="F66" i="13"/>
  <c r="G65" i="13"/>
  <c r="F65" i="13"/>
  <c r="G64" i="13"/>
  <c r="F64" i="13"/>
  <c r="G63" i="13"/>
  <c r="F63" i="13"/>
  <c r="G62" i="13"/>
  <c r="F62" i="13"/>
  <c r="G61" i="13"/>
  <c r="F61" i="13"/>
  <c r="G60" i="13"/>
  <c r="F60" i="13"/>
  <c r="G59" i="13"/>
  <c r="F59" i="13"/>
  <c r="G58" i="13"/>
  <c r="F58" i="13"/>
  <c r="G57" i="13"/>
  <c r="F57" i="13"/>
  <c r="G56" i="13"/>
  <c r="F56" i="13"/>
  <c r="G53" i="13"/>
  <c r="F53" i="13"/>
  <c r="G52" i="13"/>
  <c r="F52" i="13"/>
  <c r="G51" i="13"/>
  <c r="F51" i="13"/>
  <c r="G50" i="13"/>
  <c r="F50" i="13"/>
  <c r="G49" i="13"/>
  <c r="F49" i="13"/>
  <c r="G48" i="13"/>
  <c r="F48" i="13"/>
  <c r="G47" i="13"/>
  <c r="F47" i="13"/>
  <c r="G44" i="13"/>
  <c r="F44" i="13"/>
  <c r="G43" i="13"/>
  <c r="F43" i="13"/>
  <c r="G42" i="13"/>
  <c r="F42" i="13"/>
  <c r="G41" i="13"/>
  <c r="F41" i="13"/>
  <c r="G40" i="13"/>
  <c r="F40" i="13"/>
  <c r="G39" i="13"/>
  <c r="F39" i="13"/>
  <c r="G37" i="13"/>
  <c r="F37" i="13"/>
  <c r="G36" i="13"/>
  <c r="F36" i="13"/>
  <c r="G35" i="13"/>
  <c r="F35" i="13"/>
  <c r="G34" i="13"/>
  <c r="F34" i="13"/>
  <c r="G33" i="13"/>
  <c r="F33" i="13"/>
  <c r="G29" i="13"/>
  <c r="G31" i="13" s="1"/>
  <c r="F29" i="13"/>
  <c r="F31" i="13" s="1"/>
  <c r="G31" i="14"/>
  <c r="F31" i="14"/>
  <c r="G28" i="14"/>
  <c r="F28" i="14"/>
  <c r="G27" i="14"/>
  <c r="F27" i="14"/>
  <c r="G26" i="14"/>
  <c r="F26" i="14"/>
  <c r="G23" i="14"/>
  <c r="F23" i="14"/>
  <c r="G22" i="14"/>
  <c r="F22" i="14"/>
  <c r="G21" i="14"/>
  <c r="F21" i="14"/>
  <c r="G20" i="14"/>
  <c r="F20" i="14"/>
  <c r="G19" i="14"/>
  <c r="F19" i="14"/>
  <c r="G18" i="14"/>
  <c r="F18" i="14"/>
  <c r="G17" i="14"/>
  <c r="F17" i="14"/>
  <c r="G16" i="14"/>
  <c r="F16" i="14"/>
  <c r="G15" i="14"/>
  <c r="F15" i="14"/>
  <c r="G14" i="14"/>
  <c r="F14" i="14"/>
  <c r="G13" i="14"/>
  <c r="F13" i="14"/>
  <c r="G12" i="14"/>
  <c r="F12" i="14"/>
  <c r="G11" i="14"/>
  <c r="F11" i="14"/>
  <c r="G10" i="14"/>
  <c r="F10" i="14"/>
  <c r="G7" i="14"/>
  <c r="F7" i="14"/>
  <c r="G6" i="14"/>
  <c r="F6" i="14"/>
  <c r="F28" i="13"/>
  <c r="F25" i="13"/>
  <c r="F24" i="13"/>
  <c r="F23" i="13"/>
  <c r="G28" i="13"/>
  <c r="G25" i="13"/>
  <c r="G24" i="13"/>
  <c r="G23" i="13"/>
  <c r="G20" i="13"/>
  <c r="F20" i="13"/>
  <c r="G19" i="13"/>
  <c r="F19" i="13"/>
  <c r="G18" i="13"/>
  <c r="F18" i="13"/>
  <c r="G17" i="13"/>
  <c r="F17" i="13"/>
  <c r="G16" i="13"/>
  <c r="F16" i="13"/>
  <c r="G15" i="13"/>
  <c r="F15" i="13"/>
  <c r="G14" i="13"/>
  <c r="F14" i="13"/>
  <c r="G13" i="13"/>
  <c r="F13" i="13"/>
  <c r="G12" i="13"/>
  <c r="F12" i="13"/>
  <c r="G8" i="13"/>
  <c r="F8" i="13"/>
  <c r="G7" i="13"/>
  <c r="F7" i="13"/>
  <c r="G6" i="13"/>
  <c r="F6" i="13"/>
  <c r="G26" i="12"/>
  <c r="F26" i="12"/>
  <c r="G25" i="12"/>
  <c r="F25" i="12"/>
  <c r="G22" i="12"/>
  <c r="F22" i="12"/>
  <c r="G21" i="12"/>
  <c r="F21" i="12"/>
  <c r="G20" i="12"/>
  <c r="F20" i="12"/>
  <c r="G19" i="12"/>
  <c r="F19" i="12"/>
  <c r="G18" i="12"/>
  <c r="F18" i="12"/>
  <c r="G17" i="12"/>
  <c r="F17" i="12"/>
  <c r="G16" i="12"/>
  <c r="F16" i="12"/>
  <c r="G14" i="12"/>
  <c r="F14" i="12"/>
  <c r="G11" i="12"/>
  <c r="F11" i="12"/>
  <c r="G10" i="12"/>
  <c r="F10" i="12"/>
  <c r="G9" i="12"/>
  <c r="F9" i="12"/>
  <c r="G8" i="12"/>
  <c r="F8" i="12"/>
  <c r="G7" i="12"/>
  <c r="F7" i="12"/>
  <c r="G6" i="12"/>
  <c r="F6" i="12"/>
  <c r="G17" i="4"/>
  <c r="F17" i="4"/>
  <c r="G16" i="4"/>
  <c r="F16" i="4"/>
  <c r="G15" i="4"/>
  <c r="F15" i="4"/>
  <c r="G14" i="4"/>
  <c r="F14" i="4"/>
  <c r="G13" i="4"/>
  <c r="F13" i="4"/>
  <c r="G12" i="4"/>
  <c r="F12" i="4"/>
  <c r="K75" i="15"/>
  <c r="J75" i="15"/>
  <c r="K73" i="15"/>
  <c r="K71" i="15" s="1"/>
  <c r="J73" i="15"/>
  <c r="J71" i="15" s="1"/>
  <c r="K64" i="15"/>
  <c r="J64" i="15"/>
  <c r="K63" i="15"/>
  <c r="J63" i="15"/>
  <c r="K62" i="15"/>
  <c r="J62" i="15"/>
  <c r="K61" i="15"/>
  <c r="J61" i="15"/>
  <c r="K60" i="15"/>
  <c r="J60" i="15"/>
  <c r="K58" i="15"/>
  <c r="J58" i="15"/>
  <c r="K56" i="15"/>
  <c r="J56" i="15"/>
  <c r="K55" i="15"/>
  <c r="J55" i="15"/>
  <c r="K54" i="15"/>
  <c r="J54" i="15"/>
  <c r="K53" i="15"/>
  <c r="J53" i="15"/>
  <c r="K52" i="15"/>
  <c r="J52" i="15"/>
  <c r="K51" i="15"/>
  <c r="J51" i="15"/>
  <c r="K49" i="15"/>
  <c r="J49" i="15"/>
  <c r="K46" i="15"/>
  <c r="J46" i="15"/>
  <c r="K45" i="15"/>
  <c r="J45" i="15"/>
  <c r="K44" i="15"/>
  <c r="J44" i="15"/>
  <c r="K43" i="15"/>
  <c r="J43" i="15"/>
  <c r="K42" i="15"/>
  <c r="J42" i="15"/>
  <c r="K41" i="15"/>
  <c r="J41" i="15"/>
  <c r="K40" i="15"/>
  <c r="J40" i="15"/>
  <c r="K39" i="15"/>
  <c r="J39" i="15"/>
  <c r="K38" i="15"/>
  <c r="J38" i="15"/>
  <c r="K37" i="15"/>
  <c r="J37" i="15"/>
  <c r="K36" i="15"/>
  <c r="J36" i="15"/>
  <c r="K35" i="15"/>
  <c r="J35" i="15"/>
  <c r="K34" i="15"/>
  <c r="J34" i="15"/>
  <c r="K31" i="15"/>
  <c r="J31" i="15"/>
  <c r="K30" i="15"/>
  <c r="J30" i="15"/>
  <c r="K29" i="15"/>
  <c r="J29" i="15"/>
  <c r="K28" i="15"/>
  <c r="J28" i="15"/>
  <c r="K27" i="15"/>
  <c r="J27" i="15"/>
  <c r="K26" i="15"/>
  <c r="J26" i="15"/>
  <c r="K25" i="15"/>
  <c r="J25" i="15"/>
  <c r="K22" i="15"/>
  <c r="J22" i="15"/>
  <c r="K21" i="15"/>
  <c r="J21" i="15"/>
  <c r="K20" i="15"/>
  <c r="J20" i="15"/>
  <c r="K19" i="15"/>
  <c r="J19" i="15"/>
  <c r="K18" i="15"/>
  <c r="J18" i="15"/>
  <c r="K17" i="15"/>
  <c r="J17" i="15"/>
  <c r="K15" i="15"/>
  <c r="J15" i="15"/>
  <c r="K14" i="15"/>
  <c r="J14" i="15"/>
  <c r="K13" i="15"/>
  <c r="J13" i="15"/>
  <c r="K12" i="15"/>
  <c r="J12" i="15"/>
  <c r="K11" i="15"/>
  <c r="J11" i="15"/>
  <c r="K8" i="15"/>
  <c r="K9" i="15" s="1"/>
  <c r="J8" i="15"/>
  <c r="J9" i="15" s="1"/>
  <c r="K6" i="15"/>
  <c r="J6" i="15"/>
  <c r="G90" i="12"/>
  <c r="F90" i="12"/>
  <c r="G83" i="12"/>
  <c r="F83" i="12"/>
  <c r="G82" i="12"/>
  <c r="F82" i="12"/>
  <c r="G81" i="12"/>
  <c r="F81" i="12"/>
  <c r="G80" i="12"/>
  <c r="F80" i="12"/>
  <c r="G79" i="12"/>
  <c r="F79" i="12"/>
  <c r="G77" i="12"/>
  <c r="F77" i="12"/>
  <c r="G75" i="12"/>
  <c r="F75" i="12"/>
  <c r="G74" i="12"/>
  <c r="F74" i="12"/>
  <c r="G73" i="12"/>
  <c r="F73" i="12"/>
  <c r="G72" i="12"/>
  <c r="F72" i="12"/>
  <c r="G71" i="12"/>
  <c r="F71" i="12"/>
  <c r="G70" i="12"/>
  <c r="F70" i="12"/>
  <c r="G68" i="12"/>
  <c r="F68" i="12"/>
  <c r="G65" i="12"/>
  <c r="F65" i="12"/>
  <c r="G64" i="12"/>
  <c r="F64" i="12"/>
  <c r="G63" i="12"/>
  <c r="F63" i="12"/>
  <c r="G62" i="12"/>
  <c r="F62" i="12"/>
  <c r="G61" i="12"/>
  <c r="F61" i="12"/>
  <c r="G60" i="12"/>
  <c r="F60" i="12"/>
  <c r="G59" i="12"/>
  <c r="F59" i="12"/>
  <c r="G58" i="12"/>
  <c r="F58" i="12"/>
  <c r="G57" i="12"/>
  <c r="F57" i="12"/>
  <c r="G56" i="12"/>
  <c r="F56" i="12"/>
  <c r="G55" i="12"/>
  <c r="F55" i="12"/>
  <c r="G54" i="12"/>
  <c r="F54" i="12"/>
  <c r="G53" i="12"/>
  <c r="F53" i="12"/>
  <c r="G50" i="12"/>
  <c r="F50" i="12"/>
  <c r="G49" i="12"/>
  <c r="F49" i="12"/>
  <c r="G48" i="12"/>
  <c r="F48" i="12"/>
  <c r="G47" i="12"/>
  <c r="F47" i="12"/>
  <c r="G46" i="12"/>
  <c r="F46" i="12"/>
  <c r="G45" i="12"/>
  <c r="F45" i="12"/>
  <c r="G44" i="12"/>
  <c r="F44" i="12"/>
  <c r="G41" i="12"/>
  <c r="F41" i="12"/>
  <c r="G40" i="12"/>
  <c r="F40" i="12"/>
  <c r="G39" i="12"/>
  <c r="F39" i="12"/>
  <c r="G38" i="12"/>
  <c r="F38" i="12"/>
  <c r="G37" i="12"/>
  <c r="F37" i="12"/>
  <c r="G36" i="12"/>
  <c r="F36" i="12"/>
  <c r="G34" i="12"/>
  <c r="F34" i="12"/>
  <c r="G33" i="12"/>
  <c r="F33" i="12"/>
  <c r="G32" i="12"/>
  <c r="F32" i="12"/>
  <c r="G31" i="12"/>
  <c r="F31" i="12"/>
  <c r="G30" i="12"/>
  <c r="F30" i="12"/>
  <c r="G83" i="4"/>
  <c r="F83" i="4"/>
  <c r="G76" i="4"/>
  <c r="F76" i="4"/>
  <c r="G75" i="4"/>
  <c r="F75" i="4"/>
  <c r="G74" i="4"/>
  <c r="F74" i="4"/>
  <c r="G73" i="4"/>
  <c r="F73" i="4"/>
  <c r="G72" i="4"/>
  <c r="F72" i="4"/>
  <c r="G70" i="4"/>
  <c r="F70" i="4"/>
  <c r="G68" i="4"/>
  <c r="F68" i="4"/>
  <c r="G67" i="4"/>
  <c r="F67" i="4"/>
  <c r="G66" i="4"/>
  <c r="F66" i="4"/>
  <c r="G65" i="4"/>
  <c r="F65" i="4"/>
  <c r="G64" i="4"/>
  <c r="F64" i="4"/>
  <c r="G63" i="4"/>
  <c r="F63" i="4"/>
  <c r="G61" i="4"/>
  <c r="F61" i="4"/>
  <c r="G58" i="4"/>
  <c r="F58" i="4"/>
  <c r="G57" i="4"/>
  <c r="F57" i="4"/>
  <c r="G56" i="4"/>
  <c r="F56" i="4"/>
  <c r="G55" i="4"/>
  <c r="F55" i="4"/>
  <c r="G54" i="4"/>
  <c r="F54" i="4"/>
  <c r="G53" i="4"/>
  <c r="F53" i="4"/>
  <c r="G52" i="4"/>
  <c r="F52" i="4"/>
  <c r="G51" i="4"/>
  <c r="F51" i="4"/>
  <c r="G50" i="4"/>
  <c r="F50" i="4"/>
  <c r="G49" i="4"/>
  <c r="F49" i="4"/>
  <c r="G48" i="4"/>
  <c r="F48" i="4"/>
  <c r="G47" i="4"/>
  <c r="F47" i="4"/>
  <c r="G46" i="4"/>
  <c r="F46" i="4"/>
  <c r="G43" i="4"/>
  <c r="F43" i="4"/>
  <c r="G42" i="4"/>
  <c r="F42" i="4"/>
  <c r="G41" i="4"/>
  <c r="F41" i="4"/>
  <c r="G40" i="4"/>
  <c r="F40" i="4"/>
  <c r="G39" i="4"/>
  <c r="F39" i="4"/>
  <c r="G38" i="4"/>
  <c r="F38" i="4"/>
  <c r="G37" i="4"/>
  <c r="F37" i="4"/>
  <c r="G34" i="4"/>
  <c r="F34" i="4"/>
  <c r="G33" i="4"/>
  <c r="F33" i="4"/>
  <c r="G32" i="4"/>
  <c r="F32" i="4"/>
  <c r="G31" i="4"/>
  <c r="F31" i="4"/>
  <c r="G30" i="4"/>
  <c r="F30" i="4"/>
  <c r="G29" i="4"/>
  <c r="F29" i="4"/>
  <c r="G27" i="4"/>
  <c r="F27" i="4"/>
  <c r="G26" i="4"/>
  <c r="F26" i="4"/>
  <c r="G25" i="4"/>
  <c r="F25" i="4"/>
  <c r="G24" i="4"/>
  <c r="F24" i="4"/>
  <c r="G23" i="4"/>
  <c r="F23" i="4"/>
  <c r="G9" i="4"/>
  <c r="F9" i="4"/>
  <c r="G8" i="4"/>
  <c r="F8" i="4"/>
  <c r="G7" i="4"/>
  <c r="F7" i="4"/>
  <c r="G6" i="4"/>
  <c r="F6" i="4"/>
  <c r="Z71" i="15" l="1"/>
  <c r="AN71" i="15"/>
  <c r="AA71" i="15"/>
  <c r="AO71" i="15"/>
  <c r="E14" i="16"/>
  <c r="D14" i="16"/>
  <c r="E12" i="16"/>
  <c r="D12" i="16"/>
  <c r="E10" i="16"/>
  <c r="D10" i="16"/>
  <c r="E8" i="16"/>
  <c r="D8" i="16"/>
  <c r="E6" i="16"/>
  <c r="D6" i="16"/>
  <c r="E96" i="14"/>
  <c r="D96" i="14"/>
  <c r="E89" i="14"/>
  <c r="D89" i="14"/>
  <c r="E88" i="14"/>
  <c r="D88" i="14"/>
  <c r="E87" i="14"/>
  <c r="D87" i="14"/>
  <c r="E86" i="14"/>
  <c r="D86" i="14"/>
  <c r="E85" i="14"/>
  <c r="D85" i="14"/>
  <c r="E83" i="14"/>
  <c r="D83" i="14"/>
  <c r="E81" i="14"/>
  <c r="D81" i="14"/>
  <c r="E80" i="14"/>
  <c r="D80" i="14"/>
  <c r="E79" i="14"/>
  <c r="D79" i="14"/>
  <c r="E78" i="14"/>
  <c r="D78" i="14"/>
  <c r="E77" i="14"/>
  <c r="D77" i="14"/>
  <c r="E76" i="14"/>
  <c r="D76" i="14"/>
  <c r="E74" i="14"/>
  <c r="D74" i="14"/>
  <c r="E71" i="14"/>
  <c r="D71" i="14"/>
  <c r="E70" i="14"/>
  <c r="D70" i="14"/>
  <c r="E69" i="14"/>
  <c r="D69" i="14"/>
  <c r="E68" i="14"/>
  <c r="D68" i="14"/>
  <c r="E67" i="14"/>
  <c r="D67" i="14"/>
  <c r="E66" i="14"/>
  <c r="D66" i="14"/>
  <c r="E65" i="14"/>
  <c r="D65" i="14"/>
  <c r="E64" i="14"/>
  <c r="D64" i="14"/>
  <c r="E63" i="14"/>
  <c r="D63" i="14"/>
  <c r="E62" i="14"/>
  <c r="D62" i="14"/>
  <c r="E61" i="14"/>
  <c r="D61" i="14"/>
  <c r="E60" i="14"/>
  <c r="D60" i="14"/>
  <c r="E59" i="14"/>
  <c r="D59" i="14"/>
  <c r="E56" i="14"/>
  <c r="D56" i="14"/>
  <c r="E55" i="14"/>
  <c r="D55" i="14"/>
  <c r="E54" i="14"/>
  <c r="D54" i="14"/>
  <c r="E53" i="14"/>
  <c r="D53" i="14"/>
  <c r="E52" i="14"/>
  <c r="D52" i="14"/>
  <c r="E51" i="14"/>
  <c r="D51" i="14"/>
  <c r="E50" i="14"/>
  <c r="D50" i="14"/>
  <c r="E47" i="14"/>
  <c r="D47" i="14"/>
  <c r="E46" i="14"/>
  <c r="D46" i="14"/>
  <c r="E45" i="14"/>
  <c r="D45" i="14"/>
  <c r="E44" i="14"/>
  <c r="D44" i="14"/>
  <c r="E43" i="14"/>
  <c r="D43" i="14"/>
  <c r="E42" i="14"/>
  <c r="D42" i="14"/>
  <c r="E40" i="14"/>
  <c r="D40" i="14"/>
  <c r="E39" i="14"/>
  <c r="D39" i="14"/>
  <c r="E38" i="14"/>
  <c r="D38" i="14"/>
  <c r="E37" i="14"/>
  <c r="D37" i="14"/>
  <c r="E36" i="14"/>
  <c r="D36" i="14"/>
  <c r="E32" i="14"/>
  <c r="E34" i="14" s="1"/>
  <c r="D32" i="14"/>
  <c r="D34" i="14" s="1"/>
  <c r="E93" i="13"/>
  <c r="D93" i="13"/>
  <c r="E86" i="13"/>
  <c r="D86" i="13"/>
  <c r="E85" i="13"/>
  <c r="D85" i="13"/>
  <c r="E84" i="13"/>
  <c r="D84" i="13"/>
  <c r="E83" i="13"/>
  <c r="D83" i="13"/>
  <c r="E82" i="13"/>
  <c r="D82" i="13"/>
  <c r="E80" i="13"/>
  <c r="D80" i="13"/>
  <c r="E78" i="13"/>
  <c r="D78" i="13"/>
  <c r="E77" i="13"/>
  <c r="D77" i="13"/>
  <c r="E76" i="13"/>
  <c r="D76" i="13"/>
  <c r="E75" i="13"/>
  <c r="D75" i="13"/>
  <c r="E74" i="13"/>
  <c r="D74" i="13"/>
  <c r="E73" i="13"/>
  <c r="D73" i="13"/>
  <c r="E71" i="13"/>
  <c r="D71" i="13"/>
  <c r="E68" i="13"/>
  <c r="D68" i="13"/>
  <c r="E67" i="13"/>
  <c r="D67" i="13"/>
  <c r="E66" i="13"/>
  <c r="D66" i="13"/>
  <c r="E65" i="13"/>
  <c r="D65" i="13"/>
  <c r="E64" i="13"/>
  <c r="D64" i="13"/>
  <c r="E63" i="13"/>
  <c r="D63" i="13"/>
  <c r="E62" i="13"/>
  <c r="D62" i="13"/>
  <c r="E61" i="13"/>
  <c r="D61" i="13"/>
  <c r="E60" i="13"/>
  <c r="D60" i="13"/>
  <c r="E59" i="13"/>
  <c r="D59" i="13"/>
  <c r="E58" i="13"/>
  <c r="D58" i="13"/>
  <c r="E57" i="13"/>
  <c r="D57" i="13"/>
  <c r="E56" i="13"/>
  <c r="D56" i="13"/>
  <c r="E53" i="13"/>
  <c r="D53" i="13"/>
  <c r="E52" i="13"/>
  <c r="D52" i="13"/>
  <c r="E51" i="13"/>
  <c r="D51" i="13"/>
  <c r="E50" i="13"/>
  <c r="D50" i="13"/>
  <c r="E49" i="13"/>
  <c r="D49" i="13"/>
  <c r="E48" i="13"/>
  <c r="D48" i="13"/>
  <c r="E47" i="13"/>
  <c r="D47" i="13"/>
  <c r="E44" i="13"/>
  <c r="D44" i="13"/>
  <c r="E43" i="13"/>
  <c r="D43" i="13"/>
  <c r="E42" i="13"/>
  <c r="D42" i="13"/>
  <c r="E41" i="13"/>
  <c r="D41" i="13"/>
  <c r="E40" i="13"/>
  <c r="D40" i="13"/>
  <c r="E39" i="13"/>
  <c r="D39" i="13"/>
  <c r="E37" i="13"/>
  <c r="D37" i="13"/>
  <c r="E36" i="13"/>
  <c r="D36" i="13"/>
  <c r="E35" i="13"/>
  <c r="D35" i="13"/>
  <c r="E34" i="13"/>
  <c r="D34" i="13"/>
  <c r="E33" i="13"/>
  <c r="D33" i="13"/>
  <c r="E29" i="13"/>
  <c r="E31" i="13" s="1"/>
  <c r="D29" i="13"/>
  <c r="D31" i="13" s="1"/>
  <c r="E31" i="14"/>
  <c r="D31" i="14"/>
  <c r="E28" i="14"/>
  <c r="D28" i="14"/>
  <c r="E27" i="14"/>
  <c r="D27" i="14"/>
  <c r="E26" i="14"/>
  <c r="D26" i="14"/>
  <c r="E23" i="14"/>
  <c r="D23" i="14"/>
  <c r="E22" i="14"/>
  <c r="D22" i="14"/>
  <c r="E21" i="14"/>
  <c r="D21" i="14"/>
  <c r="E20" i="14"/>
  <c r="D20" i="14"/>
  <c r="E19" i="14"/>
  <c r="D19" i="14"/>
  <c r="E18" i="14"/>
  <c r="D18" i="14"/>
  <c r="E17" i="14"/>
  <c r="D17" i="14"/>
  <c r="E16" i="14"/>
  <c r="D16" i="14"/>
  <c r="E15" i="14"/>
  <c r="D15" i="14"/>
  <c r="E14" i="14"/>
  <c r="D14" i="14"/>
  <c r="E13" i="14"/>
  <c r="D13" i="14"/>
  <c r="E12" i="14"/>
  <c r="D12" i="14"/>
  <c r="E11" i="14"/>
  <c r="D11" i="14"/>
  <c r="E10" i="14"/>
  <c r="D10" i="14"/>
  <c r="E7" i="14"/>
  <c r="D7" i="14"/>
  <c r="E6" i="14"/>
  <c r="D6" i="14"/>
  <c r="D28" i="13"/>
  <c r="D25" i="13"/>
  <c r="D24" i="13"/>
  <c r="D23" i="13"/>
  <c r="E28" i="13"/>
  <c r="E25" i="13"/>
  <c r="E24" i="13"/>
  <c r="E23" i="13"/>
  <c r="E20" i="13"/>
  <c r="D20" i="13"/>
  <c r="E19" i="13"/>
  <c r="D19" i="13"/>
  <c r="E18" i="13"/>
  <c r="D18" i="13"/>
  <c r="E17" i="13"/>
  <c r="D17" i="13"/>
  <c r="E16" i="13"/>
  <c r="D16" i="13"/>
  <c r="E15" i="13"/>
  <c r="D15" i="13"/>
  <c r="E14" i="13"/>
  <c r="D14" i="13"/>
  <c r="E13" i="13"/>
  <c r="D13" i="13"/>
  <c r="E12" i="13"/>
  <c r="D12" i="13"/>
  <c r="E8" i="13"/>
  <c r="D8" i="13"/>
  <c r="E7" i="13"/>
  <c r="D7" i="13"/>
  <c r="E6" i="13"/>
  <c r="D6" i="13"/>
  <c r="E11" i="12"/>
  <c r="E10" i="12"/>
  <c r="E9" i="12"/>
  <c r="E8" i="12"/>
  <c r="E7" i="12"/>
  <c r="E6" i="12"/>
  <c r="D26" i="12"/>
  <c r="D25" i="12"/>
  <c r="D22" i="12"/>
  <c r="D21" i="12"/>
  <c r="D20" i="12"/>
  <c r="D19" i="12"/>
  <c r="D18" i="12"/>
  <c r="D17" i="12"/>
  <c r="D16" i="12"/>
  <c r="D11" i="12"/>
  <c r="D10" i="12"/>
  <c r="D9" i="12"/>
  <c r="D8" i="12"/>
  <c r="D7" i="12"/>
  <c r="D6" i="12"/>
  <c r="E26" i="12"/>
  <c r="E25" i="12"/>
  <c r="E22" i="12"/>
  <c r="E21" i="12"/>
  <c r="E20" i="12"/>
  <c r="E19" i="12"/>
  <c r="E18" i="12"/>
  <c r="E17" i="12"/>
  <c r="E16" i="12"/>
  <c r="E17" i="4"/>
  <c r="D17" i="4"/>
  <c r="E16" i="4"/>
  <c r="D16" i="4"/>
  <c r="E15" i="4"/>
  <c r="D15" i="4"/>
  <c r="E14" i="4"/>
  <c r="D14" i="4"/>
  <c r="E13" i="4"/>
  <c r="D13" i="4"/>
  <c r="E12" i="4"/>
  <c r="D12" i="4"/>
  <c r="G75" i="15"/>
  <c r="F75" i="15"/>
  <c r="G73" i="15"/>
  <c r="G71" i="15" s="1"/>
  <c r="F73" i="15"/>
  <c r="F71" i="15" s="1"/>
  <c r="G64" i="15"/>
  <c r="F64" i="15"/>
  <c r="G63" i="15"/>
  <c r="F63" i="15"/>
  <c r="G62" i="15"/>
  <c r="F62" i="15"/>
  <c r="G61" i="15"/>
  <c r="F61" i="15"/>
  <c r="G60" i="15"/>
  <c r="F60" i="15"/>
  <c r="G58" i="15"/>
  <c r="F58" i="15"/>
  <c r="G56" i="15"/>
  <c r="F56" i="15"/>
  <c r="G55" i="15"/>
  <c r="F55" i="15"/>
  <c r="G54" i="15"/>
  <c r="F54" i="15"/>
  <c r="G53" i="15"/>
  <c r="F53" i="15"/>
  <c r="G52" i="15"/>
  <c r="F52" i="15"/>
  <c r="G51" i="15"/>
  <c r="F51" i="15"/>
  <c r="G49" i="15"/>
  <c r="F49" i="15"/>
  <c r="G46" i="15"/>
  <c r="F46" i="15"/>
  <c r="G45" i="15"/>
  <c r="F45" i="15"/>
  <c r="G44" i="15"/>
  <c r="F44" i="15"/>
  <c r="G43" i="15"/>
  <c r="F43" i="15"/>
  <c r="G42" i="15"/>
  <c r="F42" i="15"/>
  <c r="G41" i="15"/>
  <c r="F41" i="15"/>
  <c r="G40" i="15"/>
  <c r="F40" i="15"/>
  <c r="G39" i="15"/>
  <c r="F39" i="15"/>
  <c r="G38" i="15"/>
  <c r="F38" i="15"/>
  <c r="G37" i="15"/>
  <c r="F37" i="15"/>
  <c r="G36" i="15"/>
  <c r="F36" i="15"/>
  <c r="G35" i="15"/>
  <c r="F35" i="15"/>
  <c r="G34" i="15"/>
  <c r="F34" i="15"/>
  <c r="G31" i="15"/>
  <c r="F31" i="15"/>
  <c r="G30" i="15"/>
  <c r="F30" i="15"/>
  <c r="G29" i="15"/>
  <c r="F29" i="15"/>
  <c r="G28" i="15"/>
  <c r="F28" i="15"/>
  <c r="G27" i="15"/>
  <c r="F27" i="15"/>
  <c r="G26" i="15"/>
  <c r="F26" i="15"/>
  <c r="G25" i="15"/>
  <c r="F25" i="15"/>
  <c r="G22" i="15"/>
  <c r="F22" i="15"/>
  <c r="G21" i="15"/>
  <c r="F21" i="15"/>
  <c r="G20" i="15"/>
  <c r="F20" i="15"/>
  <c r="G19" i="15"/>
  <c r="F19" i="15"/>
  <c r="G18" i="15"/>
  <c r="F18" i="15"/>
  <c r="G17" i="15"/>
  <c r="F17" i="15"/>
  <c r="G15" i="15"/>
  <c r="F15" i="15"/>
  <c r="G14" i="15"/>
  <c r="F14" i="15"/>
  <c r="G13" i="15"/>
  <c r="F13" i="15"/>
  <c r="G12" i="15"/>
  <c r="F12" i="15"/>
  <c r="G11" i="15"/>
  <c r="F11" i="15"/>
  <c r="G8" i="15"/>
  <c r="G9" i="15" s="1"/>
  <c r="F8" i="15"/>
  <c r="F9" i="15" s="1"/>
  <c r="G6" i="15"/>
  <c r="F6" i="15"/>
  <c r="E90" i="12"/>
  <c r="D90" i="12"/>
  <c r="E83" i="12"/>
  <c r="D83" i="12"/>
  <c r="E82" i="12"/>
  <c r="D82" i="12"/>
  <c r="E81" i="12"/>
  <c r="D81" i="12"/>
  <c r="E80" i="12"/>
  <c r="D80" i="12"/>
  <c r="E79" i="12"/>
  <c r="D79" i="12"/>
  <c r="E77" i="12"/>
  <c r="D77" i="12"/>
  <c r="E75" i="12"/>
  <c r="D75" i="12"/>
  <c r="E74" i="12"/>
  <c r="D74" i="12"/>
  <c r="E73" i="12"/>
  <c r="D73" i="12"/>
  <c r="E72" i="12"/>
  <c r="D72" i="12"/>
  <c r="E71" i="12"/>
  <c r="D71" i="12"/>
  <c r="E70" i="12"/>
  <c r="D70" i="12"/>
  <c r="E68" i="12"/>
  <c r="D68" i="12"/>
  <c r="E65" i="12"/>
  <c r="D65" i="12"/>
  <c r="E64" i="12"/>
  <c r="D64" i="12"/>
  <c r="E63" i="12"/>
  <c r="D63" i="12"/>
  <c r="E62" i="12"/>
  <c r="D62" i="12"/>
  <c r="E61" i="12"/>
  <c r="D61" i="12"/>
  <c r="E60" i="12"/>
  <c r="D60" i="12"/>
  <c r="E59" i="12"/>
  <c r="D59" i="12"/>
  <c r="E58" i="12"/>
  <c r="D58" i="12"/>
  <c r="E57" i="12"/>
  <c r="D57" i="12"/>
  <c r="E56" i="12"/>
  <c r="D56" i="12"/>
  <c r="E55" i="12"/>
  <c r="D55" i="12"/>
  <c r="E54" i="12"/>
  <c r="D54" i="12"/>
  <c r="E53" i="12"/>
  <c r="D53" i="12"/>
  <c r="E50" i="12"/>
  <c r="D50" i="12"/>
  <c r="E49" i="12"/>
  <c r="D49" i="12"/>
  <c r="E48" i="12"/>
  <c r="D48" i="12"/>
  <c r="E47" i="12"/>
  <c r="D47" i="12"/>
  <c r="E46" i="12"/>
  <c r="D46" i="12"/>
  <c r="E45" i="12"/>
  <c r="D45" i="12"/>
  <c r="E44" i="12"/>
  <c r="D44" i="12"/>
  <c r="E41" i="12"/>
  <c r="D41" i="12"/>
  <c r="E40" i="12"/>
  <c r="D40" i="12"/>
  <c r="E39" i="12"/>
  <c r="D39" i="12"/>
  <c r="E38" i="12"/>
  <c r="D38" i="12"/>
  <c r="E37" i="12"/>
  <c r="D37" i="12"/>
  <c r="E36" i="12"/>
  <c r="D36" i="12"/>
  <c r="E34" i="12"/>
  <c r="D34" i="12"/>
  <c r="E33" i="12"/>
  <c r="D33" i="12"/>
  <c r="E32" i="12"/>
  <c r="D32" i="12"/>
  <c r="E31" i="12"/>
  <c r="D31" i="12"/>
  <c r="E30" i="12"/>
  <c r="D30" i="12"/>
  <c r="E14" i="12"/>
  <c r="D14" i="12"/>
  <c r="E83" i="4"/>
  <c r="D83" i="4"/>
  <c r="E76" i="4"/>
  <c r="D76" i="4"/>
  <c r="E75" i="4"/>
  <c r="D75" i="4"/>
  <c r="E74" i="4"/>
  <c r="D74" i="4"/>
  <c r="E73" i="4"/>
  <c r="D73" i="4"/>
  <c r="E72" i="4"/>
  <c r="D72" i="4"/>
  <c r="E70" i="4"/>
  <c r="D70" i="4"/>
  <c r="E68" i="4"/>
  <c r="D68" i="4"/>
  <c r="E67" i="4"/>
  <c r="D67" i="4"/>
  <c r="E66" i="4"/>
  <c r="D66" i="4"/>
  <c r="E65" i="4"/>
  <c r="D65" i="4"/>
  <c r="E64" i="4"/>
  <c r="D64" i="4"/>
  <c r="E63" i="4"/>
  <c r="D63" i="4"/>
  <c r="E61" i="4"/>
  <c r="D61" i="4"/>
  <c r="E58" i="4"/>
  <c r="D58" i="4"/>
  <c r="E57" i="4"/>
  <c r="D57" i="4"/>
  <c r="E56" i="4"/>
  <c r="D56" i="4"/>
  <c r="E55" i="4"/>
  <c r="D55" i="4"/>
  <c r="E54" i="4"/>
  <c r="D54" i="4"/>
  <c r="E53" i="4"/>
  <c r="D53" i="4"/>
  <c r="E52" i="4"/>
  <c r="D52" i="4"/>
  <c r="E51" i="4"/>
  <c r="D51" i="4"/>
  <c r="E50" i="4"/>
  <c r="D50" i="4"/>
  <c r="E49" i="4"/>
  <c r="D49" i="4"/>
  <c r="E48" i="4"/>
  <c r="D48" i="4"/>
  <c r="E47" i="4"/>
  <c r="D47" i="4"/>
  <c r="E46" i="4"/>
  <c r="D46" i="4"/>
  <c r="E43" i="4"/>
  <c r="D43" i="4"/>
  <c r="E42" i="4"/>
  <c r="D42" i="4"/>
  <c r="E41" i="4"/>
  <c r="D41" i="4"/>
  <c r="E40" i="4"/>
  <c r="D40" i="4"/>
  <c r="E39" i="4"/>
  <c r="D39" i="4"/>
  <c r="E38" i="4"/>
  <c r="D38" i="4"/>
  <c r="E37" i="4"/>
  <c r="D37" i="4"/>
  <c r="E34" i="4"/>
  <c r="D34" i="4"/>
  <c r="E33" i="4"/>
  <c r="D33" i="4"/>
  <c r="E32" i="4"/>
  <c r="D32" i="4"/>
  <c r="E31" i="4"/>
  <c r="D31" i="4"/>
  <c r="E30" i="4"/>
  <c r="D30" i="4"/>
  <c r="E29" i="4"/>
  <c r="D29" i="4"/>
  <c r="E27" i="4"/>
  <c r="D27" i="4"/>
  <c r="E26" i="4"/>
  <c r="D26" i="4"/>
  <c r="E25" i="4"/>
  <c r="D25" i="4"/>
  <c r="E24" i="4"/>
  <c r="D24" i="4"/>
  <c r="E23" i="4"/>
  <c r="D23" i="4"/>
  <c r="E9" i="4"/>
  <c r="D9" i="4"/>
  <c r="E8" i="4"/>
  <c r="D8" i="4"/>
  <c r="E7" i="4"/>
  <c r="D7" i="4"/>
  <c r="E6" i="4"/>
  <c r="D6" i="4"/>
  <c r="AC72" i="12" l="1"/>
  <c r="AC66" i="12"/>
  <c r="AC61" i="12"/>
  <c r="AC58" i="12"/>
  <c r="AB55" i="12"/>
  <c r="Z69" i="12"/>
  <c r="AC48" i="12"/>
  <c r="Z52" i="12"/>
  <c r="Z42" i="12"/>
  <c r="AC75" i="4"/>
  <c r="AC73" i="4"/>
  <c r="AC70" i="4"/>
  <c r="Z71" i="4"/>
  <c r="Z77" i="4" s="1"/>
  <c r="AC60" i="4"/>
  <c r="AC59" i="4"/>
  <c r="AC58" i="4"/>
  <c r="AC54" i="4"/>
  <c r="AC47" i="4"/>
  <c r="AC42" i="4"/>
  <c r="AC34" i="4"/>
  <c r="AB30" i="4"/>
  <c r="AC9" i="4"/>
  <c r="AC8" i="4"/>
  <c r="AC6" i="4"/>
  <c r="K70" i="1"/>
  <c r="K61" i="1"/>
  <c r="K59" i="1"/>
  <c r="K55" i="1"/>
  <c r="AC80" i="14"/>
  <c r="J54" i="1"/>
  <c r="J52" i="1"/>
  <c r="B84" i="14"/>
  <c r="B90" i="14" s="1"/>
  <c r="AC74" i="14"/>
  <c r="AC71" i="14"/>
  <c r="AC67" i="14"/>
  <c r="J41" i="1"/>
  <c r="C75" i="14"/>
  <c r="AC59" i="14"/>
  <c r="K25" i="1"/>
  <c r="B58" i="14"/>
  <c r="AB45" i="14"/>
  <c r="AC44" i="14"/>
  <c r="AC39" i="14"/>
  <c r="AC38" i="14"/>
  <c r="AB93" i="13"/>
  <c r="I63" i="1"/>
  <c r="I61" i="1"/>
  <c r="AC78" i="13"/>
  <c r="AC77" i="13"/>
  <c r="I52" i="1"/>
  <c r="AB75" i="13"/>
  <c r="C81" i="13"/>
  <c r="C87" i="13" s="1"/>
  <c r="I50" i="1"/>
  <c r="B81" i="13"/>
  <c r="B87" i="13" s="1"/>
  <c r="I48" i="1"/>
  <c r="AC68" i="13"/>
  <c r="I42" i="1"/>
  <c r="H41" i="1"/>
  <c r="I39" i="1"/>
  <c r="AC61" i="13"/>
  <c r="H35" i="1"/>
  <c r="AC49" i="13"/>
  <c r="C55" i="13"/>
  <c r="AB43" i="13"/>
  <c r="AC36" i="13"/>
  <c r="AB36" i="13"/>
  <c r="AC35" i="13"/>
  <c r="AB35" i="13"/>
  <c r="I10" i="1"/>
  <c r="H10" i="1"/>
  <c r="H8" i="1"/>
  <c r="AC28" i="14"/>
  <c r="AB27" i="14"/>
  <c r="AC21" i="14"/>
  <c r="AC20" i="14"/>
  <c r="AC17" i="14"/>
  <c r="AB17" i="14"/>
  <c r="AC16" i="14"/>
  <c r="AC12" i="14"/>
  <c r="AC11" i="14"/>
  <c r="AB11" i="14"/>
  <c r="C25" i="14"/>
  <c r="C29" i="14" s="1"/>
  <c r="AB25" i="13"/>
  <c r="AC25" i="13"/>
  <c r="AB20" i="13"/>
  <c r="AC19" i="13"/>
  <c r="AC16" i="13"/>
  <c r="AB16" i="13"/>
  <c r="AC14" i="13"/>
  <c r="AB14" i="13"/>
  <c r="AC13" i="13"/>
  <c r="AC6" i="13"/>
  <c r="AC10" i="12"/>
  <c r="AC9" i="12"/>
  <c r="AB22" i="12"/>
  <c r="AB18" i="12"/>
  <c r="AB16" i="12"/>
  <c r="B13" i="12"/>
  <c r="AB8" i="12"/>
  <c r="AC25" i="12"/>
  <c r="AC14" i="4"/>
  <c r="AB14" i="4"/>
  <c r="AC13" i="4"/>
  <c r="C70" i="1"/>
  <c r="B59" i="15"/>
  <c r="B23" i="15"/>
  <c r="AS6" i="15"/>
  <c r="B5" i="1"/>
  <c r="G63" i="1"/>
  <c r="G61" i="1"/>
  <c r="G59" i="1"/>
  <c r="G55" i="1"/>
  <c r="AB75" i="12"/>
  <c r="AB74" i="12"/>
  <c r="G53" i="1"/>
  <c r="AB71" i="12"/>
  <c r="G48" i="1"/>
  <c r="AB68" i="12"/>
  <c r="G45" i="1"/>
  <c r="F43" i="1"/>
  <c r="G42" i="1"/>
  <c r="AB61" i="12"/>
  <c r="G40" i="1"/>
  <c r="AC56" i="12"/>
  <c r="B69" i="12"/>
  <c r="G30" i="1"/>
  <c r="F28" i="1"/>
  <c r="G26" i="1"/>
  <c r="F16" i="1"/>
  <c r="F12" i="1"/>
  <c r="E70" i="1"/>
  <c r="AB83" i="4"/>
  <c r="E63" i="1"/>
  <c r="E61" i="1"/>
  <c r="E60" i="1"/>
  <c r="AC72" i="4"/>
  <c r="E57" i="1"/>
  <c r="AC68" i="4"/>
  <c r="D55" i="1"/>
  <c r="D54" i="1"/>
  <c r="E53" i="1"/>
  <c r="D53" i="1"/>
  <c r="E52" i="1"/>
  <c r="C71" i="4"/>
  <c r="C77" i="4" s="1"/>
  <c r="AB64" i="4"/>
  <c r="D43" i="1"/>
  <c r="E42" i="1"/>
  <c r="E40" i="1"/>
  <c r="E38" i="1"/>
  <c r="AB51" i="4"/>
  <c r="D35" i="1"/>
  <c r="E34" i="1"/>
  <c r="B62" i="4"/>
  <c r="E28" i="1"/>
  <c r="D28" i="1"/>
  <c r="D27" i="1"/>
  <c r="E26" i="1"/>
  <c r="B45" i="4"/>
  <c r="D21" i="1"/>
  <c r="E20" i="1"/>
  <c r="D20" i="1"/>
  <c r="AC31" i="4"/>
  <c r="AB29" i="4"/>
  <c r="E13" i="1"/>
  <c r="D12" i="1"/>
  <c r="C35" i="4"/>
  <c r="D10" i="1"/>
  <c r="E5" i="1"/>
  <c r="AC85" i="14"/>
  <c r="AB85" i="14"/>
  <c r="AB81" i="14"/>
  <c r="AB79" i="14"/>
  <c r="AB74" i="14"/>
  <c r="J38" i="1"/>
  <c r="G75" i="14"/>
  <c r="F58" i="14"/>
  <c r="AB46" i="14"/>
  <c r="J18" i="1"/>
  <c r="AB39" i="14"/>
  <c r="AB77" i="13"/>
  <c r="G81" i="13"/>
  <c r="G87" i="13" s="1"/>
  <c r="AB64" i="13"/>
  <c r="G72" i="13"/>
  <c r="F72" i="13"/>
  <c r="F55" i="13"/>
  <c r="AB44" i="13"/>
  <c r="F24" i="14"/>
  <c r="F25" i="14"/>
  <c r="F29" i="14" s="1"/>
  <c r="AB25" i="12"/>
  <c r="F23" i="12"/>
  <c r="F28" i="12" s="1"/>
  <c r="AC16" i="4"/>
  <c r="F19" i="4"/>
  <c r="K50" i="15"/>
  <c r="M50" i="15" s="1"/>
  <c r="L20" i="15"/>
  <c r="AC75" i="12"/>
  <c r="F52" i="1"/>
  <c r="AB41" i="12"/>
  <c r="F14" i="1"/>
  <c r="AC67" i="4"/>
  <c r="AB67" i="4"/>
  <c r="D41" i="1"/>
  <c r="F62" i="4"/>
  <c r="F35" i="4"/>
  <c r="G35" i="4"/>
  <c r="AC7" i="13"/>
  <c r="T25" i="14"/>
  <c r="T29" i="14" s="1"/>
  <c r="AJ29" i="15"/>
  <c r="AC66" i="13"/>
  <c r="AK35" i="15"/>
  <c r="AK29" i="15"/>
  <c r="AC38" i="13"/>
  <c r="AJ16" i="15"/>
  <c r="T22" i="13"/>
  <c r="T26" i="13" s="1"/>
  <c r="U31" i="13"/>
  <c r="T31" i="13"/>
  <c r="U21" i="13"/>
  <c r="AK61" i="15"/>
  <c r="U84" i="14"/>
  <c r="U90" i="14" s="1"/>
  <c r="U75" i="14"/>
  <c r="AK31" i="15"/>
  <c r="AK64" i="15"/>
  <c r="AK37" i="15"/>
  <c r="AK30" i="15"/>
  <c r="AK63" i="15"/>
  <c r="U78" i="12"/>
  <c r="U84" i="12" s="1"/>
  <c r="AK45" i="15"/>
  <c r="AK43" i="15"/>
  <c r="AK38" i="15"/>
  <c r="AJ34" i="15"/>
  <c r="AK21" i="15"/>
  <c r="AJ21" i="15"/>
  <c r="AK20" i="15"/>
  <c r="AK19" i="15"/>
  <c r="AJ17" i="15"/>
  <c r="AK15" i="15"/>
  <c r="AK14" i="15"/>
  <c r="AK13" i="15"/>
  <c r="U42" i="12"/>
  <c r="AJ12" i="15"/>
  <c r="U23" i="12"/>
  <c r="AC14" i="12"/>
  <c r="AH44" i="15"/>
  <c r="AH36" i="15"/>
  <c r="R48" i="14"/>
  <c r="AB23" i="14"/>
  <c r="AB20" i="14"/>
  <c r="AB15" i="14"/>
  <c r="AC13" i="14"/>
  <c r="AB13" i="14"/>
  <c r="R25" i="14"/>
  <c r="R29" i="14" s="1"/>
  <c r="AB50" i="13"/>
  <c r="AI35" i="15"/>
  <c r="AB40" i="13"/>
  <c r="S45" i="13"/>
  <c r="AB37" i="13"/>
  <c r="AC23" i="13"/>
  <c r="AB23" i="13"/>
  <c r="S22" i="13"/>
  <c r="S26" i="13" s="1"/>
  <c r="R31" i="13"/>
  <c r="S21" i="13"/>
  <c r="AB15" i="13"/>
  <c r="AI37" i="15"/>
  <c r="AC54" i="13"/>
  <c r="AC48" i="13"/>
  <c r="AC80" i="12"/>
  <c r="AC67" i="12"/>
  <c r="AI41" i="15"/>
  <c r="AI45" i="15"/>
  <c r="AI43" i="15"/>
  <c r="AI19" i="15"/>
  <c r="AH18" i="15"/>
  <c r="AH17" i="15"/>
  <c r="AI15" i="15"/>
  <c r="AI13" i="15"/>
  <c r="AI11" i="15"/>
  <c r="AB19" i="12"/>
  <c r="S23" i="12"/>
  <c r="S28" i="12" s="1"/>
  <c r="AC56" i="4"/>
  <c r="AH21" i="15"/>
  <c r="AH19" i="15"/>
  <c r="AH14" i="15"/>
  <c r="AB25" i="4"/>
  <c r="R35" i="4"/>
  <c r="AB17" i="4"/>
  <c r="AB13" i="4"/>
  <c r="R10" i="4"/>
  <c r="AB6" i="4"/>
  <c r="R16" i="16"/>
  <c r="R18" i="16" s="1"/>
  <c r="R20" i="16" s="1"/>
  <c r="R22" i="16" s="1"/>
  <c r="R24" i="16" s="1"/>
  <c r="S3" i="16"/>
  <c r="S3" i="14"/>
  <c r="S3" i="13"/>
  <c r="S3" i="12"/>
  <c r="S3" i="4"/>
  <c r="J48" i="14"/>
  <c r="K81" i="13"/>
  <c r="K87" i="13" s="1"/>
  <c r="K72" i="13"/>
  <c r="K45" i="13"/>
  <c r="J45" i="13"/>
  <c r="J69" i="12"/>
  <c r="K52" i="12"/>
  <c r="J52" i="12"/>
  <c r="K42" i="12"/>
  <c r="J42" i="12"/>
  <c r="K23" i="12"/>
  <c r="K28" i="12" s="1"/>
  <c r="J23" i="12"/>
  <c r="J28" i="12" s="1"/>
  <c r="AE61" i="15"/>
  <c r="AG61" i="15" s="1"/>
  <c r="U58" i="15"/>
  <c r="U47" i="15"/>
  <c r="U45" i="15"/>
  <c r="U31" i="15"/>
  <c r="S33" i="15"/>
  <c r="U21" i="15"/>
  <c r="AE14" i="15"/>
  <c r="AG14" i="15" s="1"/>
  <c r="S23" i="15"/>
  <c r="U23" i="15" s="1"/>
  <c r="U44" i="15"/>
  <c r="AB65" i="4"/>
  <c r="E51" i="1"/>
  <c r="J71" i="4"/>
  <c r="J77" i="4" s="1"/>
  <c r="E46" i="1"/>
  <c r="E30" i="1"/>
  <c r="K45" i="4"/>
  <c r="J45" i="4"/>
  <c r="J35" i="4"/>
  <c r="J19" i="4"/>
  <c r="K10" i="4"/>
  <c r="J10" i="4"/>
  <c r="K25" i="14"/>
  <c r="K29" i="14" s="1"/>
  <c r="J25" i="14"/>
  <c r="J29" i="14" s="1"/>
  <c r="AC15" i="13"/>
  <c r="J21" i="13"/>
  <c r="K22" i="13"/>
  <c r="K26" i="13" s="1"/>
  <c r="J22" i="13"/>
  <c r="J26" i="13" s="1"/>
  <c r="K13" i="12"/>
  <c r="G13" i="12"/>
  <c r="I13" i="12"/>
  <c r="O13" i="12"/>
  <c r="J13" i="12"/>
  <c r="Q3" i="14"/>
  <c r="K46" i="1"/>
  <c r="J43" i="1"/>
  <c r="H58" i="14"/>
  <c r="K15" i="1"/>
  <c r="AB82" i="13"/>
  <c r="H52" i="1"/>
  <c r="I81" i="13"/>
  <c r="H81" i="13"/>
  <c r="H87" i="13" s="1"/>
  <c r="Q3" i="13"/>
  <c r="AB61" i="13"/>
  <c r="AC52" i="13"/>
  <c r="H55" i="13"/>
  <c r="H45" i="13"/>
  <c r="AB29" i="13"/>
  <c r="H78" i="12"/>
  <c r="H84" i="12" s="1"/>
  <c r="Q3" i="12"/>
  <c r="P64" i="15"/>
  <c r="Q62" i="15"/>
  <c r="P62" i="15"/>
  <c r="Q57" i="15"/>
  <c r="P57" i="15"/>
  <c r="Q51" i="15"/>
  <c r="Q48" i="15"/>
  <c r="P48" i="15"/>
  <c r="P46" i="15"/>
  <c r="AE44" i="15"/>
  <c r="AE40" i="15"/>
  <c r="AG40" i="15" s="1"/>
  <c r="P40" i="15"/>
  <c r="AE38" i="15"/>
  <c r="AG38" i="15" s="1"/>
  <c r="P38" i="15"/>
  <c r="P36" i="15"/>
  <c r="Q30" i="15"/>
  <c r="P30" i="15"/>
  <c r="P28" i="15"/>
  <c r="AD22" i="15"/>
  <c r="AF22" i="15" s="1"/>
  <c r="Q20" i="15"/>
  <c r="AE18" i="15"/>
  <c r="AG18" i="15" s="1"/>
  <c r="P18" i="15"/>
  <c r="P15" i="15"/>
  <c r="P13" i="15"/>
  <c r="P11" i="15"/>
  <c r="AB15" i="4"/>
  <c r="I25" i="14"/>
  <c r="I29" i="14" s="1"/>
  <c r="H25" i="14"/>
  <c r="H29" i="14" s="1"/>
  <c r="H13" i="12"/>
  <c r="V84" i="14"/>
  <c r="V90" i="14" s="1"/>
  <c r="AC73" i="14"/>
  <c r="W75" i="14"/>
  <c r="V75" i="14"/>
  <c r="V58" i="14"/>
  <c r="V48" i="14"/>
  <c r="W81" i="13"/>
  <c r="W87" i="13" s="1"/>
  <c r="V81" i="13"/>
  <c r="V87" i="13" s="1"/>
  <c r="AB58" i="13"/>
  <c r="W55" i="13"/>
  <c r="V55" i="13"/>
  <c r="V45" i="13"/>
  <c r="W78" i="12"/>
  <c r="W84" i="12" s="1"/>
  <c r="V78" i="12"/>
  <c r="V84" i="12" s="1"/>
  <c r="V69" i="12"/>
  <c r="V52" i="12"/>
  <c r="V42" i="12"/>
  <c r="V23" i="12"/>
  <c r="V28" i="12" s="1"/>
  <c r="W69" i="12"/>
  <c r="W42" i="12"/>
  <c r="V24" i="14"/>
  <c r="V25" i="14"/>
  <c r="V29" i="14" s="1"/>
  <c r="V31" i="13"/>
  <c r="V21" i="13"/>
  <c r="W22" i="13"/>
  <c r="W26" i="13" s="1"/>
  <c r="V22" i="13"/>
  <c r="V26" i="13" s="1"/>
  <c r="AC18" i="12"/>
  <c r="V13" i="12"/>
  <c r="AL59" i="15"/>
  <c r="AL65" i="15" s="1"/>
  <c r="AL50" i="15"/>
  <c r="AM33" i="15"/>
  <c r="AL33" i="15"/>
  <c r="AL23" i="15"/>
  <c r="W71" i="4"/>
  <c r="W77" i="4" s="1"/>
  <c r="V71" i="4"/>
  <c r="V77" i="4" s="1"/>
  <c r="AB46" i="4"/>
  <c r="V45" i="4"/>
  <c r="AC28" i="4"/>
  <c r="AB28" i="4"/>
  <c r="V35" i="4"/>
  <c r="V19" i="4"/>
  <c r="W10" i="4"/>
  <c r="V10" i="4"/>
  <c r="AM87" i="15"/>
  <c r="AM83" i="15"/>
  <c r="C87" i="15"/>
  <c r="C83" i="15"/>
  <c r="AK87" i="15"/>
  <c r="AI87" i="15"/>
  <c r="AK83" i="15"/>
  <c r="AI83" i="15"/>
  <c r="AA87" i="15"/>
  <c r="AA83" i="15"/>
  <c r="O87" i="15"/>
  <c r="O83" i="15"/>
  <c r="K87" i="15"/>
  <c r="K83" i="15"/>
  <c r="AO87" i="15"/>
  <c r="AO83" i="15"/>
  <c r="AE87" i="15"/>
  <c r="AE83" i="15"/>
  <c r="S87" i="15"/>
  <c r="S83" i="15"/>
  <c r="AQ87" i="15"/>
  <c r="AQ83" i="15"/>
  <c r="G87" i="15"/>
  <c r="G83" i="15"/>
  <c r="Z84" i="14"/>
  <c r="Z90" i="14" s="1"/>
  <c r="Z75" i="14"/>
  <c r="AC47" i="14"/>
  <c r="AC27" i="14"/>
  <c r="Z10" i="4"/>
  <c r="AS69" i="15"/>
  <c r="AR69" i="15"/>
  <c r="AS67" i="15"/>
  <c r="AR67" i="15"/>
  <c r="AS24" i="15"/>
  <c r="AR24" i="15"/>
  <c r="AS10" i="15"/>
  <c r="AR10" i="15"/>
  <c r="AS7" i="15"/>
  <c r="AR7" i="15"/>
  <c r="AC94" i="14"/>
  <c r="AB94" i="14"/>
  <c r="AC92" i="14"/>
  <c r="AB92" i="14"/>
  <c r="AC49" i="14"/>
  <c r="AB49" i="14"/>
  <c r="AC35" i="14"/>
  <c r="AB35" i="14"/>
  <c r="AC33" i="14"/>
  <c r="AB33" i="14"/>
  <c r="AC30" i="14"/>
  <c r="AB30" i="14"/>
  <c r="AC9" i="14"/>
  <c r="AB9" i="14"/>
  <c r="AC8" i="14"/>
  <c r="AB8" i="14"/>
  <c r="AC91" i="13"/>
  <c r="AB91" i="13"/>
  <c r="AC89" i="13"/>
  <c r="AB89" i="13"/>
  <c r="AC46" i="13"/>
  <c r="AB46" i="13"/>
  <c r="AC32" i="13"/>
  <c r="AB32" i="13"/>
  <c r="AC30" i="13"/>
  <c r="AB30" i="13"/>
  <c r="AC27" i="13"/>
  <c r="AB27" i="13"/>
  <c r="AC11" i="13"/>
  <c r="AB11" i="13"/>
  <c r="AC10" i="13"/>
  <c r="AB10" i="13"/>
  <c r="AC9" i="13"/>
  <c r="AB9" i="13"/>
  <c r="AC88" i="12"/>
  <c r="AB88" i="12"/>
  <c r="AC86" i="12"/>
  <c r="AB86" i="12"/>
  <c r="AC43" i="12"/>
  <c r="AB43" i="12"/>
  <c r="AC29" i="12"/>
  <c r="AB29" i="12"/>
  <c r="AC27" i="12"/>
  <c r="AB27" i="12"/>
  <c r="AC24" i="12"/>
  <c r="AB24" i="12"/>
  <c r="AC15" i="12"/>
  <c r="AB15" i="12"/>
  <c r="AC81" i="4"/>
  <c r="AB81" i="4"/>
  <c r="AC79" i="4"/>
  <c r="AB79" i="4"/>
  <c r="AC36" i="4"/>
  <c r="AB36" i="4"/>
  <c r="AC22" i="4"/>
  <c r="AB22" i="4"/>
  <c r="AC20" i="4"/>
  <c r="AB20" i="4"/>
  <c r="AC18" i="4"/>
  <c r="AB18" i="4"/>
  <c r="AC11" i="4"/>
  <c r="AB11" i="4"/>
  <c r="AG87" i="15"/>
  <c r="AR86" i="15"/>
  <c r="Z13" i="12"/>
  <c r="AA12" i="12"/>
  <c r="Z12" i="12"/>
  <c r="AA13" i="12"/>
  <c r="AA24" i="14"/>
  <c r="AA58" i="14"/>
  <c r="AA81" i="13"/>
  <c r="AA87" i="13" s="1"/>
  <c r="AP33" i="15"/>
  <c r="Z22" i="13"/>
  <c r="Z26" i="13" s="1"/>
  <c r="Z45" i="13"/>
  <c r="Z78" i="12"/>
  <c r="Z84" i="12" s="1"/>
  <c r="AQ23" i="15"/>
  <c r="AA23" i="12"/>
  <c r="AA28" i="12" s="1"/>
  <c r="AA84" i="14"/>
  <c r="AA90" i="14" s="1"/>
  <c r="AA21" i="13"/>
  <c r="AA22" i="13"/>
  <c r="AA26" i="13" s="1"/>
  <c r="AA45" i="13"/>
  <c r="AA55" i="13"/>
  <c r="AA72" i="13"/>
  <c r="AQ33" i="15"/>
  <c r="Z72" i="13"/>
  <c r="AP59" i="15"/>
  <c r="AP65" i="15" s="1"/>
  <c r="AQ59" i="15"/>
  <c r="AQ65" i="15" s="1"/>
  <c r="Z24" i="14"/>
  <c r="Z58" i="14"/>
  <c r="Z21" i="13"/>
  <c r="Z55" i="13"/>
  <c r="Z81" i="13"/>
  <c r="Z87" i="13" s="1"/>
  <c r="Z23" i="12"/>
  <c r="Z28" i="12" s="1"/>
  <c r="AP23" i="15"/>
  <c r="AP50" i="15"/>
  <c r="AS75" i="15"/>
  <c r="AR75" i="15"/>
  <c r="AC90" i="12"/>
  <c r="AC68" i="12"/>
  <c r="AC22" i="12"/>
  <c r="AB11" i="12"/>
  <c r="AC8" i="12"/>
  <c r="AB7" i="12"/>
  <c r="AC93" i="13"/>
  <c r="AC42" i="13"/>
  <c r="AB42" i="13"/>
  <c r="AC12" i="13"/>
  <c r="AC96" i="14"/>
  <c r="AC45" i="14"/>
  <c r="AC10" i="14"/>
  <c r="AB10" i="14"/>
  <c r="AC35" i="12"/>
  <c r="AB35" i="12"/>
  <c r="AC44" i="13"/>
  <c r="AC81" i="12"/>
  <c r="AC38" i="12"/>
  <c r="AC65" i="4"/>
  <c r="AC75" i="13"/>
  <c r="AC64" i="13"/>
  <c r="AB39" i="13"/>
  <c r="AC78" i="14"/>
  <c r="AC72" i="14"/>
  <c r="AC36" i="14"/>
  <c r="AB24" i="13"/>
  <c r="AC40" i="14"/>
  <c r="AC125" i="12"/>
  <c r="AB125" i="12"/>
  <c r="AC124" i="12"/>
  <c r="AB124" i="12"/>
  <c r="AC123" i="12"/>
  <c r="AB123" i="12"/>
  <c r="AC122" i="12"/>
  <c r="AB122" i="12"/>
  <c r="AC121" i="12"/>
  <c r="AB121" i="12"/>
  <c r="AC120" i="12"/>
  <c r="AB120" i="12"/>
  <c r="AC119" i="12"/>
  <c r="AB119" i="12"/>
  <c r="AC118" i="12"/>
  <c r="AB118" i="12"/>
  <c r="AC117" i="12"/>
  <c r="AB117" i="12"/>
  <c r="AC116" i="12"/>
  <c r="AB116" i="12"/>
  <c r="AC115" i="12"/>
  <c r="AB115" i="12"/>
  <c r="AC114" i="12"/>
  <c r="AB114" i="12"/>
  <c r="AC113" i="12"/>
  <c r="AB113" i="12"/>
  <c r="AC112" i="12"/>
  <c r="AB112" i="12"/>
  <c r="AC111" i="12"/>
  <c r="AB111" i="12"/>
  <c r="AC110" i="12"/>
  <c r="AB110" i="12"/>
  <c r="AC109" i="12"/>
  <c r="AB109" i="12"/>
  <c r="AC108" i="12"/>
  <c r="AB108" i="12"/>
  <c r="AC107" i="12"/>
  <c r="AB107" i="12"/>
  <c r="AC106" i="12"/>
  <c r="AB106" i="12"/>
  <c r="AC105" i="12"/>
  <c r="AB105" i="12"/>
  <c r="AC104" i="12"/>
  <c r="AB104" i="12"/>
  <c r="AC103" i="12"/>
  <c r="AB103" i="12"/>
  <c r="AC102" i="12"/>
  <c r="AB102" i="12"/>
  <c r="AC101" i="12"/>
  <c r="AB101" i="12"/>
  <c r="AC100" i="12"/>
  <c r="AB100" i="12"/>
  <c r="AC99" i="12"/>
  <c r="AB99" i="12"/>
  <c r="AC98" i="12"/>
  <c r="AB98" i="12"/>
  <c r="AC97" i="12"/>
  <c r="AB97" i="12"/>
  <c r="AC96" i="12"/>
  <c r="AB96" i="12"/>
  <c r="AC94" i="12"/>
  <c r="AB94" i="12"/>
  <c r="AC92" i="12"/>
  <c r="AB92" i="12"/>
  <c r="AC125" i="13"/>
  <c r="AB125" i="13"/>
  <c r="AC124" i="13"/>
  <c r="AB124" i="13"/>
  <c r="AC123" i="13"/>
  <c r="AB123" i="13"/>
  <c r="AC122" i="13"/>
  <c r="AB122" i="13"/>
  <c r="AC121" i="13"/>
  <c r="AB121" i="13"/>
  <c r="AC120" i="13"/>
  <c r="AB120" i="13"/>
  <c r="AC119" i="13"/>
  <c r="AB119" i="13"/>
  <c r="AC118" i="13"/>
  <c r="AB118" i="13"/>
  <c r="AC117" i="13"/>
  <c r="AB117" i="13"/>
  <c r="AC116" i="13"/>
  <c r="AB116" i="13"/>
  <c r="AC115" i="13"/>
  <c r="AB115" i="13"/>
  <c r="AC114" i="13"/>
  <c r="AB114" i="13"/>
  <c r="AC113" i="13"/>
  <c r="AB113" i="13"/>
  <c r="AC112" i="13"/>
  <c r="AB112" i="13"/>
  <c r="AC111" i="13"/>
  <c r="AB111" i="13"/>
  <c r="AC110" i="13"/>
  <c r="AB110" i="13"/>
  <c r="AC109" i="13"/>
  <c r="AB109" i="13"/>
  <c r="AC108" i="13"/>
  <c r="AB108" i="13"/>
  <c r="AC107" i="13"/>
  <c r="AB107" i="13"/>
  <c r="AC106" i="13"/>
  <c r="AB106" i="13"/>
  <c r="AC105" i="13"/>
  <c r="AB105" i="13"/>
  <c r="AC104" i="13"/>
  <c r="AB104" i="13"/>
  <c r="AC103" i="13"/>
  <c r="AB103" i="13"/>
  <c r="AC102" i="13"/>
  <c r="AB102" i="13"/>
  <c r="AC101" i="13"/>
  <c r="AB101" i="13"/>
  <c r="AC100" i="13"/>
  <c r="AB100" i="13"/>
  <c r="AC99" i="13"/>
  <c r="AB99" i="13"/>
  <c r="AC97" i="13"/>
  <c r="AB97" i="13"/>
  <c r="AC95" i="13"/>
  <c r="AB95" i="13"/>
  <c r="AC125" i="14"/>
  <c r="AB125" i="14"/>
  <c r="AC124" i="14"/>
  <c r="AB124" i="14"/>
  <c r="AC123" i="14"/>
  <c r="AB123" i="14"/>
  <c r="AC122" i="14"/>
  <c r="AB122" i="14"/>
  <c r="AC121" i="14"/>
  <c r="AB121" i="14"/>
  <c r="AC120" i="14"/>
  <c r="AB120" i="14"/>
  <c r="AC119" i="14"/>
  <c r="AB119" i="14"/>
  <c r="AC118" i="14"/>
  <c r="AB118" i="14"/>
  <c r="AC117" i="14"/>
  <c r="AB117" i="14"/>
  <c r="AC116" i="14"/>
  <c r="AB116" i="14"/>
  <c r="AC115" i="14"/>
  <c r="AB115" i="14"/>
  <c r="AC114" i="14"/>
  <c r="AB114" i="14"/>
  <c r="AC113" i="14"/>
  <c r="AB113" i="14"/>
  <c r="AC112" i="14"/>
  <c r="AB112" i="14"/>
  <c r="AC111" i="14"/>
  <c r="AB111" i="14"/>
  <c r="AC110" i="14"/>
  <c r="AB110" i="14"/>
  <c r="AC109" i="14"/>
  <c r="AB109" i="14"/>
  <c r="AC108" i="14"/>
  <c r="AB108" i="14"/>
  <c r="AC107" i="14"/>
  <c r="AB107" i="14"/>
  <c r="AC106" i="14"/>
  <c r="AB106" i="14"/>
  <c r="AC105" i="14"/>
  <c r="AB105" i="14"/>
  <c r="AC104" i="14"/>
  <c r="AB104" i="14"/>
  <c r="AC103" i="14"/>
  <c r="AB103" i="14"/>
  <c r="AC102" i="14"/>
  <c r="AB102" i="14"/>
  <c r="AC100" i="14"/>
  <c r="AB100" i="14"/>
  <c r="AC98" i="14"/>
  <c r="AB98" i="14"/>
  <c r="AC125" i="4"/>
  <c r="AB125" i="4"/>
  <c r="AC124" i="4"/>
  <c r="AB124" i="4"/>
  <c r="AC123" i="4"/>
  <c r="AB123" i="4"/>
  <c r="AC122" i="4"/>
  <c r="AB122" i="4"/>
  <c r="AC121" i="4"/>
  <c r="AB121" i="4"/>
  <c r="AC120" i="4"/>
  <c r="AB120" i="4"/>
  <c r="AC119" i="4"/>
  <c r="AB119" i="4"/>
  <c r="AC118" i="4"/>
  <c r="AB118" i="4"/>
  <c r="AC117" i="4"/>
  <c r="AB117" i="4"/>
  <c r="AC116" i="4"/>
  <c r="AB116" i="4"/>
  <c r="AC115" i="4"/>
  <c r="AB115" i="4"/>
  <c r="AC114" i="4"/>
  <c r="AB114" i="4"/>
  <c r="AC113" i="4"/>
  <c r="AB113" i="4"/>
  <c r="AC112" i="4"/>
  <c r="AB112" i="4"/>
  <c r="AC111" i="4"/>
  <c r="AB111" i="4"/>
  <c r="AC110" i="4"/>
  <c r="AB110" i="4"/>
  <c r="AC109" i="4"/>
  <c r="AB109" i="4"/>
  <c r="AC108" i="4"/>
  <c r="AB108" i="4"/>
  <c r="AC107" i="4"/>
  <c r="AB107" i="4"/>
  <c r="AC106" i="4"/>
  <c r="AB106" i="4"/>
  <c r="AC105" i="4"/>
  <c r="AB105" i="4"/>
  <c r="AC104" i="4"/>
  <c r="AB104" i="4"/>
  <c r="AC103" i="4"/>
  <c r="AB103" i="4"/>
  <c r="AC102" i="4"/>
  <c r="AB102" i="4"/>
  <c r="AC101" i="4"/>
  <c r="AB101" i="4"/>
  <c r="AC100" i="4"/>
  <c r="AB100" i="4"/>
  <c r="AC99" i="4"/>
  <c r="AB99" i="4"/>
  <c r="AC98" i="4"/>
  <c r="AB98" i="4"/>
  <c r="AC97" i="4"/>
  <c r="AB97" i="4"/>
  <c r="AC96" i="4"/>
  <c r="AB96" i="4"/>
  <c r="AC95" i="4"/>
  <c r="AB95" i="4"/>
  <c r="AC94" i="4"/>
  <c r="AB94" i="4"/>
  <c r="AC93" i="4"/>
  <c r="AB93" i="4"/>
  <c r="AC92" i="4"/>
  <c r="AB92" i="4"/>
  <c r="AC91" i="4"/>
  <c r="AB91" i="4"/>
  <c r="AC90" i="4"/>
  <c r="AB90" i="4"/>
  <c r="AC89" i="4"/>
  <c r="AB89" i="4"/>
  <c r="AC87" i="4"/>
  <c r="AB87" i="4"/>
  <c r="AC85" i="4"/>
  <c r="AB85" i="4"/>
  <c r="AB1" i="12"/>
  <c r="X13" i="12"/>
  <c r="Y72" i="13"/>
  <c r="Y45" i="13"/>
  <c r="Y78" i="12"/>
  <c r="Y84" i="12" s="1"/>
  <c r="Y52" i="12"/>
  <c r="Y23" i="12"/>
  <c r="Y28" i="12" s="1"/>
  <c r="X23" i="12"/>
  <c r="X28" i="12" s="1"/>
  <c r="Y13" i="12"/>
  <c r="Y12" i="12"/>
  <c r="X12" i="12"/>
  <c r="X55" i="13"/>
  <c r="Y22" i="13"/>
  <c r="Y26" i="13" s="1"/>
  <c r="AN23" i="15"/>
  <c r="X19" i="4"/>
  <c r="X45" i="4"/>
  <c r="X22" i="13"/>
  <c r="X26" i="13" s="1"/>
  <c r="X21" i="13"/>
  <c r="X45" i="13"/>
  <c r="X72" i="13"/>
  <c r="X81" i="13"/>
  <c r="X42" i="12"/>
  <c r="X52" i="12"/>
  <c r="X69" i="12"/>
  <c r="X78" i="12"/>
  <c r="X84" i="12" s="1"/>
  <c r="X84" i="14"/>
  <c r="X90" i="14" s="1"/>
  <c r="Y75" i="14"/>
  <c r="Y62" i="4"/>
  <c r="AN50" i="15"/>
  <c r="X10" i="4"/>
  <c r="X24" i="14"/>
  <c r="X58" i="14"/>
  <c r="Y35" i="4"/>
  <c r="Y10" i="4"/>
  <c r="Y19" i="4"/>
  <c r="Y45" i="4"/>
  <c r="Y71" i="4"/>
  <c r="Y77" i="4" s="1"/>
  <c r="Y25" i="14"/>
  <c r="Y29" i="14" s="1"/>
  <c r="Y24" i="14"/>
  <c r="Y48" i="14"/>
  <c r="Y84" i="14"/>
  <c r="Y90" i="14" s="1"/>
  <c r="Y58" i="14"/>
  <c r="Y21" i="13"/>
  <c r="Y55" i="13"/>
  <c r="Y81" i="13"/>
  <c r="Y87" i="13" s="1"/>
  <c r="Y42" i="12"/>
  <c r="Y69" i="12"/>
  <c r="AO23" i="15"/>
  <c r="AO33" i="15"/>
  <c r="AO50" i="15"/>
  <c r="AO59" i="15"/>
  <c r="AO65" i="15" s="1"/>
  <c r="X35" i="4"/>
  <c r="X62" i="4"/>
  <c r="X71" i="4"/>
  <c r="X77" i="4" s="1"/>
  <c r="X25" i="14"/>
  <c r="X48" i="14"/>
  <c r="X75" i="14"/>
  <c r="AN33" i="15"/>
  <c r="AN59" i="15"/>
  <c r="AN65" i="15" s="1"/>
  <c r="W25" i="14"/>
  <c r="W29" i="14" s="1"/>
  <c r="W24" i="14"/>
  <c r="AR82" i="15"/>
  <c r="AS81" i="15"/>
  <c r="AR81" i="15"/>
  <c r="AS79" i="15"/>
  <c r="AR79" i="15"/>
  <c r="AR78" i="15"/>
  <c r="AS77" i="15"/>
  <c r="AR77" i="15"/>
  <c r="V1" i="12"/>
  <c r="AM23" i="15"/>
  <c r="AM50" i="15"/>
  <c r="V12" i="12"/>
  <c r="AM59" i="15"/>
  <c r="AM65" i="15" s="1"/>
  <c r="W12" i="12"/>
  <c r="W21" i="13"/>
  <c r="W84" i="14"/>
  <c r="W90" i="14" s="1"/>
  <c r="W45" i="4"/>
  <c r="W62" i="4"/>
  <c r="W35" i="4"/>
  <c r="W48" i="14"/>
  <c r="W58" i="14"/>
  <c r="W31" i="13"/>
  <c r="W45" i="13"/>
  <c r="W23" i="12"/>
  <c r="W28" i="12" s="1"/>
  <c r="W13" i="12"/>
  <c r="W52" i="12"/>
  <c r="W19" i="4"/>
  <c r="W21" i="4" s="1"/>
  <c r="V62" i="4"/>
  <c r="W84" i="15"/>
  <c r="V84" i="15"/>
  <c r="B12" i="12"/>
  <c r="C19" i="4"/>
  <c r="C69" i="12"/>
  <c r="C22" i="13"/>
  <c r="C26" i="13" s="1"/>
  <c r="B72" i="13"/>
  <c r="B45" i="13"/>
  <c r="B55" i="13"/>
  <c r="C24" i="14"/>
  <c r="B65" i="15"/>
  <c r="AK28" i="15"/>
  <c r="F12" i="12"/>
  <c r="G58" i="14"/>
  <c r="F10" i="4"/>
  <c r="F45" i="13"/>
  <c r="F81" i="13"/>
  <c r="F87" i="13" s="1"/>
  <c r="G12" i="12"/>
  <c r="F21" i="13"/>
  <c r="F13" i="12"/>
  <c r="G78" i="12"/>
  <c r="G10" i="4"/>
  <c r="G19" i="4"/>
  <c r="K23" i="15"/>
  <c r="K33" i="15"/>
  <c r="M33" i="15" s="1"/>
  <c r="K59" i="15"/>
  <c r="M59" i="15" s="1"/>
  <c r="G55" i="13"/>
  <c r="G45" i="4"/>
  <c r="G62" i="4"/>
  <c r="G71" i="4"/>
  <c r="G77" i="4" s="1"/>
  <c r="G24" i="14"/>
  <c r="G52" i="12"/>
  <c r="G48" i="14"/>
  <c r="G22" i="13"/>
  <c r="G26" i="13" s="1"/>
  <c r="G21" i="13"/>
  <c r="J33" i="15"/>
  <c r="G45" i="13"/>
  <c r="G42" i="12"/>
  <c r="G69" i="12"/>
  <c r="G50" i="15"/>
  <c r="D16" i="16"/>
  <c r="D18" i="16" s="1"/>
  <c r="D20" i="16" s="1"/>
  <c r="D22" i="16" s="1"/>
  <c r="D24" i="16" s="1"/>
  <c r="F33" i="15"/>
  <c r="F50" i="15"/>
  <c r="D55" i="13"/>
  <c r="D48" i="14"/>
  <c r="D75" i="14"/>
  <c r="D84" i="14"/>
  <c r="D90" i="14" s="1"/>
  <c r="E16" i="16"/>
  <c r="E18" i="16" s="1"/>
  <c r="E20" i="16" s="1"/>
  <c r="E22" i="16" s="1"/>
  <c r="E24" i="16" s="1"/>
  <c r="D45" i="13"/>
  <c r="E75" i="14"/>
  <c r="D72" i="13"/>
  <c r="D81" i="13"/>
  <c r="D87" i="13" s="1"/>
  <c r="F23" i="15"/>
  <c r="E45" i="13"/>
  <c r="E55" i="13"/>
  <c r="E48" i="14"/>
  <c r="E58" i="14"/>
  <c r="E84" i="14"/>
  <c r="E90" i="14" s="1"/>
  <c r="F59" i="15"/>
  <c r="F65" i="15" s="1"/>
  <c r="E72" i="13"/>
  <c r="D58" i="14"/>
  <c r="G23" i="15"/>
  <c r="G33" i="15"/>
  <c r="G59" i="15"/>
  <c r="G65" i="15" s="1"/>
  <c r="E81" i="13"/>
  <c r="E87" i="13" s="1"/>
  <c r="E69" i="12"/>
  <c r="E52" i="12"/>
  <c r="D42" i="12"/>
  <c r="D52" i="12"/>
  <c r="D78" i="12"/>
  <c r="D84" i="12" s="1"/>
  <c r="D69" i="12"/>
  <c r="E42" i="12"/>
  <c r="E78" i="12"/>
  <c r="E84" i="12" s="1"/>
  <c r="D35" i="4"/>
  <c r="A2" i="13"/>
  <c r="A2" i="14"/>
  <c r="A2" i="16"/>
  <c r="A2" i="12"/>
  <c r="A2" i="4"/>
  <c r="AG83" i="15"/>
  <c r="AE51" i="15"/>
  <c r="AG51" i="15" s="1"/>
  <c r="AE52" i="15"/>
  <c r="AE53" i="15"/>
  <c r="AE54" i="15"/>
  <c r="AE55" i="15"/>
  <c r="AE56" i="15"/>
  <c r="AE57" i="15"/>
  <c r="AG57" i="15" s="1"/>
  <c r="AE58" i="15"/>
  <c r="AG58" i="15" s="1"/>
  <c r="AE60" i="15"/>
  <c r="AE62" i="15"/>
  <c r="AG62" i="15" s="1"/>
  <c r="AE63" i="15"/>
  <c r="AG63" i="15" s="1"/>
  <c r="AE64" i="15"/>
  <c r="C63" i="1" s="1"/>
  <c r="AE34" i="15"/>
  <c r="C33" i="1" s="1"/>
  <c r="AE35" i="15"/>
  <c r="AE36" i="15"/>
  <c r="AG36" i="15" s="1"/>
  <c r="AE37" i="15"/>
  <c r="AG37" i="15" s="1"/>
  <c r="AE39" i="15"/>
  <c r="AE41" i="15"/>
  <c r="AG41" i="15" s="1"/>
  <c r="AE42" i="15"/>
  <c r="C41" i="1" s="1"/>
  <c r="AE43" i="15"/>
  <c r="AE46" i="15"/>
  <c r="C45" i="1" s="1"/>
  <c r="AE47" i="15"/>
  <c r="AG47" i="15" s="1"/>
  <c r="AE48" i="15"/>
  <c r="C47" i="1" s="1"/>
  <c r="AE49" i="15"/>
  <c r="AE25" i="15"/>
  <c r="C24" i="1" s="1"/>
  <c r="AE26" i="15"/>
  <c r="AG26" i="15" s="1"/>
  <c r="AE27" i="15"/>
  <c r="C26" i="1" s="1"/>
  <c r="AE28" i="15"/>
  <c r="AE29" i="15"/>
  <c r="AG29" i="15" s="1"/>
  <c r="AE30" i="15"/>
  <c r="AG30" i="15" s="1"/>
  <c r="AE31" i="15"/>
  <c r="AG31" i="15" s="1"/>
  <c r="AE32" i="15"/>
  <c r="AG32" i="15" s="1"/>
  <c r="AE11" i="15"/>
  <c r="AG11" i="15" s="1"/>
  <c r="AE12" i="15"/>
  <c r="AG12" i="15" s="1"/>
  <c r="AE13" i="15"/>
  <c r="AG13" i="15" s="1"/>
  <c r="AE15" i="15"/>
  <c r="C14" i="1" s="1"/>
  <c r="AE16" i="15"/>
  <c r="C15" i="1" s="1"/>
  <c r="AE17" i="15"/>
  <c r="AE19" i="15"/>
  <c r="AG19" i="15" s="1"/>
  <c r="AE20" i="15"/>
  <c r="AG20" i="15" s="1"/>
  <c r="AE21" i="15"/>
  <c r="AG21" i="15" s="1"/>
  <c r="AE22" i="15"/>
  <c r="Y50" i="15"/>
  <c r="Y33" i="15"/>
  <c r="AA59" i="15"/>
  <c r="AC59" i="15" s="1"/>
  <c r="AA50" i="15"/>
  <c r="AC50" i="15" s="1"/>
  <c r="AA33" i="15"/>
  <c r="AC33" i="15" s="1"/>
  <c r="AA23" i="15"/>
  <c r="AC23" i="15" s="1"/>
  <c r="AI52" i="15"/>
  <c r="AI53" i="15"/>
  <c r="AI54" i="15"/>
  <c r="AI55" i="15"/>
  <c r="AI56" i="15"/>
  <c r="AI60" i="15"/>
  <c r="AI34" i="15"/>
  <c r="AI39" i="15"/>
  <c r="AI42" i="15"/>
  <c r="AI46" i="15"/>
  <c r="AI49" i="15"/>
  <c r="AI16" i="15"/>
  <c r="AI17" i="15"/>
  <c r="AI21" i="15"/>
  <c r="AI22" i="15"/>
  <c r="AK52" i="15"/>
  <c r="AK53" i="15"/>
  <c r="AK54" i="15"/>
  <c r="AK55" i="15"/>
  <c r="AK56" i="15"/>
  <c r="AK57" i="15"/>
  <c r="AK60" i="15"/>
  <c r="AK34" i="15"/>
  <c r="AK36" i="15"/>
  <c r="AK39" i="15"/>
  <c r="AK40" i="15"/>
  <c r="AK42" i="15"/>
  <c r="AK44" i="15"/>
  <c r="AK46" i="15"/>
  <c r="AK49" i="15"/>
  <c r="AK26" i="15"/>
  <c r="AK17" i="15"/>
  <c r="AK22" i="15"/>
  <c r="Q3" i="4"/>
  <c r="AD52" i="15"/>
  <c r="AD53" i="15"/>
  <c r="B52" i="1" s="1"/>
  <c r="AD54" i="15"/>
  <c r="AD55" i="15"/>
  <c r="AD56" i="15"/>
  <c r="B55" i="1" s="1"/>
  <c r="AD60" i="15"/>
  <c r="B59" i="1" s="1"/>
  <c r="AD34" i="15"/>
  <c r="B33" i="1" s="1"/>
  <c r="AD35" i="15"/>
  <c r="AF35" i="15" s="1"/>
  <c r="AD36" i="15"/>
  <c r="B35" i="1" s="1"/>
  <c r="AD39" i="15"/>
  <c r="B38" i="1" s="1"/>
  <c r="AD42" i="15"/>
  <c r="B41" i="1" s="1"/>
  <c r="AD44" i="15"/>
  <c r="AF44" i="15" s="1"/>
  <c r="AD49" i="15"/>
  <c r="B48" i="1" s="1"/>
  <c r="AD25" i="15"/>
  <c r="AD28" i="15"/>
  <c r="AF28" i="15" s="1"/>
  <c r="AD29" i="15"/>
  <c r="AF29" i="15" s="1"/>
  <c r="AD11" i="15"/>
  <c r="AD12" i="15"/>
  <c r="AF12" i="15" s="1"/>
  <c r="AD13" i="15"/>
  <c r="AF13" i="15" s="1"/>
  <c r="AD14" i="15"/>
  <c r="AD15" i="15"/>
  <c r="B14" i="1" s="1"/>
  <c r="AD16" i="15"/>
  <c r="B15" i="1" s="1"/>
  <c r="AD17" i="15"/>
  <c r="AD18" i="15"/>
  <c r="AF18" i="15" s="1"/>
  <c r="AD19" i="15"/>
  <c r="AF19" i="15" s="1"/>
  <c r="AD20" i="15"/>
  <c r="AD21" i="15"/>
  <c r="B20" i="1" s="1"/>
  <c r="AH52" i="15"/>
  <c r="AH53" i="15"/>
  <c r="AH54" i="15"/>
  <c r="AH55" i="15"/>
  <c r="AH56" i="15"/>
  <c r="AH60" i="15"/>
  <c r="AH39" i="15"/>
  <c r="AH42" i="15"/>
  <c r="AH46" i="15"/>
  <c r="AH49" i="15"/>
  <c r="AH12" i="15"/>
  <c r="AH13" i="15"/>
  <c r="AH16" i="15"/>
  <c r="AH22" i="15"/>
  <c r="AJ52" i="15"/>
  <c r="AJ53" i="15"/>
  <c r="AJ54" i="15"/>
  <c r="AJ55" i="15"/>
  <c r="AJ56" i="15"/>
  <c r="AJ60" i="15"/>
  <c r="AJ35" i="15"/>
  <c r="AJ36" i="15"/>
  <c r="AJ39" i="15"/>
  <c r="AJ42" i="15"/>
  <c r="AJ46" i="15"/>
  <c r="AJ49" i="15"/>
  <c r="AJ25" i="15"/>
  <c r="AJ13" i="15"/>
  <c r="AJ14" i="15"/>
  <c r="AJ15" i="15"/>
  <c r="AJ19" i="15"/>
  <c r="AJ20" i="15"/>
  <c r="AJ22" i="15"/>
  <c r="M62" i="15"/>
  <c r="M57" i="15"/>
  <c r="M52" i="15"/>
  <c r="Q54" i="15"/>
  <c r="Q52" i="15"/>
  <c r="X50" i="15"/>
  <c r="X33" i="15"/>
  <c r="X23" i="15"/>
  <c r="X62" i="15"/>
  <c r="X57" i="15"/>
  <c r="X54" i="15"/>
  <c r="X52" i="15"/>
  <c r="Y62" i="15"/>
  <c r="Y57" i="15"/>
  <c r="Y54" i="15"/>
  <c r="Y52" i="15"/>
  <c r="Z59" i="15"/>
  <c r="Z65" i="15" s="1"/>
  <c r="AB65" i="15" s="1"/>
  <c r="Z50" i="15"/>
  <c r="AB50" i="15" s="1"/>
  <c r="Z33" i="15"/>
  <c r="AB33" i="15" s="1"/>
  <c r="Z23" i="15"/>
  <c r="AB23" i="15" s="1"/>
  <c r="AB62" i="15"/>
  <c r="AB57" i="15"/>
  <c r="AB54" i="15"/>
  <c r="AB52" i="15"/>
  <c r="AC62" i="15"/>
  <c r="AC57" i="15"/>
  <c r="AC54" i="15"/>
  <c r="AC52" i="15"/>
  <c r="AF54" i="15"/>
  <c r="AF52" i="15"/>
  <c r="AG54" i="15"/>
  <c r="AG52" i="15"/>
  <c r="Q3" i="16"/>
  <c r="G35" i="1"/>
  <c r="G18" i="1"/>
  <c r="G13" i="1"/>
  <c r="I56" i="1"/>
  <c r="I54" i="1"/>
  <c r="I47" i="1"/>
  <c r="I41" i="1"/>
  <c r="I33" i="1"/>
  <c r="I17" i="1"/>
  <c r="I14" i="1"/>
  <c r="K62" i="1"/>
  <c r="K57" i="1"/>
  <c r="E59" i="1"/>
  <c r="E56" i="1"/>
  <c r="E54" i="1"/>
  <c r="D52" i="1"/>
  <c r="E45" i="1"/>
  <c r="E41" i="1"/>
  <c r="E39" i="1"/>
  <c r="D39" i="1"/>
  <c r="E36" i="1"/>
  <c r="E29" i="1"/>
  <c r="E21" i="1"/>
  <c r="E17" i="1"/>
  <c r="E12" i="1"/>
  <c r="D25" i="14"/>
  <c r="D29" i="14" s="1"/>
  <c r="U25" i="14"/>
  <c r="U29" i="14" s="1"/>
  <c r="S10" i="4"/>
  <c r="T23" i="12"/>
  <c r="T28" i="12" s="1"/>
  <c r="I9" i="15"/>
  <c r="E45" i="4"/>
  <c r="E12" i="12"/>
  <c r="D12" i="12"/>
  <c r="D21" i="13"/>
  <c r="E22" i="13"/>
  <c r="E26" i="13" s="1"/>
  <c r="E21" i="13"/>
  <c r="D19" i="4"/>
  <c r="D71" i="4"/>
  <c r="D77" i="4" s="1"/>
  <c r="E25" i="14"/>
  <c r="E29" i="14" s="1"/>
  <c r="D10" i="4"/>
  <c r="E13" i="12"/>
  <c r="E23" i="12"/>
  <c r="E28" i="12" s="1"/>
  <c r="D22" i="13"/>
  <c r="D26" i="13" s="1"/>
  <c r="D45" i="4"/>
  <c r="D13" i="12"/>
  <c r="E62" i="4"/>
  <c r="E71" i="4"/>
  <c r="E77" i="4" s="1"/>
  <c r="E24" i="14"/>
  <c r="D62" i="4"/>
  <c r="D24" i="14"/>
  <c r="E10" i="4"/>
  <c r="E19" i="4"/>
  <c r="D23" i="12"/>
  <c r="E35" i="4"/>
  <c r="H9" i="15"/>
  <c r="H16" i="1"/>
  <c r="J59" i="1"/>
  <c r="J28" i="1"/>
  <c r="J24" i="1"/>
  <c r="K21" i="1"/>
  <c r="K17" i="1"/>
  <c r="J17" i="1"/>
  <c r="E43" i="1"/>
  <c r="E37" i="1"/>
  <c r="D14" i="1"/>
  <c r="E10" i="1"/>
  <c r="Q18" i="16"/>
  <c r="P18" i="16"/>
  <c r="P20" i="16" s="1"/>
  <c r="P22" i="16" s="1"/>
  <c r="P24" i="16" s="1"/>
  <c r="O18" i="16"/>
  <c r="O20" i="16" s="1"/>
  <c r="O22" i="16" s="1"/>
  <c r="O24" i="16" s="1"/>
  <c r="N18" i="16"/>
  <c r="N20" i="16" s="1"/>
  <c r="N22" i="16" s="1"/>
  <c r="N24" i="16" s="1"/>
  <c r="M18" i="16"/>
  <c r="M20" i="16" s="1"/>
  <c r="M22" i="16" s="1"/>
  <c r="M24" i="16" s="1"/>
  <c r="L18" i="16"/>
  <c r="L20" i="16" s="1"/>
  <c r="L22" i="16" s="1"/>
  <c r="L24" i="16" s="1"/>
  <c r="K18" i="16"/>
  <c r="J18" i="16"/>
  <c r="I18" i="16"/>
  <c r="I20" i="16" s="1"/>
  <c r="I22" i="16" s="1"/>
  <c r="I24" i="16" s="1"/>
  <c r="H18" i="16"/>
  <c r="H20" i="16" s="1"/>
  <c r="H22" i="16" s="1"/>
  <c r="H24" i="16" s="1"/>
  <c r="G18" i="16"/>
  <c r="G20" i="16" s="1"/>
  <c r="G22" i="16" s="1"/>
  <c r="G24" i="16" s="1"/>
  <c r="F18" i="16"/>
  <c r="C18" i="16"/>
  <c r="C20" i="16" s="1"/>
  <c r="C22" i="16" s="1"/>
  <c r="C24" i="16" s="1"/>
  <c r="B18" i="16"/>
  <c r="B20" i="16" s="1"/>
  <c r="B22" i="16" s="1"/>
  <c r="B24" i="16" s="1"/>
  <c r="K20" i="16"/>
  <c r="K22" i="16" s="1"/>
  <c r="K24" i="16" s="1"/>
  <c r="Q20" i="16"/>
  <c r="Q22" i="16" s="1"/>
  <c r="Q24" i="16" s="1"/>
  <c r="J20" i="16"/>
  <c r="J22" i="16" s="1"/>
  <c r="J24" i="16" s="1"/>
  <c r="F20" i="16"/>
  <c r="F22" i="16" s="1"/>
  <c r="F24" i="16" s="1"/>
  <c r="Q78" i="12"/>
  <c r="Q84" i="12" s="1"/>
  <c r="G46" i="1"/>
  <c r="G10" i="1"/>
  <c r="Q23" i="12"/>
  <c r="Q28" i="12" s="1"/>
  <c r="Q81" i="13"/>
  <c r="Q87" i="13" s="1"/>
  <c r="Q21" i="13"/>
  <c r="Q84" i="14"/>
  <c r="Q90" i="14" s="1"/>
  <c r="Q58" i="14"/>
  <c r="Q10" i="4"/>
  <c r="AB56" i="15"/>
  <c r="AB39" i="15"/>
  <c r="AB29" i="15"/>
  <c r="AB27" i="15"/>
  <c r="AB18" i="15"/>
  <c r="AB14" i="15"/>
  <c r="AB12" i="15"/>
  <c r="N69" i="12"/>
  <c r="F27" i="1"/>
  <c r="N42" i="12"/>
  <c r="N23" i="12"/>
  <c r="N28" i="12" s="1"/>
  <c r="N13" i="12"/>
  <c r="H59" i="1"/>
  <c r="H54" i="1"/>
  <c r="H43" i="1"/>
  <c r="N72" i="13"/>
  <c r="N45" i="13"/>
  <c r="O21" i="13"/>
  <c r="N58" i="14"/>
  <c r="N48" i="14"/>
  <c r="N25" i="14"/>
  <c r="N29" i="14" s="1"/>
  <c r="N24" i="14"/>
  <c r="N71" i="4"/>
  <c r="N77" i="4" s="1"/>
  <c r="N62" i="4"/>
  <c r="N45" i="4"/>
  <c r="O19" i="4"/>
  <c r="O10" i="4"/>
  <c r="N10" i="4"/>
  <c r="C5" i="1"/>
  <c r="G38" i="1"/>
  <c r="G36" i="1"/>
  <c r="G29" i="1"/>
  <c r="G21" i="1"/>
  <c r="G20" i="1"/>
  <c r="G11" i="1"/>
  <c r="I45" i="1"/>
  <c r="I43" i="1"/>
  <c r="I37" i="1"/>
  <c r="K56" i="1"/>
  <c r="K54" i="1"/>
  <c r="K52" i="1"/>
  <c r="K47" i="1"/>
  <c r="K45" i="1"/>
  <c r="K41" i="1"/>
  <c r="U48" i="14"/>
  <c r="J24" i="14"/>
  <c r="K35" i="4"/>
  <c r="U24" i="14"/>
  <c r="T24" i="14"/>
  <c r="U33" i="13"/>
  <c r="AC33" i="13" s="1"/>
  <c r="T33" i="13"/>
  <c r="T45" i="13" s="1"/>
  <c r="T1" i="12"/>
  <c r="U71" i="4"/>
  <c r="T71" i="4"/>
  <c r="U62" i="4"/>
  <c r="U45" i="4"/>
  <c r="T35" i="4"/>
  <c r="T77" i="4"/>
  <c r="T78" i="4" s="1"/>
  <c r="T80" i="4" s="1"/>
  <c r="T62" i="4"/>
  <c r="T21" i="4"/>
  <c r="T45" i="4"/>
  <c r="U21" i="4"/>
  <c r="U35" i="4"/>
  <c r="U77" i="4"/>
  <c r="R1" i="12"/>
  <c r="S24" i="14"/>
  <c r="R24" i="14"/>
  <c r="P1" i="12"/>
  <c r="I42" i="12"/>
  <c r="K84" i="14"/>
  <c r="K90" i="14" s="1"/>
  <c r="J58" i="14"/>
  <c r="G31" i="1"/>
  <c r="F15" i="1"/>
  <c r="P42" i="12"/>
  <c r="P23" i="12"/>
  <c r="P28" i="12" s="1"/>
  <c r="Q55" i="13"/>
  <c r="P45" i="13"/>
  <c r="P22" i="13"/>
  <c r="P26" i="13" s="1"/>
  <c r="Q22" i="13"/>
  <c r="Q26" i="13" s="1"/>
  <c r="P21" i="13"/>
  <c r="Q48" i="14"/>
  <c r="Q25" i="14"/>
  <c r="Q29" i="14" s="1"/>
  <c r="P25" i="14"/>
  <c r="P29" i="14" s="1"/>
  <c r="P35" i="4"/>
  <c r="P19" i="4"/>
  <c r="G25" i="1"/>
  <c r="J78" i="12"/>
  <c r="J84" i="12" s="1"/>
  <c r="J12" i="12"/>
  <c r="J81" i="13"/>
  <c r="J87" i="13" s="1"/>
  <c r="J72" i="13"/>
  <c r="J55" i="13"/>
  <c r="J84" i="14"/>
  <c r="J90" i="14" s="1"/>
  <c r="J75" i="14"/>
  <c r="K75" i="14"/>
  <c r="K21" i="13"/>
  <c r="K12" i="12"/>
  <c r="K69" i="12"/>
  <c r="K78" i="12"/>
  <c r="K84" i="12" s="1"/>
  <c r="I10" i="4"/>
  <c r="P17" i="15"/>
  <c r="Q17" i="15"/>
  <c r="X47" i="15"/>
  <c r="AC53" i="15"/>
  <c r="I12" i="12"/>
  <c r="H12" i="12"/>
  <c r="E15" i="1"/>
  <c r="D15" i="1"/>
  <c r="H19" i="1"/>
  <c r="J19" i="1"/>
  <c r="P10" i="4"/>
  <c r="AB51" i="15"/>
  <c r="AB34" i="15"/>
  <c r="K19" i="1"/>
  <c r="K12" i="1"/>
  <c r="H20" i="1"/>
  <c r="I19" i="1"/>
  <c r="H13" i="1"/>
  <c r="I12" i="1"/>
  <c r="H12" i="1"/>
  <c r="G23" i="1"/>
  <c r="F23" i="1"/>
  <c r="E66" i="1"/>
  <c r="D66" i="1"/>
  <c r="E23" i="1"/>
  <c r="D23" i="1"/>
  <c r="Q24" i="14"/>
  <c r="P24" i="14"/>
  <c r="AB44" i="15"/>
  <c r="AB58" i="15"/>
  <c r="AB47" i="15"/>
  <c r="AB20" i="15"/>
  <c r="AB16" i="15"/>
  <c r="AB49" i="15"/>
  <c r="AB64" i="15"/>
  <c r="H21" i="1"/>
  <c r="AC30" i="15"/>
  <c r="AC51" i="15"/>
  <c r="AC60" i="15"/>
  <c r="AC34" i="15"/>
  <c r="AC42" i="15"/>
  <c r="AC49" i="15"/>
  <c r="AC61" i="15"/>
  <c r="O22" i="13"/>
  <c r="O26" i="13" s="1"/>
  <c r="AC32" i="15"/>
  <c r="AC26" i="15"/>
  <c r="AC37" i="15"/>
  <c r="AB22" i="15"/>
  <c r="P63" i="15"/>
  <c r="P25" i="15"/>
  <c r="AB61" i="15"/>
  <c r="AC18" i="15"/>
  <c r="AC29" i="15"/>
  <c r="AC38" i="15"/>
  <c r="AC55" i="15"/>
  <c r="G70" i="1"/>
  <c r="AC39" i="15"/>
  <c r="AC17" i="15"/>
  <c r="AC47" i="15"/>
  <c r="AC40" i="15"/>
  <c r="AC31" i="15"/>
  <c r="AC27" i="15"/>
  <c r="AC20" i="15"/>
  <c r="AC22" i="15"/>
  <c r="AC15" i="15"/>
  <c r="AC35" i="15"/>
  <c r="AC56" i="15"/>
  <c r="AC45" i="15"/>
  <c r="AC9" i="15"/>
  <c r="AC44" i="15"/>
  <c r="AC16" i="15"/>
  <c r="AC11" i="15"/>
  <c r="AC13" i="15"/>
  <c r="AC21" i="15"/>
  <c r="AC25" i="15"/>
  <c r="AC12" i="15"/>
  <c r="AC63" i="15"/>
  <c r="AC43" i="15"/>
  <c r="AC36" i="15"/>
  <c r="AC19" i="15"/>
  <c r="Q47" i="15"/>
  <c r="X17" i="15"/>
  <c r="X21" i="15"/>
  <c r="Y22" i="15"/>
  <c r="Y26" i="15"/>
  <c r="Y40" i="15"/>
  <c r="Y48" i="15"/>
  <c r="Y59" i="15"/>
  <c r="X60" i="15"/>
  <c r="X16" i="15"/>
  <c r="Y60" i="15"/>
  <c r="X15" i="15"/>
  <c r="X30" i="15"/>
  <c r="Y37" i="15"/>
  <c r="X26" i="15"/>
  <c r="X38" i="15"/>
  <c r="X40" i="15"/>
  <c r="X63" i="15"/>
  <c r="X49" i="15"/>
  <c r="Y29" i="15"/>
  <c r="X51" i="15"/>
  <c r="X34" i="15"/>
  <c r="Y36" i="15"/>
  <c r="Y43" i="15"/>
  <c r="H70" i="1"/>
  <c r="Y32" i="15"/>
  <c r="Y11" i="15"/>
  <c r="Y44" i="15"/>
  <c r="Y39" i="15"/>
  <c r="Y58" i="15"/>
  <c r="Y64" i="15"/>
  <c r="Y63" i="15"/>
  <c r="Y9" i="15"/>
  <c r="Y21" i="15"/>
  <c r="X9" i="15"/>
  <c r="X13" i="15"/>
  <c r="X18" i="15"/>
  <c r="X22" i="15"/>
  <c r="X28" i="15"/>
  <c r="X32" i="15"/>
  <c r="X35" i="15"/>
  <c r="X37" i="15"/>
  <c r="X39" i="15"/>
  <c r="X41" i="15"/>
  <c r="X43" i="15"/>
  <c r="X46" i="15"/>
  <c r="X48" i="15"/>
  <c r="X58" i="15"/>
  <c r="X64" i="15"/>
  <c r="X44" i="15"/>
  <c r="X31" i="15"/>
  <c r="X45" i="15"/>
  <c r="Y13" i="15"/>
  <c r="Y18" i="15"/>
  <c r="Y30" i="15"/>
  <c r="Y41" i="15"/>
  <c r="X19" i="15"/>
  <c r="X20" i="15"/>
  <c r="X61" i="15"/>
  <c r="Y16" i="15"/>
  <c r="Y55" i="15"/>
  <c r="X42" i="15"/>
  <c r="X29" i="15"/>
  <c r="Y12" i="15"/>
  <c r="X53" i="15"/>
  <c r="X12" i="15"/>
  <c r="X55" i="15"/>
  <c r="Y38" i="15"/>
  <c r="X56" i="15"/>
  <c r="Y42" i="15"/>
  <c r="Y27" i="15"/>
  <c r="Y49" i="15"/>
  <c r="Q31" i="15"/>
  <c r="Q56" i="15"/>
  <c r="Q49" i="15"/>
  <c r="I24" i="14"/>
  <c r="Q41" i="15"/>
  <c r="AC14" i="15"/>
  <c r="AC41" i="15"/>
  <c r="AC46" i="15"/>
  <c r="AB31" i="15"/>
  <c r="Q12" i="15"/>
  <c r="Q63" i="15"/>
  <c r="Q25" i="15"/>
  <c r="Y34" i="15"/>
  <c r="Y51" i="15"/>
  <c r="Y61" i="15"/>
  <c r="Y20" i="15"/>
  <c r="AC28" i="15"/>
  <c r="Y17" i="15"/>
  <c r="Y56" i="15"/>
  <c r="Y19" i="15"/>
  <c r="Y53" i="15"/>
  <c r="Y14" i="15"/>
  <c r="Y45" i="15"/>
  <c r="Y25" i="15"/>
  <c r="Y31" i="15"/>
  <c r="Y47" i="15"/>
  <c r="Y15" i="15"/>
  <c r="Y28" i="15"/>
  <c r="Y35" i="15"/>
  <c r="Y46" i="15"/>
  <c r="AB43" i="15"/>
  <c r="X14" i="15"/>
  <c r="X27" i="15"/>
  <c r="X36" i="15"/>
  <c r="N84" i="14"/>
  <c r="N90" i="14" s="1"/>
  <c r="AC48" i="15"/>
  <c r="AC64" i="15"/>
  <c r="Q29" i="15"/>
  <c r="Q28" i="15"/>
  <c r="Q39" i="15"/>
  <c r="X11" i="15"/>
  <c r="X25" i="15"/>
  <c r="AC58" i="15"/>
  <c r="I70" i="1"/>
  <c r="Q37" i="15"/>
  <c r="Q35" i="15"/>
  <c r="Q45" i="15"/>
  <c r="Q9" i="15"/>
  <c r="AB25" i="15"/>
  <c r="P31" i="15"/>
  <c r="P35" i="15"/>
  <c r="I21" i="13"/>
  <c r="I57" i="1"/>
  <c r="Q53" i="15"/>
  <c r="AG49" i="15"/>
  <c r="AF49" i="15"/>
  <c r="AG56" i="15"/>
  <c r="AG39" i="15"/>
  <c r="AF60" i="15"/>
  <c r="AF55" i="15"/>
  <c r="AG55" i="15"/>
  <c r="K58" i="14"/>
  <c r="Q45" i="13"/>
  <c r="AG9" i="15"/>
  <c r="K48" i="14"/>
  <c r="P48" i="14"/>
  <c r="I21" i="1"/>
  <c r="Q45" i="4"/>
  <c r="K71" i="4"/>
  <c r="K77" i="4" s="1"/>
  <c r="AF9" i="15"/>
  <c r="L51" i="15"/>
  <c r="L58" i="15"/>
  <c r="N21" i="13"/>
  <c r="O23" i="12"/>
  <c r="O28" i="12" s="1"/>
  <c r="O81" i="13"/>
  <c r="O87" i="13" s="1"/>
  <c r="O55" i="13"/>
  <c r="N75" i="14"/>
  <c r="O72" i="13"/>
  <c r="Q19" i="4"/>
  <c r="O45" i="13"/>
  <c r="AF56" i="15"/>
  <c r="AF39" i="15"/>
  <c r="N12" i="12"/>
  <c r="AG42" i="15"/>
  <c r="AF42" i="15"/>
  <c r="G57" i="1"/>
  <c r="Q35" i="4"/>
  <c r="O52" i="12"/>
  <c r="N22" i="13"/>
  <c r="N26" i="13" s="1"/>
  <c r="O12" i="12"/>
  <c r="O69" i="12"/>
  <c r="O42" i="12"/>
  <c r="N52" i="12"/>
  <c r="O78" i="12"/>
  <c r="O84" i="12" s="1"/>
  <c r="I35" i="4"/>
  <c r="I45" i="4"/>
  <c r="I71" i="4"/>
  <c r="I77" i="4" s="1"/>
  <c r="H75" i="14"/>
  <c r="I19" i="4"/>
  <c r="I62" i="4"/>
  <c r="Q27" i="15"/>
  <c r="Q21" i="15"/>
  <c r="Q58" i="15"/>
  <c r="Q18" i="15"/>
  <c r="Q61" i="15"/>
  <c r="Q19" i="15"/>
  <c r="Q14" i="15"/>
  <c r="Q43" i="15"/>
  <c r="Q40" i="15"/>
  <c r="Q32" i="15"/>
  <c r="AF53" i="15"/>
  <c r="L12" i="15"/>
  <c r="L49" i="15"/>
  <c r="L46" i="15"/>
  <c r="N55" i="13"/>
  <c r="H24" i="1"/>
  <c r="AB40" i="15"/>
  <c r="AB21" i="15"/>
  <c r="AB13" i="15"/>
  <c r="AB26" i="15"/>
  <c r="AB11" i="15"/>
  <c r="AB35" i="15"/>
  <c r="AB37" i="15"/>
  <c r="AB42" i="15"/>
  <c r="AB28" i="15"/>
  <c r="AB9" i="15"/>
  <c r="AB45" i="15"/>
  <c r="AB63" i="15"/>
  <c r="Q71" i="4"/>
  <c r="Q77" i="4" s="1"/>
  <c r="AB38" i="15"/>
  <c r="AB55" i="15"/>
  <c r="AB32" i="15"/>
  <c r="AB53" i="15"/>
  <c r="AB15" i="15"/>
  <c r="AB48" i="15"/>
  <c r="G15" i="1"/>
  <c r="N81" i="13"/>
  <c r="N87" i="13" s="1"/>
  <c r="AB36" i="15"/>
  <c r="AB41" i="15"/>
  <c r="G27" i="1"/>
  <c r="AG53" i="15"/>
  <c r="AG60" i="15"/>
  <c r="Q42" i="12"/>
  <c r="AB46" i="15"/>
  <c r="AB17" i="15"/>
  <c r="AB60" i="15"/>
  <c r="AB19" i="15"/>
  <c r="AB30" i="15"/>
  <c r="Q52" i="12"/>
  <c r="G19" i="1"/>
  <c r="N78" i="12"/>
  <c r="N84" i="12" s="1"/>
  <c r="O24" i="14"/>
  <c r="O58" i="14"/>
  <c r="O84" i="14"/>
  <c r="O90" i="14" s="1"/>
  <c r="N19" i="4"/>
  <c r="O71" i="4"/>
  <c r="O77" i="4" s="1"/>
  <c r="O25" i="14"/>
  <c r="O29" i="14" s="1"/>
  <c r="J14" i="1"/>
  <c r="O75" i="14"/>
  <c r="U12" i="15"/>
  <c r="U14" i="15"/>
  <c r="U15" i="15"/>
  <c r="U18" i="15"/>
  <c r="U38" i="15"/>
  <c r="U22" i="15"/>
  <c r="U60" i="15"/>
  <c r="U46" i="15"/>
  <c r="U61" i="15"/>
  <c r="U20" i="15"/>
  <c r="U16" i="15"/>
  <c r="O48" i="14"/>
  <c r="C72" i="1"/>
  <c r="B72" i="1"/>
  <c r="O62" i="4"/>
  <c r="E47" i="1"/>
  <c r="E50" i="1"/>
  <c r="K10" i="1"/>
  <c r="H14" i="1"/>
  <c r="H17" i="1"/>
  <c r="H28" i="1"/>
  <c r="H33" i="1"/>
  <c r="P14" i="15"/>
  <c r="P47" i="15"/>
  <c r="K33" i="1"/>
  <c r="K35" i="1"/>
  <c r="K37" i="1"/>
  <c r="K43" i="1"/>
  <c r="K50" i="1"/>
  <c r="K14" i="1"/>
  <c r="K39" i="1"/>
  <c r="E14" i="1"/>
  <c r="E31" i="1"/>
  <c r="E25" i="1"/>
  <c r="T42" i="12"/>
  <c r="C51" i="1"/>
  <c r="N35" i="4"/>
  <c r="O35" i="4"/>
  <c r="O45" i="4"/>
  <c r="M41" i="15"/>
  <c r="M17" i="15"/>
  <c r="M40" i="15"/>
  <c r="M19" i="15"/>
  <c r="M28" i="15"/>
  <c r="M49" i="15"/>
  <c r="M51" i="15"/>
  <c r="M25" i="15"/>
  <c r="M18" i="15"/>
  <c r="M13" i="15"/>
  <c r="M61" i="15"/>
  <c r="M58" i="15"/>
  <c r="M64" i="15"/>
  <c r="M16" i="15"/>
  <c r="M45" i="15"/>
  <c r="M32" i="15"/>
  <c r="M34" i="15"/>
  <c r="M14" i="15"/>
  <c r="U72" i="13"/>
  <c r="L19" i="15"/>
  <c r="L53" i="15"/>
  <c r="G33" i="1"/>
  <c r="M63" i="15"/>
  <c r="M35" i="15"/>
  <c r="M47" i="15"/>
  <c r="M21" i="15"/>
  <c r="M36" i="15"/>
  <c r="M46" i="15"/>
  <c r="M11" i="15"/>
  <c r="M12" i="15"/>
  <c r="M43" i="15"/>
  <c r="M15" i="15"/>
  <c r="M53" i="15"/>
  <c r="M38" i="15"/>
  <c r="M60" i="15"/>
  <c r="M39" i="15"/>
  <c r="M48" i="15"/>
  <c r="M31" i="15"/>
  <c r="M20" i="15"/>
  <c r="S69" i="12"/>
  <c r="S25" i="14"/>
  <c r="S29" i="14" s="1"/>
  <c r="S31" i="13"/>
  <c r="E33" i="1"/>
  <c r="D19" i="1"/>
  <c r="D33" i="1"/>
  <c r="E19" i="1"/>
  <c r="X59" i="15"/>
  <c r="Y23" i="15"/>
  <c r="Y84" i="15"/>
  <c r="X84" i="15"/>
  <c r="AG25" i="15"/>
  <c r="Y65" i="15"/>
  <c r="X80" i="15"/>
  <c r="Y80" i="15"/>
  <c r="X65" i="15"/>
  <c r="Y66" i="15"/>
  <c r="X66" i="15"/>
  <c r="Y68" i="15"/>
  <c r="X68" i="15"/>
  <c r="P22" i="15"/>
  <c r="N23" i="15"/>
  <c r="P23" i="15" s="1"/>
  <c r="H48" i="1"/>
  <c r="AB71" i="13"/>
  <c r="AB76" i="13"/>
  <c r="H53" i="1"/>
  <c r="AB78" i="13"/>
  <c r="H55" i="1"/>
  <c r="J15" i="1"/>
  <c r="AB41" i="14"/>
  <c r="AB44" i="14"/>
  <c r="AB53" i="14"/>
  <c r="J27" i="1"/>
  <c r="J48" i="1"/>
  <c r="J51" i="1"/>
  <c r="B7" i="1"/>
  <c r="T14" i="15"/>
  <c r="T21" i="15"/>
  <c r="R33" i="15"/>
  <c r="T33" i="15" s="1"/>
  <c r="T29" i="15"/>
  <c r="T31" i="15"/>
  <c r="R50" i="15"/>
  <c r="T50" i="15" s="1"/>
  <c r="T35" i="15"/>
  <c r="T41" i="15"/>
  <c r="T43" i="15"/>
  <c r="T45" i="15"/>
  <c r="T47" i="15"/>
  <c r="T52" i="15"/>
  <c r="T54" i="15"/>
  <c r="T61" i="15"/>
  <c r="T63" i="15"/>
  <c r="AB34" i="13"/>
  <c r="H11" i="1"/>
  <c r="AB37" i="14"/>
  <c r="H48" i="14"/>
  <c r="P42" i="15"/>
  <c r="P55" i="15"/>
  <c r="P20" i="15"/>
  <c r="F54" i="1"/>
  <c r="H34" i="1"/>
  <c r="AB56" i="13"/>
  <c r="V72" i="13"/>
  <c r="AB26" i="12"/>
  <c r="H22" i="13"/>
  <c r="H26" i="13" s="1"/>
  <c r="H21" i="13"/>
  <c r="AB12" i="14"/>
  <c r="AB14" i="14"/>
  <c r="AB16" i="14"/>
  <c r="AB18" i="14"/>
  <c r="AB22" i="14"/>
  <c r="AB26" i="14"/>
  <c r="AB28" i="14"/>
  <c r="H10" i="4"/>
  <c r="H62" i="4"/>
  <c r="H71" i="4"/>
  <c r="H77" i="4" s="1"/>
  <c r="P32" i="15"/>
  <c r="P54" i="15"/>
  <c r="P39" i="15"/>
  <c r="P27" i="15"/>
  <c r="P41" i="15"/>
  <c r="P12" i="15"/>
  <c r="P29" i="15"/>
  <c r="P49" i="15"/>
  <c r="P52" i="15"/>
  <c r="P43" i="15"/>
  <c r="P61" i="15"/>
  <c r="P9" i="15"/>
  <c r="P45" i="15"/>
  <c r="Q11" i="15"/>
  <c r="O23" i="15"/>
  <c r="Q23" i="15" s="1"/>
  <c r="Q13" i="15"/>
  <c r="Q15" i="15"/>
  <c r="AS60" i="15"/>
  <c r="Q60" i="15"/>
  <c r="C59" i="1"/>
  <c r="Q64" i="15"/>
  <c r="I23" i="12"/>
  <c r="I28" i="12" s="1"/>
  <c r="G12" i="1"/>
  <c r="G14" i="1"/>
  <c r="G28" i="1"/>
  <c r="G34" i="1"/>
  <c r="G41" i="1"/>
  <c r="G43" i="1"/>
  <c r="G47" i="1"/>
  <c r="I78" i="12"/>
  <c r="I84" i="12" s="1"/>
  <c r="AC70" i="12"/>
  <c r="G50" i="1"/>
  <c r="G52" i="1"/>
  <c r="AC74" i="12"/>
  <c r="G54" i="1"/>
  <c r="G60" i="1"/>
  <c r="AC82" i="12"/>
  <c r="G62" i="1"/>
  <c r="I55" i="13"/>
  <c r="E11" i="1"/>
  <c r="U17" i="15"/>
  <c r="N33" i="15"/>
  <c r="P33" i="15" s="1"/>
  <c r="P26" i="15"/>
  <c r="P34" i="15"/>
  <c r="N50" i="15"/>
  <c r="P50" i="15" s="1"/>
  <c r="P44" i="15"/>
  <c r="AR53" i="15"/>
  <c r="P53" i="15"/>
  <c r="AB38" i="13"/>
  <c r="H15" i="1"/>
  <c r="H35" i="4"/>
  <c r="I15" i="1"/>
  <c r="I48" i="14"/>
  <c r="AC57" i="14"/>
  <c r="K31" i="1"/>
  <c r="I75" i="14"/>
  <c r="AC60" i="14"/>
  <c r="AC86" i="14"/>
  <c r="K60" i="1"/>
  <c r="AC18" i="14"/>
  <c r="K24" i="14"/>
  <c r="K19" i="4"/>
  <c r="AC66" i="4"/>
  <c r="U27" i="15"/>
  <c r="U37" i="15"/>
  <c r="U41" i="15"/>
  <c r="K55" i="13"/>
  <c r="E24" i="1"/>
  <c r="C48" i="1"/>
  <c r="H7" i="1"/>
  <c r="U64" i="15"/>
  <c r="U25" i="15"/>
  <c r="U49" i="15"/>
  <c r="G17" i="1"/>
  <c r="Q44" i="15"/>
  <c r="P19" i="15"/>
  <c r="H45" i="4"/>
  <c r="K62" i="4"/>
  <c r="I29" i="1"/>
  <c r="I27" i="1"/>
  <c r="G37" i="1"/>
  <c r="AC7" i="12"/>
  <c r="AR60" i="15"/>
  <c r="P60" i="15"/>
  <c r="H23" i="12"/>
  <c r="H28" i="12" s="1"/>
  <c r="AB32" i="12"/>
  <c r="H42" i="12"/>
  <c r="F17" i="1"/>
  <c r="H52" i="12"/>
  <c r="H69" i="12"/>
  <c r="AB63" i="12"/>
  <c r="H27" i="1"/>
  <c r="Q22" i="15"/>
  <c r="O33" i="15"/>
  <c r="Q33" i="15" s="1"/>
  <c r="Q26" i="15"/>
  <c r="O50" i="15"/>
  <c r="Q50" i="15" s="1"/>
  <c r="Q34" i="15"/>
  <c r="Q36" i="15"/>
  <c r="Q42" i="15"/>
  <c r="Q46" i="15"/>
  <c r="O59" i="15"/>
  <c r="Q59" i="15" s="1"/>
  <c r="Q55" i="15"/>
  <c r="I45" i="13"/>
  <c r="I40" i="1"/>
  <c r="I46" i="1"/>
  <c r="I60" i="1"/>
  <c r="AC85" i="13"/>
  <c r="I62" i="1"/>
  <c r="AC55" i="14"/>
  <c r="K29" i="1"/>
  <c r="AC33" i="4"/>
  <c r="E62" i="1"/>
  <c r="U62" i="15"/>
  <c r="U57" i="15"/>
  <c r="U42" i="15"/>
  <c r="U48" i="15"/>
  <c r="U28" i="15"/>
  <c r="U30" i="15"/>
  <c r="U36" i="15"/>
  <c r="U34" i="15"/>
  <c r="U51" i="15"/>
  <c r="U26" i="15"/>
  <c r="U9" i="15"/>
  <c r="U32" i="15"/>
  <c r="U40" i="15"/>
  <c r="U11" i="15"/>
  <c r="U13" i="15"/>
  <c r="U19" i="15"/>
  <c r="U29" i="15"/>
  <c r="S50" i="15"/>
  <c r="U50" i="15" s="1"/>
  <c r="U35" i="15"/>
  <c r="AS39" i="15"/>
  <c r="C38" i="1"/>
  <c r="U39" i="15"/>
  <c r="U43" i="15"/>
  <c r="U52" i="15"/>
  <c r="C55" i="1"/>
  <c r="AS56" i="15"/>
  <c r="U63" i="15"/>
  <c r="P58" i="15"/>
  <c r="C7" i="1"/>
  <c r="U56" i="15"/>
  <c r="U55" i="15"/>
  <c r="U53" i="15"/>
  <c r="B51" i="1"/>
  <c r="H84" i="14"/>
  <c r="H90" i="14" s="1"/>
  <c r="H24" i="14"/>
  <c r="H72" i="13"/>
  <c r="Q38" i="15"/>
  <c r="I69" i="12"/>
  <c r="I84" i="14"/>
  <c r="I90" i="14" s="1"/>
  <c r="D70" i="1"/>
  <c r="H38" i="1"/>
  <c r="G56" i="1"/>
  <c r="AC65" i="12"/>
  <c r="AR49" i="15"/>
  <c r="AC41" i="14"/>
  <c r="AC11" i="12"/>
  <c r="AC22" i="14"/>
  <c r="AC26" i="14"/>
  <c r="AC49" i="4"/>
  <c r="AC83" i="4"/>
  <c r="P21" i="15"/>
  <c r="P37" i="15"/>
  <c r="AR39" i="15"/>
  <c r="AR54" i="15"/>
  <c r="AB20" i="12"/>
  <c r="AB47" i="13"/>
  <c r="AB43" i="14"/>
  <c r="AB67" i="14"/>
  <c r="AB78" i="14"/>
  <c r="AB80" i="14"/>
  <c r="AB32" i="4"/>
  <c r="J62" i="4"/>
  <c r="AB48" i="4"/>
  <c r="R23" i="15"/>
  <c r="T23" i="15" s="1"/>
  <c r="T28" i="15"/>
  <c r="T38" i="15"/>
  <c r="R59" i="15"/>
  <c r="R65" i="15" s="1"/>
  <c r="AC56" i="13"/>
  <c r="W72" i="13"/>
  <c r="I22" i="13"/>
  <c r="I26" i="13" s="1"/>
  <c r="H19" i="4"/>
  <c r="N59" i="15"/>
  <c r="P59" i="15" s="1"/>
  <c r="P51" i="15"/>
  <c r="AR56" i="15"/>
  <c r="P56" i="15"/>
  <c r="AB36" i="12"/>
  <c r="I52" i="12"/>
  <c r="G39" i="1"/>
  <c r="AB41" i="13"/>
  <c r="H18" i="1"/>
  <c r="I25" i="1"/>
  <c r="I31" i="1"/>
  <c r="I72" i="13"/>
  <c r="AB74" i="13"/>
  <c r="H51" i="1"/>
  <c r="I58" i="14"/>
  <c r="K27" i="1"/>
  <c r="AB64" i="14"/>
  <c r="AS52" i="15"/>
  <c r="S59" i="15"/>
  <c r="S65" i="15" s="1"/>
  <c r="U65" i="15" s="1"/>
  <c r="AS54" i="15"/>
  <c r="U54" i="15"/>
  <c r="AB6" i="12"/>
  <c r="AB10" i="12"/>
  <c r="AB18" i="13"/>
  <c r="AB23" i="4"/>
  <c r="AB56" i="4"/>
  <c r="AA25" i="14"/>
  <c r="AA29" i="14" s="1"/>
  <c r="Z19" i="4"/>
  <c r="Z35" i="4"/>
  <c r="AB34" i="4"/>
  <c r="Z62" i="4"/>
  <c r="Z25" i="14"/>
  <c r="Z29" i="14" s="1"/>
  <c r="AB6" i="14"/>
  <c r="AA10" i="4"/>
  <c r="C20" i="1"/>
  <c r="AA19" i="4"/>
  <c r="Z45" i="4"/>
  <c r="Z48" i="14"/>
  <c r="AA48" i="14"/>
  <c r="AA75" i="14"/>
  <c r="T32" i="15"/>
  <c r="T16" i="15"/>
  <c r="T15" i="15"/>
  <c r="T48" i="15"/>
  <c r="T51" i="15"/>
  <c r="T44" i="15"/>
  <c r="T42" i="15"/>
  <c r="T30" i="15"/>
  <c r="T26" i="15"/>
  <c r="T22" i="15"/>
  <c r="T64" i="15"/>
  <c r="T36" i="15"/>
  <c r="T13" i="15"/>
  <c r="T20" i="15"/>
  <c r="T55" i="15"/>
  <c r="T62" i="15"/>
  <c r="T40" i="15"/>
  <c r="T34" i="15"/>
  <c r="T56" i="15"/>
  <c r="T53" i="15"/>
  <c r="T11" i="15"/>
  <c r="T57" i="15"/>
  <c r="T37" i="15"/>
  <c r="T49" i="15"/>
  <c r="T18" i="15"/>
  <c r="T46" i="15"/>
  <c r="T9" i="15"/>
  <c r="T60" i="15"/>
  <c r="T19" i="15"/>
  <c r="T58" i="15"/>
  <c r="T25" i="15"/>
  <c r="T17" i="15"/>
  <c r="T12" i="15"/>
  <c r="T39" i="15"/>
  <c r="T27" i="15"/>
  <c r="AR36" i="15" l="1"/>
  <c r="AG34" i="15"/>
  <c r="T82" i="4"/>
  <c r="T84" i="4" s="1"/>
  <c r="T86" i="4" s="1"/>
  <c r="T88" i="4" s="1"/>
  <c r="U78" i="4"/>
  <c r="U80" i="4" s="1"/>
  <c r="C46" i="1"/>
  <c r="C31" i="1"/>
  <c r="AS49" i="15"/>
  <c r="U82" i="4"/>
  <c r="U84" i="4" s="1"/>
  <c r="U86" i="4" s="1"/>
  <c r="U88" i="4" s="1"/>
  <c r="AR52" i="15"/>
  <c r="B11" i="1"/>
  <c r="AF15" i="15"/>
  <c r="AF36" i="15"/>
  <c r="C40" i="1"/>
  <c r="AF34" i="15"/>
  <c r="AB80" i="15"/>
  <c r="AF21" i="15"/>
  <c r="AG46" i="15"/>
  <c r="AG64" i="15"/>
  <c r="AG16" i="15"/>
  <c r="Q21" i="4"/>
  <c r="W88" i="13"/>
  <c r="W90" i="13" s="1"/>
  <c r="W92" i="13" s="1"/>
  <c r="W94" i="13" s="1"/>
  <c r="W96" i="13" s="1"/>
  <c r="W98" i="13" s="1"/>
  <c r="C36" i="1"/>
  <c r="X21" i="4"/>
  <c r="AG48" i="15"/>
  <c r="C56" i="1"/>
  <c r="AB59" i="15"/>
  <c r="C18" i="1"/>
  <c r="Z85" i="12"/>
  <c r="Z87" i="12" s="1"/>
  <c r="Z89" i="12" s="1"/>
  <c r="Z91" i="12" s="1"/>
  <c r="Z93" i="12" s="1"/>
  <c r="Z95" i="12" s="1"/>
  <c r="B34" i="1"/>
  <c r="V91" i="14"/>
  <c r="V93" i="14" s="1"/>
  <c r="V95" i="14" s="1"/>
  <c r="V97" i="14" s="1"/>
  <c r="V99" i="14" s="1"/>
  <c r="V101" i="14" s="1"/>
  <c r="O21" i="4"/>
  <c r="AS22" i="15"/>
  <c r="AK11" i="15"/>
  <c r="AS11" i="15" s="1"/>
  <c r="AJ11" i="15"/>
  <c r="AB33" i="13"/>
  <c r="N65" i="15"/>
  <c r="P65" i="15" s="1"/>
  <c r="N88" i="13"/>
  <c r="N90" i="13" s="1"/>
  <c r="N92" i="13" s="1"/>
  <c r="N94" i="13" s="1"/>
  <c r="N96" i="13" s="1"/>
  <c r="N98" i="13" s="1"/>
  <c r="Z88" i="13"/>
  <c r="Z90" i="13" s="1"/>
  <c r="Z92" i="13" s="1"/>
  <c r="Z94" i="13" s="1"/>
  <c r="Z96" i="13" s="1"/>
  <c r="Z98" i="13" s="1"/>
  <c r="D91" i="14"/>
  <c r="D93" i="14" s="1"/>
  <c r="W85" i="12"/>
  <c r="W87" i="12" s="1"/>
  <c r="W89" i="12" s="1"/>
  <c r="W91" i="12" s="1"/>
  <c r="W93" i="12" s="1"/>
  <c r="W95" i="12" s="1"/>
  <c r="H85" i="12"/>
  <c r="H87" i="12" s="1"/>
  <c r="H89" i="12" s="1"/>
  <c r="H91" i="12" s="1"/>
  <c r="H93" i="12" s="1"/>
  <c r="H95" i="12" s="1"/>
  <c r="N91" i="14"/>
  <c r="N93" i="14" s="1"/>
  <c r="N95" i="14" s="1"/>
  <c r="N97" i="14" s="1"/>
  <c r="N99" i="14" s="1"/>
  <c r="N101" i="14" s="1"/>
  <c r="V21" i="4"/>
  <c r="V78" i="4"/>
  <c r="V80" i="4" s="1"/>
  <c r="AS78" i="15"/>
  <c r="N78" i="4"/>
  <c r="N80" i="4" s="1"/>
  <c r="I91" i="14"/>
  <c r="I93" i="14" s="1"/>
  <c r="I95" i="14" s="1"/>
  <c r="I97" i="14" s="1"/>
  <c r="I99" i="14" s="1"/>
  <c r="I101" i="14" s="1"/>
  <c r="O88" i="13"/>
  <c r="O90" i="13" s="1"/>
  <c r="O92" i="13" s="1"/>
  <c r="O94" i="13" s="1"/>
  <c r="O96" i="13" s="1"/>
  <c r="O98" i="13" s="1"/>
  <c r="J91" i="14"/>
  <c r="J93" i="14" s="1"/>
  <c r="J95" i="14" s="1"/>
  <c r="J97" i="14" s="1"/>
  <c r="J99" i="14" s="1"/>
  <c r="J101" i="14" s="1"/>
  <c r="V85" i="12"/>
  <c r="V87" i="12" s="1"/>
  <c r="V89" i="12" s="1"/>
  <c r="V91" i="12" s="1"/>
  <c r="V93" i="12" s="1"/>
  <c r="V95" i="12" s="1"/>
  <c r="V88" i="13"/>
  <c r="V90" i="13" s="1"/>
  <c r="V92" i="13" s="1"/>
  <c r="V94" i="13" s="1"/>
  <c r="V96" i="13" s="1"/>
  <c r="V98" i="13" s="1"/>
  <c r="B27" i="1"/>
  <c r="Z78" i="4"/>
  <c r="Z80" i="4" s="1"/>
  <c r="AA88" i="13"/>
  <c r="AA90" i="13" s="1"/>
  <c r="AA92" i="13" s="1"/>
  <c r="AA94" i="13" s="1"/>
  <c r="AA96" i="13" s="1"/>
  <c r="AA98" i="13" s="1"/>
  <c r="W91" i="14"/>
  <c r="W93" i="14" s="1"/>
  <c r="W95" i="14" s="1"/>
  <c r="W97" i="14" s="1"/>
  <c r="W99" i="14" s="1"/>
  <c r="W101" i="14" s="1"/>
  <c r="AM66" i="15"/>
  <c r="AM68" i="15" s="1"/>
  <c r="AM70" i="15" s="1"/>
  <c r="AM72" i="15" s="1"/>
  <c r="W78" i="4"/>
  <c r="W80" i="4" s="1"/>
  <c r="W82" i="4" s="1"/>
  <c r="W84" i="4" s="1"/>
  <c r="W86" i="4" s="1"/>
  <c r="W88" i="4" s="1"/>
  <c r="Z91" i="14"/>
  <c r="Z93" i="14" s="1"/>
  <c r="Z95" i="14" s="1"/>
  <c r="Z97" i="14" s="1"/>
  <c r="Z99" i="14" s="1"/>
  <c r="Z101" i="14" s="1"/>
  <c r="T80" i="15"/>
  <c r="T59" i="15"/>
  <c r="K21" i="4"/>
  <c r="B43" i="1"/>
  <c r="P21" i="4"/>
  <c r="AG84" i="15"/>
  <c r="Q80" i="15"/>
  <c r="X85" i="12"/>
  <c r="X87" i="12" s="1"/>
  <c r="X89" i="12" s="1"/>
  <c r="X91" i="12" s="1"/>
  <c r="X93" i="12" s="1"/>
  <c r="X95" i="12" s="1"/>
  <c r="AA45" i="4"/>
  <c r="AA62" i="4"/>
  <c r="AA42" i="12"/>
  <c r="AA78" i="12"/>
  <c r="AA84" i="12" s="1"/>
  <c r="U59" i="15"/>
  <c r="AE59" i="15"/>
  <c r="AE65" i="15" s="1"/>
  <c r="C28" i="1"/>
  <c r="I85" i="12"/>
  <c r="I87" i="12" s="1"/>
  <c r="I89" i="12" s="1"/>
  <c r="I91" i="12" s="1"/>
  <c r="I93" i="12" s="1"/>
  <c r="I95" i="12" s="1"/>
  <c r="AF16" i="15"/>
  <c r="I78" i="4"/>
  <c r="I80" i="4" s="1"/>
  <c r="J88" i="13"/>
  <c r="J90" i="13" s="1"/>
  <c r="J92" i="13" s="1"/>
  <c r="J94" i="13" s="1"/>
  <c r="J96" i="13" s="1"/>
  <c r="J98" i="13" s="1"/>
  <c r="D88" i="13"/>
  <c r="D90" i="13" s="1"/>
  <c r="D92" i="13" s="1"/>
  <c r="AN66" i="15"/>
  <c r="AN68" i="15" s="1"/>
  <c r="AN70" i="15" s="1"/>
  <c r="AN72" i="15" s="1"/>
  <c r="AN76" i="15" s="1"/>
  <c r="X78" i="4"/>
  <c r="X80" i="4" s="1"/>
  <c r="Y21" i="4"/>
  <c r="C35" i="1"/>
  <c r="F5" i="1"/>
  <c r="Z21" i="4"/>
  <c r="AR16" i="15"/>
  <c r="H91" i="14"/>
  <c r="H93" i="14" s="1"/>
  <c r="H95" i="14" s="1"/>
  <c r="H97" i="14" s="1"/>
  <c r="H99" i="14" s="1"/>
  <c r="H101" i="14" s="1"/>
  <c r="AE33" i="15"/>
  <c r="AG33" i="15" s="1"/>
  <c r="N85" i="12"/>
  <c r="N87" i="12" s="1"/>
  <c r="N89" i="12" s="1"/>
  <c r="N91" i="12" s="1"/>
  <c r="N93" i="12" s="1"/>
  <c r="N95" i="12" s="1"/>
  <c r="I21" i="4"/>
  <c r="N21" i="4"/>
  <c r="D21" i="4"/>
  <c r="P80" i="15"/>
  <c r="J21" i="4"/>
  <c r="AR21" i="15"/>
  <c r="AS34" i="15"/>
  <c r="AR12" i="15"/>
  <c r="R43" i="4"/>
  <c r="R76" i="4"/>
  <c r="R74" i="4"/>
  <c r="R70" i="4"/>
  <c r="R59" i="4"/>
  <c r="R55" i="4"/>
  <c r="R52" i="4"/>
  <c r="R75" i="4"/>
  <c r="R69" i="4"/>
  <c r="R57" i="4"/>
  <c r="R53" i="4"/>
  <c r="R50" i="4"/>
  <c r="R44" i="4"/>
  <c r="R49" i="4"/>
  <c r="R63" i="4"/>
  <c r="R42" i="4"/>
  <c r="R38" i="4"/>
  <c r="R39" i="4"/>
  <c r="R73" i="4"/>
  <c r="R60" i="4"/>
  <c r="R89" i="14"/>
  <c r="R87" i="14"/>
  <c r="R83" i="14"/>
  <c r="R76" i="14"/>
  <c r="R72" i="14"/>
  <c r="R66" i="14"/>
  <c r="R63" i="14"/>
  <c r="R56" i="14"/>
  <c r="R88" i="14"/>
  <c r="R86" i="14"/>
  <c r="R82" i="14"/>
  <c r="R73" i="14"/>
  <c r="R68" i="14"/>
  <c r="R65" i="14"/>
  <c r="R57" i="14"/>
  <c r="R55" i="14"/>
  <c r="R51" i="14"/>
  <c r="R52" i="14"/>
  <c r="R49" i="12"/>
  <c r="R46" i="12"/>
  <c r="R76" i="12"/>
  <c r="R60" i="12"/>
  <c r="R51" i="12"/>
  <c r="R56" i="12"/>
  <c r="R50" i="12"/>
  <c r="R83" i="12"/>
  <c r="R81" i="12"/>
  <c r="R77" i="12"/>
  <c r="R70" i="12"/>
  <c r="R66" i="12"/>
  <c r="R62" i="12"/>
  <c r="R59" i="12"/>
  <c r="R45" i="12"/>
  <c r="R82" i="12"/>
  <c r="R80" i="12"/>
  <c r="R67" i="12"/>
  <c r="R64" i="12"/>
  <c r="R57" i="12"/>
  <c r="R60" i="13"/>
  <c r="R85" i="13"/>
  <c r="R83" i="13"/>
  <c r="R79" i="13"/>
  <c r="R70" i="13"/>
  <c r="R65" i="13"/>
  <c r="R62" i="13"/>
  <c r="R59" i="13"/>
  <c r="R53" i="13"/>
  <c r="R49" i="13"/>
  <c r="R86" i="13"/>
  <c r="R84" i="13"/>
  <c r="R80" i="13"/>
  <c r="R73" i="13"/>
  <c r="R69" i="13"/>
  <c r="R63" i="13"/>
  <c r="R54" i="13"/>
  <c r="R52" i="13"/>
  <c r="R48" i="13"/>
  <c r="AS21" i="15"/>
  <c r="U28" i="12"/>
  <c r="AK47" i="15"/>
  <c r="AC69" i="13"/>
  <c r="AB31" i="4"/>
  <c r="B54" i="1"/>
  <c r="AR55" i="15"/>
  <c r="AR73" i="15"/>
  <c r="AC8" i="13"/>
  <c r="AC63" i="13"/>
  <c r="AC54" i="14"/>
  <c r="AC56" i="14"/>
  <c r="AC66" i="14"/>
  <c r="AA35" i="4"/>
  <c r="AC39" i="4"/>
  <c r="AC41" i="4"/>
  <c r="AC43" i="4"/>
  <c r="AC51" i="4"/>
  <c r="AC53" i="4"/>
  <c r="AC76" i="4"/>
  <c r="AC34" i="12"/>
  <c r="AC37" i="12"/>
  <c r="AC57" i="12"/>
  <c r="AI57" i="15"/>
  <c r="AS57" i="15" s="1"/>
  <c r="AC69" i="4"/>
  <c r="AK16" i="15"/>
  <c r="AS16" i="15" s="1"/>
  <c r="Y85" i="12"/>
  <c r="Y87" i="12" s="1"/>
  <c r="Y89" i="12" s="1"/>
  <c r="Y91" i="12" s="1"/>
  <c r="Y93" i="12" s="1"/>
  <c r="Y95" i="12" s="1"/>
  <c r="AP66" i="15"/>
  <c r="AP68" i="15" s="1"/>
  <c r="AP70" i="15" s="1"/>
  <c r="R19" i="4"/>
  <c r="R21" i="4" s="1"/>
  <c r="U69" i="12"/>
  <c r="Y88" i="13"/>
  <c r="Y90" i="13" s="1"/>
  <c r="Y92" i="13" s="1"/>
  <c r="Y94" i="13" s="1"/>
  <c r="Y96" i="13" s="1"/>
  <c r="Y98" i="13" s="1"/>
  <c r="E16" i="1"/>
  <c r="AC29" i="4"/>
  <c r="E48" i="1"/>
  <c r="AC61" i="4"/>
  <c r="AC31" i="12"/>
  <c r="G16" i="1"/>
  <c r="AC36" i="12"/>
  <c r="G24" i="1"/>
  <c r="C52" i="12"/>
  <c r="G32" i="1" s="1"/>
  <c r="B19" i="4"/>
  <c r="D7" i="1" s="1"/>
  <c r="AB12" i="4"/>
  <c r="AB16" i="4"/>
  <c r="C23" i="12"/>
  <c r="C28" i="12" s="1"/>
  <c r="AC26" i="12"/>
  <c r="B22" i="13"/>
  <c r="B26" i="13" s="1"/>
  <c r="AB7" i="13"/>
  <c r="F48" i="1"/>
  <c r="E18" i="1"/>
  <c r="AH11" i="15"/>
  <c r="B50" i="15"/>
  <c r="AB8" i="4"/>
  <c r="D59" i="15"/>
  <c r="AR8" i="15"/>
  <c r="B13" i="1"/>
  <c r="B33" i="15"/>
  <c r="D29" i="15"/>
  <c r="C13" i="12"/>
  <c r="G5" i="1" s="1"/>
  <c r="AC50" i="13"/>
  <c r="AC80" i="13"/>
  <c r="AC76" i="14"/>
  <c r="AC50" i="4"/>
  <c r="AI38" i="15"/>
  <c r="AS38" i="15" s="1"/>
  <c r="AA21" i="4"/>
  <c r="H78" i="4"/>
  <c r="H80" i="4" s="1"/>
  <c r="K78" i="4"/>
  <c r="K80" i="4" s="1"/>
  <c r="C45" i="4"/>
  <c r="E32" i="1" s="1"/>
  <c r="AC40" i="12"/>
  <c r="AC71" i="12"/>
  <c r="C78" i="12"/>
  <c r="G51" i="1"/>
  <c r="C54" i="1"/>
  <c r="AS55" i="15"/>
  <c r="AC20" i="12"/>
  <c r="AG80" i="15"/>
  <c r="AS42" i="15"/>
  <c r="AK12" i="15"/>
  <c r="E85" i="12"/>
  <c r="E87" i="12" s="1"/>
  <c r="E89" i="12" s="1"/>
  <c r="C21" i="13"/>
  <c r="AC21" i="13" s="1"/>
  <c r="C42" i="12"/>
  <c r="G22" i="1" s="1"/>
  <c r="AC73" i="12"/>
  <c r="Q84" i="15"/>
  <c r="T84" i="15"/>
  <c r="AA91" i="14"/>
  <c r="AA93" i="14" s="1"/>
  <c r="AA95" i="14" s="1"/>
  <c r="AA97" i="14" s="1"/>
  <c r="AA99" i="14" s="1"/>
  <c r="AA101" i="14" s="1"/>
  <c r="AC6" i="14"/>
  <c r="AG27" i="15"/>
  <c r="AC50" i="12"/>
  <c r="E55" i="1"/>
  <c r="AC64" i="4"/>
  <c r="B28" i="1"/>
  <c r="AC46" i="12"/>
  <c r="AC16" i="12"/>
  <c r="P84" i="15"/>
  <c r="D11" i="15"/>
  <c r="D55" i="15"/>
  <c r="O91" i="14"/>
  <c r="O93" i="14" s="1"/>
  <c r="O95" i="14" s="1"/>
  <c r="O97" i="14" s="1"/>
  <c r="O99" i="14" s="1"/>
  <c r="O101" i="14" s="1"/>
  <c r="O78" i="4"/>
  <c r="O80" i="4" s="1"/>
  <c r="O85" i="12"/>
  <c r="O87" i="12" s="1"/>
  <c r="O89" i="12" s="1"/>
  <c r="O91" i="12" s="1"/>
  <c r="O93" i="12" s="1"/>
  <c r="O95" i="12" s="1"/>
  <c r="K85" i="12"/>
  <c r="K87" i="12" s="1"/>
  <c r="K89" i="12" s="1"/>
  <c r="K91" i="12" s="1"/>
  <c r="K93" i="12" s="1"/>
  <c r="K95" i="12" s="1"/>
  <c r="K91" i="14"/>
  <c r="K93" i="14" s="1"/>
  <c r="K95" i="14" s="1"/>
  <c r="K97" i="14" s="1"/>
  <c r="K99" i="14" s="1"/>
  <c r="K101" i="14" s="1"/>
  <c r="E21" i="4"/>
  <c r="AO66" i="15"/>
  <c r="AO68" i="15" s="1"/>
  <c r="AO70" i="15" s="1"/>
  <c r="AO72" i="15" s="1"/>
  <c r="AO74" i="15" s="1"/>
  <c r="AR42" i="15"/>
  <c r="H88" i="13"/>
  <c r="H90" i="13" s="1"/>
  <c r="H92" i="13" s="1"/>
  <c r="H94" i="13" s="1"/>
  <c r="H96" i="13" s="1"/>
  <c r="H98" i="13" s="1"/>
  <c r="J78" i="4"/>
  <c r="J80" i="4" s="1"/>
  <c r="AC7" i="4"/>
  <c r="AC15" i="4"/>
  <c r="AC17" i="4"/>
  <c r="AI18" i="15"/>
  <c r="AI20" i="15"/>
  <c r="AS20" i="15" s="1"/>
  <c r="AB39" i="12"/>
  <c r="AS43" i="15"/>
  <c r="S58" i="14"/>
  <c r="AB31" i="13"/>
  <c r="AB54" i="14"/>
  <c r="AC44" i="12"/>
  <c r="U55" i="13"/>
  <c r="U58" i="14"/>
  <c r="U91" i="14" s="1"/>
  <c r="U93" i="14" s="1"/>
  <c r="U95" i="14" s="1"/>
  <c r="U97" i="14" s="1"/>
  <c r="U99" i="14" s="1"/>
  <c r="U101" i="14" s="1"/>
  <c r="AK51" i="15"/>
  <c r="T21" i="13"/>
  <c r="AB6" i="13"/>
  <c r="D17" i="1"/>
  <c r="AB21" i="14"/>
  <c r="B24" i="14"/>
  <c r="AB24" i="14" s="1"/>
  <c r="AB31" i="14"/>
  <c r="B88" i="13"/>
  <c r="B90" i="13" s="1"/>
  <c r="B92" i="13" s="1"/>
  <c r="B94" i="13" s="1"/>
  <c r="B96" i="13" s="1"/>
  <c r="B98" i="13" s="1"/>
  <c r="AB69" i="14"/>
  <c r="AB27" i="4"/>
  <c r="AB54" i="4"/>
  <c r="AC28" i="13"/>
  <c r="AC7" i="14"/>
  <c r="AC15" i="14"/>
  <c r="AC23" i="14"/>
  <c r="AC58" i="13"/>
  <c r="I35" i="1"/>
  <c r="AC60" i="13"/>
  <c r="AC65" i="14"/>
  <c r="U80" i="15"/>
  <c r="J85" i="12"/>
  <c r="J87" i="12" s="1"/>
  <c r="J89" i="12" s="1"/>
  <c r="J91" i="12" s="1"/>
  <c r="J93" i="12" s="1"/>
  <c r="J95" i="12" s="1"/>
  <c r="S66" i="15"/>
  <c r="U66" i="15" s="1"/>
  <c r="K88" i="13"/>
  <c r="K90" i="13" s="1"/>
  <c r="K92" i="13" s="1"/>
  <c r="K94" i="13" s="1"/>
  <c r="K96" i="13" s="1"/>
  <c r="K98" i="13" s="1"/>
  <c r="AS19" i="15"/>
  <c r="AI29" i="15"/>
  <c r="AS29" i="15" s="1"/>
  <c r="S48" i="14"/>
  <c r="U16" i="16"/>
  <c r="U18" i="16" s="1"/>
  <c r="U20" i="16" s="1"/>
  <c r="U22" i="16" s="1"/>
  <c r="U24" i="16" s="1"/>
  <c r="AC19" i="12"/>
  <c r="AK18" i="15"/>
  <c r="AJ44" i="15"/>
  <c r="AR44" i="15" s="1"/>
  <c r="AK48" i="15"/>
  <c r="AK32" i="15"/>
  <c r="AK62" i="15"/>
  <c r="AK27" i="15"/>
  <c r="AC63" i="14"/>
  <c r="U22" i="13"/>
  <c r="U26" i="13" s="1"/>
  <c r="AC26" i="13" s="1"/>
  <c r="AC20" i="13"/>
  <c r="AC24" i="13"/>
  <c r="U45" i="13"/>
  <c r="AC40" i="13"/>
  <c r="AB8" i="13"/>
  <c r="AH34" i="15"/>
  <c r="AR34" i="15" s="1"/>
  <c r="AC76" i="12"/>
  <c r="AC79" i="12"/>
  <c r="AC80" i="15"/>
  <c r="AB84" i="15"/>
  <c r="G21" i="4"/>
  <c r="F21" i="4"/>
  <c r="Y91" i="14"/>
  <c r="Y93" i="14" s="1"/>
  <c r="Y95" i="14" s="1"/>
  <c r="Y97" i="14" s="1"/>
  <c r="Y99" i="14" s="1"/>
  <c r="Y101" i="14" s="1"/>
  <c r="Y78" i="4"/>
  <c r="Y80" i="4" s="1"/>
  <c r="AC25" i="4"/>
  <c r="AC62" i="12"/>
  <c r="AI27" i="15"/>
  <c r="AB66" i="13"/>
  <c r="AC69" i="14"/>
  <c r="C10" i="4"/>
  <c r="C21" i="4" s="1"/>
  <c r="AC38" i="4"/>
  <c r="C62" i="4"/>
  <c r="AC55" i="12"/>
  <c r="AQ50" i="15"/>
  <c r="AQ66" i="15" s="1"/>
  <c r="AQ68" i="15" s="1"/>
  <c r="AQ70" i="15" s="1"/>
  <c r="G78" i="4"/>
  <c r="G80" i="4" s="1"/>
  <c r="I32" i="1"/>
  <c r="AI14" i="15"/>
  <c r="AS14" i="15" s="1"/>
  <c r="AC26" i="4"/>
  <c r="AH28" i="15"/>
  <c r="AB40" i="4"/>
  <c r="AI26" i="15"/>
  <c r="AS26" i="15" s="1"/>
  <c r="S52" i="12"/>
  <c r="AC45" i="12"/>
  <c r="AC74" i="4"/>
  <c r="AI62" i="15"/>
  <c r="AC59" i="12"/>
  <c r="AI40" i="15"/>
  <c r="AS40" i="15" s="1"/>
  <c r="AI31" i="15"/>
  <c r="AS31" i="15" s="1"/>
  <c r="S55" i="13"/>
  <c r="AC62" i="13"/>
  <c r="S72" i="13"/>
  <c r="AC70" i="13"/>
  <c r="AI48" i="15"/>
  <c r="AC82" i="14"/>
  <c r="S84" i="14"/>
  <c r="S90" i="14" s="1"/>
  <c r="AI28" i="15"/>
  <c r="AS28" i="15" s="1"/>
  <c r="AC53" i="14"/>
  <c r="AI36" i="15"/>
  <c r="AS36" i="15" s="1"/>
  <c r="AC61" i="14"/>
  <c r="U3" i="14"/>
  <c r="U3" i="12"/>
  <c r="U3" i="16"/>
  <c r="AB14" i="12"/>
  <c r="B52" i="12"/>
  <c r="AB44" i="12"/>
  <c r="F24" i="1"/>
  <c r="AC43" i="13"/>
  <c r="I20" i="1"/>
  <c r="I53" i="1"/>
  <c r="AC76" i="13"/>
  <c r="AC62" i="14"/>
  <c r="K36" i="1"/>
  <c r="AC54" i="12"/>
  <c r="AA69" i="12"/>
  <c r="S19" i="4"/>
  <c r="S21" i="4" s="1"/>
  <c r="AC12" i="4"/>
  <c r="AB9" i="4"/>
  <c r="B10" i="4"/>
  <c r="AB10" i="4" s="1"/>
  <c r="AB26" i="4"/>
  <c r="D13" i="1"/>
  <c r="B42" i="12"/>
  <c r="AB31" i="12"/>
  <c r="AB73" i="12"/>
  <c r="F53" i="1"/>
  <c r="I30" i="1"/>
  <c r="AC53" i="13"/>
  <c r="K7" i="1"/>
  <c r="AC68" i="14"/>
  <c r="AC79" i="14"/>
  <c r="K53" i="1"/>
  <c r="AC46" i="4"/>
  <c r="I55" i="1"/>
  <c r="I38" i="1"/>
  <c r="AB37" i="12"/>
  <c r="K34" i="1"/>
  <c r="F11" i="1"/>
  <c r="AS37" i="15"/>
  <c r="D85" i="12"/>
  <c r="D87" i="12" s="1"/>
  <c r="AI25" i="15"/>
  <c r="AC37" i="4"/>
  <c r="AB50" i="14"/>
  <c r="AH25" i="15"/>
  <c r="AR25" i="15" s="1"/>
  <c r="B8" i="1"/>
  <c r="AR9" i="15"/>
  <c r="S42" i="12"/>
  <c r="AC30" i="12"/>
  <c r="AC32" i="12"/>
  <c r="I13" i="1"/>
  <c r="K30" i="1"/>
  <c r="AC87" i="14"/>
  <c r="C23" i="15"/>
  <c r="C10" i="1"/>
  <c r="AS13" i="15"/>
  <c r="C12" i="1"/>
  <c r="C17" i="1"/>
  <c r="C19" i="1"/>
  <c r="C33" i="15"/>
  <c r="C25" i="1"/>
  <c r="C29" i="1"/>
  <c r="C50" i="15"/>
  <c r="C39" i="1"/>
  <c r="AS71" i="15"/>
  <c r="AS73" i="15"/>
  <c r="AI44" i="15"/>
  <c r="AC63" i="12"/>
  <c r="AI32" i="15"/>
  <c r="AC44" i="4"/>
  <c r="S71" i="4"/>
  <c r="S77" i="4" s="1"/>
  <c r="AI51" i="15"/>
  <c r="AC49" i="12"/>
  <c r="AI30" i="15"/>
  <c r="AS30" i="15" s="1"/>
  <c r="R22" i="13"/>
  <c r="R26" i="13" s="1"/>
  <c r="AB19" i="13"/>
  <c r="AH35" i="15"/>
  <c r="AB40" i="12"/>
  <c r="F20" i="1"/>
  <c r="I7" i="1"/>
  <c r="AC29" i="13"/>
  <c r="AC41" i="13"/>
  <c r="I18" i="1"/>
  <c r="I28" i="1"/>
  <c r="AC51" i="13"/>
  <c r="I34" i="1"/>
  <c r="C72" i="13"/>
  <c r="C88" i="13" s="1"/>
  <c r="AC82" i="13"/>
  <c r="I59" i="1"/>
  <c r="AC50" i="14"/>
  <c r="C58" i="14"/>
  <c r="K32" i="1" s="1"/>
  <c r="K24" i="1"/>
  <c r="AC77" i="14"/>
  <c r="C84" i="14"/>
  <c r="C90" i="14" s="1"/>
  <c r="AC89" i="14"/>
  <c r="K63" i="1"/>
  <c r="AC51" i="14"/>
  <c r="F55" i="1"/>
  <c r="AR6" i="15"/>
  <c r="AC74" i="13"/>
  <c r="AC57" i="13"/>
  <c r="AB48" i="12"/>
  <c r="AC55" i="4"/>
  <c r="K48" i="1"/>
  <c r="S45" i="4"/>
  <c r="U52" i="12"/>
  <c r="K28" i="1"/>
  <c r="S62" i="4"/>
  <c r="AH15" i="15"/>
  <c r="AR15" i="15" s="1"/>
  <c r="AK25" i="15"/>
  <c r="AC86" i="13"/>
  <c r="S35" i="4"/>
  <c r="AI12" i="15"/>
  <c r="AC83" i="12"/>
  <c r="AI64" i="15"/>
  <c r="AS64" i="15" s="1"/>
  <c r="AI61" i="15"/>
  <c r="AS61" i="15" s="1"/>
  <c r="AC83" i="13"/>
  <c r="AB7" i="4"/>
  <c r="D5" i="1"/>
  <c r="B35" i="4"/>
  <c r="D22" i="1" s="1"/>
  <c r="AB24" i="4"/>
  <c r="B71" i="4"/>
  <c r="B77" i="4" s="1"/>
  <c r="B78" i="4" s="1"/>
  <c r="AB33" i="12"/>
  <c r="F13" i="1"/>
  <c r="F34" i="1"/>
  <c r="AB54" i="12"/>
  <c r="B78" i="12"/>
  <c r="B84" i="12" s="1"/>
  <c r="F51" i="1"/>
  <c r="AB79" i="12"/>
  <c r="F59" i="1"/>
  <c r="I11" i="1"/>
  <c r="C45" i="13"/>
  <c r="AC34" i="13"/>
  <c r="AC59" i="13"/>
  <c r="I36" i="1"/>
  <c r="C48" i="14"/>
  <c r="K11" i="1"/>
  <c r="AC37" i="14"/>
  <c r="AC42" i="14"/>
  <c r="K16" i="1"/>
  <c r="AC46" i="14"/>
  <c r="K20" i="1"/>
  <c r="AC52" i="14"/>
  <c r="K26" i="1"/>
  <c r="AC64" i="14"/>
  <c r="K38" i="1"/>
  <c r="AA71" i="4"/>
  <c r="AA77" i="4" s="1"/>
  <c r="AC77" i="4" s="1"/>
  <c r="K40" i="1"/>
  <c r="AC71" i="13"/>
  <c r="K42" i="1"/>
  <c r="AC24" i="4"/>
  <c r="AB17" i="13"/>
  <c r="R42" i="12"/>
  <c r="S16" i="16"/>
  <c r="S18" i="16" s="1"/>
  <c r="S20" i="16" s="1"/>
  <c r="S22" i="16" s="1"/>
  <c r="S24" i="16" s="1"/>
  <c r="K13" i="1"/>
  <c r="T16" i="16"/>
  <c r="T18" i="16" s="1"/>
  <c r="T20" i="16" s="1"/>
  <c r="T22" i="16" s="1"/>
  <c r="T24" i="16" s="1"/>
  <c r="AH20" i="15"/>
  <c r="AR20" i="15" s="1"/>
  <c r="AH29" i="15"/>
  <c r="AR29" i="15" s="1"/>
  <c r="AI47" i="15"/>
  <c r="AS53" i="15"/>
  <c r="AB17" i="12"/>
  <c r="B23" i="12"/>
  <c r="B28" i="12" s="1"/>
  <c r="AB21" i="12"/>
  <c r="AC6" i="12"/>
  <c r="C12" i="12"/>
  <c r="AC12" i="12" s="1"/>
  <c r="AB12" i="13"/>
  <c r="B21" i="13"/>
  <c r="AB7" i="14"/>
  <c r="AB19" i="14"/>
  <c r="B25" i="14"/>
  <c r="B29" i="14" s="1"/>
  <c r="J5" i="1" s="1"/>
  <c r="AB36" i="14"/>
  <c r="B48" i="14"/>
  <c r="J10" i="1"/>
  <c r="AB38" i="14"/>
  <c r="J12" i="1"/>
  <c r="AB40" i="14"/>
  <c r="AB47" i="14"/>
  <c r="J21" i="1"/>
  <c r="AB59" i="14"/>
  <c r="J33" i="1"/>
  <c r="B75" i="14"/>
  <c r="B91" i="14" s="1"/>
  <c r="AB61" i="14"/>
  <c r="J35" i="1"/>
  <c r="C59" i="15"/>
  <c r="C60" i="1"/>
  <c r="AS46" i="15"/>
  <c r="C50" i="1"/>
  <c r="AL66" i="15"/>
  <c r="AL68" i="15" s="1"/>
  <c r="AL70" i="15" s="1"/>
  <c r="AL72" i="15" s="1"/>
  <c r="C52" i="1"/>
  <c r="C62" i="1"/>
  <c r="C57" i="1"/>
  <c r="AB9" i="12"/>
  <c r="AJ28" i="15"/>
  <c r="AB47" i="12"/>
  <c r="AC60" i="12"/>
  <c r="AK41" i="15"/>
  <c r="AS41" i="15" s="1"/>
  <c r="AC73" i="13"/>
  <c r="U81" i="13"/>
  <c r="U87" i="13" s="1"/>
  <c r="AK58" i="15"/>
  <c r="AC83" i="14"/>
  <c r="AJ18" i="15"/>
  <c r="T48" i="14"/>
  <c r="AB96" i="14"/>
  <c r="J70" i="1"/>
  <c r="E88" i="13"/>
  <c r="E90" i="13" s="1"/>
  <c r="R23" i="12"/>
  <c r="R28" i="12" s="1"/>
  <c r="AI58" i="15"/>
  <c r="AC51" i="12"/>
  <c r="S78" i="12"/>
  <c r="S84" i="12" s="1"/>
  <c r="AC79" i="13"/>
  <c r="S81" i="13"/>
  <c r="S87" i="13" s="1"/>
  <c r="AI63" i="15"/>
  <c r="AS63" i="15" s="1"/>
  <c r="R21" i="13"/>
  <c r="R45" i="13"/>
  <c r="AB45" i="13" s="1"/>
  <c r="S75" i="14"/>
  <c r="D54" i="15"/>
  <c r="H54" i="15"/>
  <c r="H15" i="15"/>
  <c r="H64" i="15"/>
  <c r="H30" i="15"/>
  <c r="H29" i="15"/>
  <c r="H21" i="15"/>
  <c r="H25" i="15"/>
  <c r="H37" i="15"/>
  <c r="H36" i="15"/>
  <c r="D45" i="15"/>
  <c r="D9" i="15"/>
  <c r="D63" i="15"/>
  <c r="D12" i="15"/>
  <c r="D13" i="15"/>
  <c r="D39" i="15"/>
  <c r="D28" i="15"/>
  <c r="D17" i="15"/>
  <c r="D31" i="15"/>
  <c r="D53" i="15"/>
  <c r="D36" i="15"/>
  <c r="H13" i="15"/>
  <c r="H38" i="15"/>
  <c r="H34" i="15"/>
  <c r="AS8" i="15"/>
  <c r="E22" i="15"/>
  <c r="E27" i="15"/>
  <c r="E35" i="15"/>
  <c r="C53" i="1"/>
  <c r="AB32" i="14"/>
  <c r="D78" i="4"/>
  <c r="D80" i="4" s="1"/>
  <c r="C37" i="1"/>
  <c r="AC23" i="4"/>
  <c r="AC27" i="4"/>
  <c r="AC30" i="4"/>
  <c r="AC32" i="4"/>
  <c r="E35" i="1"/>
  <c r="AC48" i="4"/>
  <c r="AC52" i="4"/>
  <c r="AC63" i="4"/>
  <c r="AC39" i="12"/>
  <c r="AC41" i="12"/>
  <c r="AC47" i="12"/>
  <c r="AC53" i="12"/>
  <c r="AC77" i="12"/>
  <c r="AC21" i="12"/>
  <c r="AC18" i="13"/>
  <c r="AB28" i="13"/>
  <c r="AC31" i="14"/>
  <c r="AC37" i="13"/>
  <c r="X91" i="14"/>
  <c r="X93" i="14" s="1"/>
  <c r="X95" i="14" s="1"/>
  <c r="X97" i="14" s="1"/>
  <c r="X99" i="14" s="1"/>
  <c r="X101" i="14" s="1"/>
  <c r="U3" i="13"/>
  <c r="AC33" i="12"/>
  <c r="AC17" i="13"/>
  <c r="AC14" i="14"/>
  <c r="AB51" i="13"/>
  <c r="AB57" i="13"/>
  <c r="AC43" i="14"/>
  <c r="AC88" i="14"/>
  <c r="AA52" i="12"/>
  <c r="C13" i="1"/>
  <c r="AF17" i="15"/>
  <c r="AR17" i="15"/>
  <c r="B16" i="1"/>
  <c r="AF14" i="15"/>
  <c r="AR14" i="15"/>
  <c r="AG44" i="15"/>
  <c r="AS44" i="15"/>
  <c r="C43" i="1"/>
  <c r="B24" i="1"/>
  <c r="AF25" i="15"/>
  <c r="AG22" i="15"/>
  <c r="C21" i="1"/>
  <c r="AS17" i="15"/>
  <c r="AG17" i="15"/>
  <c r="C16" i="1"/>
  <c r="AD23" i="15"/>
  <c r="AF23" i="15" s="1"/>
  <c r="AF11" i="15"/>
  <c r="B10" i="1"/>
  <c r="AF20" i="15"/>
  <c r="B19" i="1"/>
  <c r="Q67" i="13"/>
  <c r="P86" i="13"/>
  <c r="P84" i="13"/>
  <c r="P80" i="13"/>
  <c r="P73" i="13"/>
  <c r="P69" i="13"/>
  <c r="P67" i="13"/>
  <c r="P63" i="13"/>
  <c r="P60" i="13"/>
  <c r="P54" i="13"/>
  <c r="P52" i="13"/>
  <c r="P48" i="13"/>
  <c r="P85" i="13"/>
  <c r="P83" i="13"/>
  <c r="P79" i="13"/>
  <c r="P70" i="13"/>
  <c r="P68" i="13"/>
  <c r="P65" i="13"/>
  <c r="P62" i="13"/>
  <c r="P59" i="13"/>
  <c r="P53" i="13"/>
  <c r="P49" i="13"/>
  <c r="AR19" i="15"/>
  <c r="B18" i="1"/>
  <c r="AG15" i="15"/>
  <c r="AS15" i="15"/>
  <c r="C30" i="1"/>
  <c r="AG28" i="15"/>
  <c r="C27" i="1"/>
  <c r="C34" i="1"/>
  <c r="AG35" i="15"/>
  <c r="AS35" i="15"/>
  <c r="C61" i="1"/>
  <c r="C11" i="1"/>
  <c r="AE23" i="15"/>
  <c r="AG23" i="15" s="1"/>
  <c r="C42" i="1"/>
  <c r="AG43" i="15"/>
  <c r="P88" i="14"/>
  <c r="P86" i="14"/>
  <c r="P82" i="14"/>
  <c r="P73" i="14"/>
  <c r="P71" i="14"/>
  <c r="P68" i="14"/>
  <c r="J42" i="1" s="1"/>
  <c r="P65" i="14"/>
  <c r="P62" i="14"/>
  <c r="P56" i="14"/>
  <c r="J30" i="1" s="1"/>
  <c r="P52" i="14"/>
  <c r="J26" i="1" s="1"/>
  <c r="P89" i="14"/>
  <c r="J63" i="1" s="1"/>
  <c r="P87" i="14"/>
  <c r="J61" i="1" s="1"/>
  <c r="P83" i="14"/>
  <c r="P76" i="14"/>
  <c r="P72" i="14"/>
  <c r="P70" i="14"/>
  <c r="P66" i="14"/>
  <c r="J40" i="1" s="1"/>
  <c r="P63" i="14"/>
  <c r="P57" i="14"/>
  <c r="P55" i="14"/>
  <c r="P51" i="14"/>
  <c r="Q70" i="14"/>
  <c r="P42" i="4"/>
  <c r="P44" i="4"/>
  <c r="P39" i="4"/>
  <c r="P75" i="4"/>
  <c r="P73" i="4"/>
  <c r="P69" i="4"/>
  <c r="P60" i="4"/>
  <c r="P58" i="4"/>
  <c r="P55" i="4"/>
  <c r="D42" i="1" s="1"/>
  <c r="P52" i="4"/>
  <c r="P49" i="4"/>
  <c r="P38" i="4"/>
  <c r="P43" i="4"/>
  <c r="P76" i="4"/>
  <c r="P74" i="4"/>
  <c r="P70" i="4"/>
  <c r="P63" i="4"/>
  <c r="P59" i="4"/>
  <c r="P57" i="4"/>
  <c r="P53" i="4"/>
  <c r="P50" i="4"/>
  <c r="Q57" i="4"/>
  <c r="P49" i="12"/>
  <c r="P46" i="12"/>
  <c r="P82" i="12"/>
  <c r="F62" i="1" s="1"/>
  <c r="P80" i="12"/>
  <c r="P76" i="12"/>
  <c r="P67" i="12"/>
  <c r="P65" i="12"/>
  <c r="P62" i="12"/>
  <c r="P59" i="12"/>
  <c r="P56" i="12"/>
  <c r="P51" i="12"/>
  <c r="Q64" i="12"/>
  <c r="P50" i="12"/>
  <c r="P83" i="12"/>
  <c r="P81" i="12"/>
  <c r="P77" i="12"/>
  <c r="P70" i="12"/>
  <c r="P66" i="12"/>
  <c r="P64" i="12"/>
  <c r="P60" i="12"/>
  <c r="P57" i="12"/>
  <c r="P45" i="12"/>
  <c r="X29" i="14"/>
  <c r="X87" i="13"/>
  <c r="X88" i="13" s="1"/>
  <c r="X90" i="13" s="1"/>
  <c r="X92" i="13" s="1"/>
  <c r="X94" i="13" s="1"/>
  <c r="X96" i="13" s="1"/>
  <c r="X98" i="13" s="1"/>
  <c r="AB12" i="12"/>
  <c r="AA65" i="15"/>
  <c r="Z66" i="15"/>
  <c r="AC84" i="15"/>
  <c r="E22" i="1"/>
  <c r="AB13" i="12"/>
  <c r="H22" i="1"/>
  <c r="I58" i="1"/>
  <c r="R66" i="15"/>
  <c r="T65" i="15"/>
  <c r="U84" i="15"/>
  <c r="U33" i="15"/>
  <c r="AC24" i="14"/>
  <c r="O65" i="15"/>
  <c r="H21" i="4"/>
  <c r="I87" i="13"/>
  <c r="I5" i="1"/>
  <c r="E64" i="1"/>
  <c r="E7" i="1"/>
  <c r="K65" i="15"/>
  <c r="F88" i="13"/>
  <c r="F90" i="13" s="1"/>
  <c r="E58" i="1"/>
  <c r="AB47" i="4"/>
  <c r="D18" i="1"/>
  <c r="AB66" i="4"/>
  <c r="D34" i="1"/>
  <c r="F21" i="1"/>
  <c r="F52" i="12"/>
  <c r="J7" i="1"/>
  <c r="F48" i="14"/>
  <c r="J11" i="1"/>
  <c r="J16" i="1"/>
  <c r="AB42" i="14"/>
  <c r="F75" i="14"/>
  <c r="J34" i="1"/>
  <c r="AB60" i="14"/>
  <c r="F84" i="14"/>
  <c r="AB77" i="14"/>
  <c r="AB37" i="4"/>
  <c r="F45" i="4"/>
  <c r="D24" i="1"/>
  <c r="D48" i="1"/>
  <c r="AB61" i="4"/>
  <c r="D51" i="1"/>
  <c r="F71" i="4"/>
  <c r="D59" i="1"/>
  <c r="AB72" i="4"/>
  <c r="AB30" i="12"/>
  <c r="F42" i="12"/>
  <c r="F10" i="1"/>
  <c r="F69" i="12"/>
  <c r="AB53" i="12"/>
  <c r="F33" i="1"/>
  <c r="F78" i="12"/>
  <c r="F70" i="1"/>
  <c r="AB90" i="12"/>
  <c r="L47" i="15"/>
  <c r="L30" i="15"/>
  <c r="L61" i="15"/>
  <c r="L38" i="15"/>
  <c r="L44" i="15"/>
  <c r="L33" i="15"/>
  <c r="L62" i="15"/>
  <c r="L14" i="15"/>
  <c r="L41" i="15"/>
  <c r="L40" i="15"/>
  <c r="L48" i="15"/>
  <c r="L27" i="15"/>
  <c r="L64" i="15"/>
  <c r="L57" i="15"/>
  <c r="L45" i="15"/>
  <c r="L60" i="15"/>
  <c r="L16" i="15"/>
  <c r="L39" i="15"/>
  <c r="L56" i="15"/>
  <c r="L17" i="15"/>
  <c r="L29" i="15"/>
  <c r="L36" i="15"/>
  <c r="L11" i="15"/>
  <c r="L13" i="15"/>
  <c r="B12" i="1"/>
  <c r="AR13" i="15"/>
  <c r="L15" i="15"/>
  <c r="B17" i="1"/>
  <c r="L18" i="15"/>
  <c r="AR22" i="15"/>
  <c r="L22" i="15"/>
  <c r="F35" i="1"/>
  <c r="F41" i="1"/>
  <c r="AB34" i="12"/>
  <c r="B21" i="1"/>
  <c r="D16" i="1"/>
  <c r="D11" i="1"/>
  <c r="AB68" i="4"/>
  <c r="AB41" i="4"/>
  <c r="L34" i="15"/>
  <c r="L28" i="15"/>
  <c r="L55" i="15"/>
  <c r="L42" i="15"/>
  <c r="L9" i="15"/>
  <c r="J20" i="1"/>
  <c r="F19" i="1"/>
  <c r="J23" i="15"/>
  <c r="D40" i="1"/>
  <c r="D38" i="1"/>
  <c r="AB72" i="12"/>
  <c r="AB33" i="4"/>
  <c r="J55" i="1"/>
  <c r="L21" i="15"/>
  <c r="L32" i="15"/>
  <c r="L63" i="15"/>
  <c r="L26" i="15"/>
  <c r="J13" i="1"/>
  <c r="G84" i="12"/>
  <c r="J53" i="1"/>
  <c r="G88" i="13"/>
  <c r="AC39" i="13"/>
  <c r="I16" i="1"/>
  <c r="AC47" i="13"/>
  <c r="I24" i="1"/>
  <c r="G84" i="14"/>
  <c r="K51" i="1"/>
  <c r="I51" i="1"/>
  <c r="AC65" i="13"/>
  <c r="AC81" i="14"/>
  <c r="I26" i="1"/>
  <c r="K18" i="1"/>
  <c r="AC84" i="13"/>
  <c r="AC32" i="14"/>
  <c r="AB38" i="12"/>
  <c r="F18" i="1"/>
  <c r="AB58" i="12"/>
  <c r="F38" i="1"/>
  <c r="M37" i="15"/>
  <c r="M30" i="15"/>
  <c r="M9" i="15"/>
  <c r="M27" i="15"/>
  <c r="M26" i="15"/>
  <c r="M44" i="15"/>
  <c r="M42" i="15"/>
  <c r="M56" i="15"/>
  <c r="M55" i="15"/>
  <c r="M29" i="15"/>
  <c r="M22" i="15"/>
  <c r="C8" i="1"/>
  <c r="L25" i="15"/>
  <c r="L31" i="15"/>
  <c r="J50" i="15"/>
  <c r="L50" i="15" s="1"/>
  <c r="L35" i="15"/>
  <c r="L37" i="15"/>
  <c r="L43" i="15"/>
  <c r="L52" i="15"/>
  <c r="L54" i="15"/>
  <c r="B53" i="1"/>
  <c r="F22" i="13"/>
  <c r="F26" i="13" s="1"/>
  <c r="AB13" i="13"/>
  <c r="AC19" i="14"/>
  <c r="G25" i="14"/>
  <c r="G29" i="14" s="1"/>
  <c r="K5" i="1" s="1"/>
  <c r="M23" i="15"/>
  <c r="AC40" i="4"/>
  <c r="E27" i="1"/>
  <c r="M54" i="15"/>
  <c r="M84" i="15" s="1"/>
  <c r="AC17" i="12"/>
  <c r="G23" i="12"/>
  <c r="J59" i="15"/>
  <c r="E91" i="14"/>
  <c r="E78" i="4"/>
  <c r="G66" i="15"/>
  <c r="D28" i="12"/>
  <c r="F66" i="15"/>
  <c r="AB23" i="12" l="1"/>
  <c r="AC35" i="4"/>
  <c r="H5" i="1"/>
  <c r="AC10" i="4"/>
  <c r="F7" i="1"/>
  <c r="S68" i="15"/>
  <c r="U68" i="15" s="1"/>
  <c r="AB29" i="14"/>
  <c r="S88" i="13"/>
  <c r="S90" i="13" s="1"/>
  <c r="S92" i="13" s="1"/>
  <c r="S94" i="13" s="1"/>
  <c r="S96" i="13" s="1"/>
  <c r="S98" i="13" s="1"/>
  <c r="AJ23" i="15"/>
  <c r="AS12" i="15"/>
  <c r="R78" i="12"/>
  <c r="R84" i="12" s="1"/>
  <c r="C78" i="4"/>
  <c r="C80" i="4" s="1"/>
  <c r="S85" i="12"/>
  <c r="AB35" i="4"/>
  <c r="AC13" i="12"/>
  <c r="C58" i="1"/>
  <c r="C64" i="1" s="1"/>
  <c r="AC22" i="13"/>
  <c r="AH32" i="15"/>
  <c r="AH30" i="15"/>
  <c r="I82" i="4"/>
  <c r="I84" i="4" s="1"/>
  <c r="I86" i="4" s="1"/>
  <c r="I88" i="4" s="1"/>
  <c r="AC71" i="4"/>
  <c r="AB39" i="4"/>
  <c r="AK59" i="15"/>
  <c r="AK65" i="15" s="1"/>
  <c r="AC48" i="14"/>
  <c r="AR11" i="15"/>
  <c r="X82" i="4"/>
  <c r="X84" i="4" s="1"/>
  <c r="X86" i="4" s="1"/>
  <c r="X88" i="4" s="1"/>
  <c r="AN74" i="15"/>
  <c r="AG59" i="15"/>
  <c r="S87" i="12"/>
  <c r="S89" i="12" s="1"/>
  <c r="S91" i="12" s="1"/>
  <c r="S93" i="12" s="1"/>
  <c r="S95" i="12" s="1"/>
  <c r="AB25" i="14"/>
  <c r="V82" i="4"/>
  <c r="V84" i="4" s="1"/>
  <c r="V86" i="4" s="1"/>
  <c r="V88" i="4" s="1"/>
  <c r="AB76" i="4"/>
  <c r="AS51" i="15"/>
  <c r="O82" i="4"/>
  <c r="O84" i="4" s="1"/>
  <c r="O86" i="4" s="1"/>
  <c r="O88" i="4" s="1"/>
  <c r="K82" i="4"/>
  <c r="K84" i="4" s="1"/>
  <c r="K86" i="4" s="1"/>
  <c r="K88" i="4" s="1"/>
  <c r="AH64" i="15"/>
  <c r="N66" i="15"/>
  <c r="AS58" i="15"/>
  <c r="AH47" i="15"/>
  <c r="N82" i="4"/>
  <c r="N84" i="4" s="1"/>
  <c r="N86" i="4" s="1"/>
  <c r="N88" i="4" s="1"/>
  <c r="U85" i="12"/>
  <c r="U87" i="12" s="1"/>
  <c r="U89" i="12" s="1"/>
  <c r="U91" i="12" s="1"/>
  <c r="U93" i="12" s="1"/>
  <c r="U95" i="12" s="1"/>
  <c r="E8" i="1"/>
  <c r="AC42" i="12"/>
  <c r="AO76" i="15"/>
  <c r="AO80" i="15" s="1"/>
  <c r="AO82" i="15" s="1"/>
  <c r="AC21" i="4"/>
  <c r="J82" i="4"/>
  <c r="J84" i="4" s="1"/>
  <c r="J86" i="4" s="1"/>
  <c r="J88" i="4" s="1"/>
  <c r="Z82" i="4"/>
  <c r="Z84" i="4" s="1"/>
  <c r="Z86" i="4" s="1"/>
  <c r="Z88" i="4" s="1"/>
  <c r="AC45" i="13"/>
  <c r="AC45" i="4"/>
  <c r="B21" i="4"/>
  <c r="D8" i="1" s="1"/>
  <c r="H82" i="4"/>
  <c r="H84" i="4" s="1"/>
  <c r="H86" i="4" s="1"/>
  <c r="H88" i="4" s="1"/>
  <c r="AA78" i="4"/>
  <c r="AA80" i="4" s="1"/>
  <c r="AA82" i="4" s="1"/>
  <c r="AA84" i="4" s="1"/>
  <c r="AA86" i="4" s="1"/>
  <c r="AA88" i="4" s="1"/>
  <c r="B85" i="12"/>
  <c r="B87" i="12" s="1"/>
  <c r="B89" i="12" s="1"/>
  <c r="B91" i="12" s="1"/>
  <c r="B93" i="12" s="1"/>
  <c r="B95" i="12" s="1"/>
  <c r="AS48" i="15"/>
  <c r="C22" i="1"/>
  <c r="R69" i="12"/>
  <c r="R52" i="12"/>
  <c r="AH31" i="15"/>
  <c r="AH63" i="15"/>
  <c r="AM74" i="15"/>
  <c r="AM76" i="15"/>
  <c r="K22" i="1"/>
  <c r="Y82" i="4"/>
  <c r="Y84" i="4" s="1"/>
  <c r="Y86" i="4" s="1"/>
  <c r="Y88" i="4" s="1"/>
  <c r="AH58" i="15"/>
  <c r="AH48" i="15"/>
  <c r="AH38" i="15"/>
  <c r="R58" i="14"/>
  <c r="AH57" i="15"/>
  <c r="R75" i="14"/>
  <c r="AH61" i="15"/>
  <c r="AH51" i="15"/>
  <c r="AH41" i="15"/>
  <c r="R62" i="4"/>
  <c r="AH62" i="15"/>
  <c r="AC81" i="13"/>
  <c r="I22" i="1"/>
  <c r="AQ72" i="15"/>
  <c r="AQ76" i="15" s="1"/>
  <c r="AC87" i="13"/>
  <c r="AC19" i="4"/>
  <c r="C20" i="17" s="1"/>
  <c r="P78" i="12"/>
  <c r="P84" i="12" s="1"/>
  <c r="AA85" i="12"/>
  <c r="AA87" i="12" s="1"/>
  <c r="AA89" i="12" s="1"/>
  <c r="AA91" i="12" s="1"/>
  <c r="AA93" i="12" s="1"/>
  <c r="AA95" i="12" s="1"/>
  <c r="AH23" i="15"/>
  <c r="AK33" i="15"/>
  <c r="AS32" i="15"/>
  <c r="AS62" i="15"/>
  <c r="AC55" i="13"/>
  <c r="AC58" i="14"/>
  <c r="AB19" i="4"/>
  <c r="T89" i="14"/>
  <c r="AB89" i="14" s="1"/>
  <c r="T87" i="14"/>
  <c r="AB87" i="14" s="1"/>
  <c r="T83" i="14"/>
  <c r="AB83" i="14" s="1"/>
  <c r="T76" i="14"/>
  <c r="AB76" i="14" s="1"/>
  <c r="T72" i="14"/>
  <c r="AB72" i="14" s="1"/>
  <c r="T66" i="14"/>
  <c r="AB66" i="14" s="1"/>
  <c r="T63" i="14"/>
  <c r="AB63" i="14" s="1"/>
  <c r="T56" i="14"/>
  <c r="AB56" i="14" s="1"/>
  <c r="T52" i="14"/>
  <c r="AB52" i="14" s="1"/>
  <c r="T88" i="14"/>
  <c r="AB88" i="14" s="1"/>
  <c r="T86" i="14"/>
  <c r="AB86" i="14" s="1"/>
  <c r="T82" i="14"/>
  <c r="AB82" i="14" s="1"/>
  <c r="T73" i="14"/>
  <c r="AB73" i="14" s="1"/>
  <c r="T68" i="14"/>
  <c r="AB68" i="14" s="1"/>
  <c r="T65" i="14"/>
  <c r="AB65" i="14" s="1"/>
  <c r="T57" i="14"/>
  <c r="AB57" i="14" s="1"/>
  <c r="T55" i="14"/>
  <c r="AB55" i="14" s="1"/>
  <c r="T51" i="14"/>
  <c r="AB51" i="14" s="1"/>
  <c r="U88" i="13"/>
  <c r="U90" i="13" s="1"/>
  <c r="U92" i="13" s="1"/>
  <c r="U94" i="13" s="1"/>
  <c r="U96" i="13" s="1"/>
  <c r="U98" i="13" s="1"/>
  <c r="AS47" i="15"/>
  <c r="AS27" i="15"/>
  <c r="AS18" i="15"/>
  <c r="T86" i="13"/>
  <c r="AB86" i="13" s="1"/>
  <c r="T84" i="13"/>
  <c r="AB84" i="13" s="1"/>
  <c r="T80" i="13"/>
  <c r="AB80" i="13" s="1"/>
  <c r="T73" i="13"/>
  <c r="AB73" i="13" s="1"/>
  <c r="T69" i="13"/>
  <c r="AB69" i="13" s="1"/>
  <c r="T63" i="13"/>
  <c r="AB63" i="13" s="1"/>
  <c r="T60" i="13"/>
  <c r="AB60" i="13" s="1"/>
  <c r="T54" i="13"/>
  <c r="AB54" i="13" s="1"/>
  <c r="T52" i="13"/>
  <c r="AB52" i="13" s="1"/>
  <c r="T48" i="13"/>
  <c r="AB48" i="13" s="1"/>
  <c r="T85" i="13"/>
  <c r="AB85" i="13" s="1"/>
  <c r="T83" i="13"/>
  <c r="AB83" i="13" s="1"/>
  <c r="T79" i="13"/>
  <c r="AB79" i="13" s="1"/>
  <c r="T70" i="13"/>
  <c r="AB70" i="13" s="1"/>
  <c r="T65" i="13"/>
  <c r="AB65" i="13" s="1"/>
  <c r="T62" i="13"/>
  <c r="AB62" i="13" s="1"/>
  <c r="T59" i="13"/>
  <c r="AB59" i="13" s="1"/>
  <c r="T53" i="13"/>
  <c r="AB53" i="13" s="1"/>
  <c r="T49" i="13"/>
  <c r="AB49" i="13" s="1"/>
  <c r="T49" i="12"/>
  <c r="AB49" i="12" s="1"/>
  <c r="T46" i="12"/>
  <c r="AB46" i="12" s="1"/>
  <c r="T82" i="12"/>
  <c r="T80" i="12"/>
  <c r="AB80" i="12" s="1"/>
  <c r="T76" i="12"/>
  <c r="AB76" i="12" s="1"/>
  <c r="T67" i="12"/>
  <c r="AB67" i="12" s="1"/>
  <c r="T64" i="12"/>
  <c r="AB64" i="12" s="1"/>
  <c r="T60" i="12"/>
  <c r="AB60" i="12" s="1"/>
  <c r="T57" i="12"/>
  <c r="AB57" i="12" s="1"/>
  <c r="T51" i="12"/>
  <c r="AB51" i="12" s="1"/>
  <c r="T56" i="12"/>
  <c r="AB56" i="12" s="1"/>
  <c r="T45" i="12"/>
  <c r="AB45" i="12" s="1"/>
  <c r="T50" i="12"/>
  <c r="AB50" i="12" s="1"/>
  <c r="T83" i="12"/>
  <c r="AB83" i="12" s="1"/>
  <c r="T81" i="12"/>
  <c r="AB81" i="12" s="1"/>
  <c r="T77" i="12"/>
  <c r="AB77" i="12" s="1"/>
  <c r="T70" i="12"/>
  <c r="AB70" i="12" s="1"/>
  <c r="T66" i="12"/>
  <c r="AB66" i="12" s="1"/>
  <c r="T62" i="12"/>
  <c r="AB62" i="12" s="1"/>
  <c r="T59" i="12"/>
  <c r="AB59" i="12" s="1"/>
  <c r="AC78" i="12"/>
  <c r="AI23" i="15"/>
  <c r="AH40" i="15"/>
  <c r="AC52" i="12"/>
  <c r="R84" i="14"/>
  <c r="R90" i="14" s="1"/>
  <c r="AB21" i="13"/>
  <c r="R71" i="4"/>
  <c r="R77" i="4" s="1"/>
  <c r="AH45" i="15"/>
  <c r="AK23" i="15"/>
  <c r="D33" i="15"/>
  <c r="AP72" i="15"/>
  <c r="D18" i="15"/>
  <c r="D61" i="15"/>
  <c r="D30" i="15"/>
  <c r="B93" i="14"/>
  <c r="B95" i="14" s="1"/>
  <c r="B97" i="14" s="1"/>
  <c r="B99" i="14" s="1"/>
  <c r="B101" i="14" s="1"/>
  <c r="D64" i="15"/>
  <c r="D50" i="15"/>
  <c r="D51" i="15"/>
  <c r="H65" i="15"/>
  <c r="D58" i="15"/>
  <c r="D20" i="15"/>
  <c r="C90" i="13"/>
  <c r="C92" i="13" s="1"/>
  <c r="C94" i="13" s="1"/>
  <c r="C96" i="13" s="1"/>
  <c r="C98" i="13" s="1"/>
  <c r="AH27" i="15"/>
  <c r="G58" i="1"/>
  <c r="C84" i="12"/>
  <c r="C85" i="12" s="1"/>
  <c r="C87" i="12" s="1"/>
  <c r="C89" i="12" s="1"/>
  <c r="C91" i="12" s="1"/>
  <c r="C93" i="12" s="1"/>
  <c r="C95" i="12" s="1"/>
  <c r="H33" i="15"/>
  <c r="D56" i="15"/>
  <c r="D26" i="15"/>
  <c r="B66" i="15"/>
  <c r="E19" i="15"/>
  <c r="C91" i="14"/>
  <c r="C93" i="14" s="1"/>
  <c r="C95" i="14" s="1"/>
  <c r="C97" i="14" s="1"/>
  <c r="C99" i="14" s="1"/>
  <c r="C101" i="14" s="1"/>
  <c r="AQ74" i="15"/>
  <c r="C82" i="4"/>
  <c r="C84" i="4" s="1"/>
  <c r="C86" i="4" s="1"/>
  <c r="C88" i="4" s="1"/>
  <c r="D57" i="15"/>
  <c r="H52" i="15"/>
  <c r="H50" i="15"/>
  <c r="H57" i="15"/>
  <c r="H12" i="15"/>
  <c r="H20" i="15"/>
  <c r="H46" i="15"/>
  <c r="H26" i="15"/>
  <c r="H18" i="15"/>
  <c r="H44" i="15"/>
  <c r="D16" i="15"/>
  <c r="H16" i="15"/>
  <c r="H35" i="15"/>
  <c r="H23" i="15"/>
  <c r="D52" i="15"/>
  <c r="H14" i="15"/>
  <c r="H39" i="15"/>
  <c r="H41" i="15"/>
  <c r="H53" i="15"/>
  <c r="H17" i="15"/>
  <c r="D27" i="15"/>
  <c r="D19" i="15"/>
  <c r="H32" i="15"/>
  <c r="H62" i="15"/>
  <c r="H11" i="15"/>
  <c r="H40" i="15"/>
  <c r="D37" i="15"/>
  <c r="D21" i="15"/>
  <c r="H31" i="15"/>
  <c r="H19" i="15"/>
  <c r="D15" i="15"/>
  <c r="D44" i="15"/>
  <c r="D23" i="15"/>
  <c r="H60" i="15"/>
  <c r="H27" i="15"/>
  <c r="D41" i="15"/>
  <c r="D46" i="15"/>
  <c r="D60" i="15"/>
  <c r="H49" i="15"/>
  <c r="H58" i="15"/>
  <c r="H45" i="15"/>
  <c r="D32" i="15"/>
  <c r="D49" i="15"/>
  <c r="H51" i="15"/>
  <c r="H61" i="15"/>
  <c r="H43" i="15"/>
  <c r="D35" i="15"/>
  <c r="D42" i="15"/>
  <c r="D43" i="15"/>
  <c r="D38" i="15"/>
  <c r="H63" i="15"/>
  <c r="H28" i="15"/>
  <c r="H22" i="15"/>
  <c r="D34" i="15"/>
  <c r="H59" i="15"/>
  <c r="H56" i="15"/>
  <c r="D25" i="15"/>
  <c r="H42" i="15"/>
  <c r="D14" i="15"/>
  <c r="D62" i="15"/>
  <c r="H55" i="15"/>
  <c r="D65" i="15"/>
  <c r="AR71" i="15"/>
  <c r="B70" i="1"/>
  <c r="D22" i="15"/>
  <c r="D40" i="15"/>
  <c r="F8" i="1"/>
  <c r="C32" i="1"/>
  <c r="AH26" i="15"/>
  <c r="R45" i="4"/>
  <c r="E44" i="15"/>
  <c r="E63" i="15"/>
  <c r="AR35" i="15"/>
  <c r="E38" i="15"/>
  <c r="E50" i="15"/>
  <c r="E28" i="15"/>
  <c r="R81" i="13"/>
  <c r="R87" i="13" s="1"/>
  <c r="AK50" i="15"/>
  <c r="I62" i="15"/>
  <c r="I14" i="15"/>
  <c r="I31" i="15"/>
  <c r="I43" i="15"/>
  <c r="I53" i="15"/>
  <c r="I56" i="15"/>
  <c r="I55" i="15"/>
  <c r="I49" i="15"/>
  <c r="I22" i="15"/>
  <c r="E32" i="15"/>
  <c r="I12" i="15"/>
  <c r="I45" i="15"/>
  <c r="I46" i="15"/>
  <c r="I50" i="15"/>
  <c r="E62" i="15"/>
  <c r="I57" i="15"/>
  <c r="I13" i="15"/>
  <c r="I60" i="15"/>
  <c r="I42" i="15"/>
  <c r="I17" i="15"/>
  <c r="I30" i="15"/>
  <c r="I38" i="15"/>
  <c r="E43" i="15"/>
  <c r="E39" i="15"/>
  <c r="E21" i="15"/>
  <c r="I23" i="15"/>
  <c r="E57" i="15"/>
  <c r="I54" i="15"/>
  <c r="I11" i="15"/>
  <c r="I26" i="15"/>
  <c r="I18" i="15"/>
  <c r="I27" i="15"/>
  <c r="I39" i="15"/>
  <c r="I32" i="15"/>
  <c r="E9" i="15"/>
  <c r="E41" i="15"/>
  <c r="E16" i="15"/>
  <c r="I40" i="15"/>
  <c r="I20" i="15"/>
  <c r="I15" i="15"/>
  <c r="I34" i="15"/>
  <c r="I64" i="15"/>
  <c r="E31" i="15"/>
  <c r="E49" i="15"/>
  <c r="I25" i="15"/>
  <c r="I52" i="15"/>
  <c r="I21" i="15"/>
  <c r="I28" i="15"/>
  <c r="I19" i="15"/>
  <c r="E56" i="15"/>
  <c r="E12" i="15"/>
  <c r="E29" i="15"/>
  <c r="I36" i="15"/>
  <c r="AS9" i="15"/>
  <c r="E52" i="15"/>
  <c r="I37" i="15"/>
  <c r="E45" i="15"/>
  <c r="E60" i="15"/>
  <c r="E14" i="15"/>
  <c r="I35" i="15"/>
  <c r="E17" i="15"/>
  <c r="I16" i="15"/>
  <c r="I44" i="15"/>
  <c r="E18" i="15"/>
  <c r="E37" i="15"/>
  <c r="E26" i="15"/>
  <c r="I58" i="15"/>
  <c r="E42" i="15"/>
  <c r="I51" i="15"/>
  <c r="I29" i="15"/>
  <c r="E64" i="15"/>
  <c r="I41" i="15"/>
  <c r="I61" i="15"/>
  <c r="I63" i="15"/>
  <c r="E58" i="15"/>
  <c r="AI50" i="15"/>
  <c r="B80" i="4"/>
  <c r="AI59" i="15"/>
  <c r="E46" i="15"/>
  <c r="E15" i="15"/>
  <c r="I33" i="15"/>
  <c r="S91" i="14"/>
  <c r="S93" i="14" s="1"/>
  <c r="S95" i="14" s="1"/>
  <c r="S97" i="14" s="1"/>
  <c r="S99" i="14" s="1"/>
  <c r="S101" i="14" s="1"/>
  <c r="I65" i="15"/>
  <c r="AL74" i="15"/>
  <c r="AL76" i="15"/>
  <c r="E51" i="15"/>
  <c r="E53" i="15"/>
  <c r="AH37" i="15"/>
  <c r="S78" i="4"/>
  <c r="S80" i="4" s="1"/>
  <c r="S82" i="4" s="1"/>
  <c r="S84" i="4" s="1"/>
  <c r="S86" i="4" s="1"/>
  <c r="S88" i="4" s="1"/>
  <c r="E40" i="15"/>
  <c r="E36" i="15"/>
  <c r="E20" i="15"/>
  <c r="E23" i="15"/>
  <c r="R55" i="13"/>
  <c r="AI33" i="15"/>
  <c r="AS25" i="15"/>
  <c r="AC34" i="14"/>
  <c r="K8" i="1"/>
  <c r="AR28" i="15"/>
  <c r="AR18" i="15"/>
  <c r="AB26" i="13"/>
  <c r="E54" i="15"/>
  <c r="E25" i="15"/>
  <c r="AH43" i="15"/>
  <c r="E55" i="15"/>
  <c r="E61" i="15"/>
  <c r="E59" i="15"/>
  <c r="C65" i="15"/>
  <c r="R72" i="13"/>
  <c r="E34" i="15"/>
  <c r="E30" i="15"/>
  <c r="E33" i="15"/>
  <c r="E13" i="15"/>
  <c r="E11" i="15"/>
  <c r="I59" i="15"/>
  <c r="F37" i="1"/>
  <c r="F30" i="1"/>
  <c r="F56" i="1"/>
  <c r="AB57" i="4"/>
  <c r="AD45" i="15"/>
  <c r="D44" i="1"/>
  <c r="D61" i="1"/>
  <c r="AB74" i="4"/>
  <c r="AD62" i="15"/>
  <c r="AD48" i="15"/>
  <c r="D47" i="1"/>
  <c r="AB60" i="4"/>
  <c r="D26" i="1"/>
  <c r="AD27" i="15"/>
  <c r="J29" i="1"/>
  <c r="AB70" i="14"/>
  <c r="J44" i="1"/>
  <c r="AB62" i="14"/>
  <c r="P75" i="14"/>
  <c r="J49" i="1" s="1"/>
  <c r="J36" i="1"/>
  <c r="J47" i="1"/>
  <c r="H39" i="1"/>
  <c r="H56" i="1"/>
  <c r="H29" i="1"/>
  <c r="AB67" i="13"/>
  <c r="H44" i="1"/>
  <c r="H61" i="1"/>
  <c r="J56" i="1"/>
  <c r="H42" i="1"/>
  <c r="H46" i="1"/>
  <c r="F50" i="1"/>
  <c r="F44" i="1"/>
  <c r="F61" i="1"/>
  <c r="F31" i="1"/>
  <c r="F45" i="1"/>
  <c r="AB65" i="12"/>
  <c r="D37" i="1"/>
  <c r="AB50" i="4"/>
  <c r="AD38" i="15"/>
  <c r="AD51" i="15"/>
  <c r="D50" i="1"/>
  <c r="P71" i="4"/>
  <c r="P77" i="4" s="1"/>
  <c r="AB63" i="4"/>
  <c r="D30" i="1"/>
  <c r="AD31" i="15"/>
  <c r="AB43" i="4"/>
  <c r="AB55" i="4"/>
  <c r="AD43" i="15"/>
  <c r="D60" i="1"/>
  <c r="AD61" i="15"/>
  <c r="AB73" i="4"/>
  <c r="AB42" i="4"/>
  <c r="AD30" i="15"/>
  <c r="D29" i="1"/>
  <c r="Q75" i="14"/>
  <c r="K44" i="1"/>
  <c r="AC70" i="14"/>
  <c r="J37" i="1"/>
  <c r="J50" i="1"/>
  <c r="P84" i="14"/>
  <c r="P90" i="14" s="1"/>
  <c r="J60" i="1"/>
  <c r="H30" i="1"/>
  <c r="H45" i="1"/>
  <c r="AB68" i="13"/>
  <c r="H62" i="1"/>
  <c r="H37" i="1"/>
  <c r="H50" i="1"/>
  <c r="P81" i="13"/>
  <c r="AC67" i="13"/>
  <c r="I44" i="1"/>
  <c r="Q72" i="13"/>
  <c r="F39" i="1"/>
  <c r="F29" i="1"/>
  <c r="D36" i="1"/>
  <c r="P62" i="4"/>
  <c r="AB49" i="4"/>
  <c r="AD37" i="15"/>
  <c r="F40" i="1"/>
  <c r="F57" i="1"/>
  <c r="AC64" i="12"/>
  <c r="G44" i="1"/>
  <c r="Q69" i="12"/>
  <c r="F42" i="1"/>
  <c r="F60" i="1"/>
  <c r="E44" i="1"/>
  <c r="AC57" i="4"/>
  <c r="Q62" i="4"/>
  <c r="AE45" i="15"/>
  <c r="AB59" i="4"/>
  <c r="D46" i="1"/>
  <c r="AD47" i="15"/>
  <c r="AD64" i="15"/>
  <c r="D63" i="1"/>
  <c r="AB52" i="4"/>
  <c r="AD40" i="15"/>
  <c r="AD57" i="15"/>
  <c r="D56" i="1"/>
  <c r="AB69" i="4"/>
  <c r="AD32" i="15"/>
  <c r="D31" i="1"/>
  <c r="AB44" i="4"/>
  <c r="J31" i="1"/>
  <c r="J46" i="1"/>
  <c r="J39" i="1"/>
  <c r="H26" i="1"/>
  <c r="H60" i="1"/>
  <c r="H31" i="1"/>
  <c r="H63" i="1"/>
  <c r="P52" i="12"/>
  <c r="F32" i="1" s="1"/>
  <c r="F25" i="1"/>
  <c r="F46" i="1"/>
  <c r="F63" i="1"/>
  <c r="P69" i="12"/>
  <c r="F36" i="1"/>
  <c r="F47" i="1"/>
  <c r="F26" i="1"/>
  <c r="AB53" i="4"/>
  <c r="AD41" i="15"/>
  <c r="D57" i="1"/>
  <c r="AB70" i="4"/>
  <c r="AD58" i="15"/>
  <c r="AD26" i="15"/>
  <c r="AB38" i="4"/>
  <c r="D25" i="1"/>
  <c r="P45" i="4"/>
  <c r="D32" i="1" s="1"/>
  <c r="D45" i="1"/>
  <c r="AD46" i="15"/>
  <c r="AB58" i="4"/>
  <c r="AB75" i="4"/>
  <c r="AD63" i="15"/>
  <c r="D62" i="1"/>
  <c r="P58" i="14"/>
  <c r="J25" i="1"/>
  <c r="J57" i="1"/>
  <c r="AB71" i="14"/>
  <c r="J45" i="1"/>
  <c r="J62" i="1"/>
  <c r="AG65" i="15"/>
  <c r="H36" i="1"/>
  <c r="P72" i="13"/>
  <c r="H47" i="1"/>
  <c r="H25" i="1"/>
  <c r="P55" i="13"/>
  <c r="H40" i="1"/>
  <c r="H57" i="1"/>
  <c r="AN80" i="15"/>
  <c r="AN84" i="15"/>
  <c r="AC65" i="15"/>
  <c r="AA66" i="15"/>
  <c r="AB66" i="15"/>
  <c r="Z68" i="15"/>
  <c r="T66" i="15"/>
  <c r="R68" i="15"/>
  <c r="I64" i="1"/>
  <c r="I88" i="13"/>
  <c r="I90" i="13" s="1"/>
  <c r="I92" i="13" s="1"/>
  <c r="I94" i="13" s="1"/>
  <c r="I96" i="13" s="1"/>
  <c r="I98" i="13" s="1"/>
  <c r="O66" i="15"/>
  <c r="Q65" i="15"/>
  <c r="AC25" i="14"/>
  <c r="K66" i="15"/>
  <c r="M65" i="15"/>
  <c r="G28" i="12"/>
  <c r="AC23" i="12"/>
  <c r="D20" i="17" s="1"/>
  <c r="D22" i="17" s="1"/>
  <c r="G7" i="1"/>
  <c r="AC31" i="13"/>
  <c r="I8" i="1"/>
  <c r="G90" i="13"/>
  <c r="G85" i="12"/>
  <c r="G90" i="14"/>
  <c r="K58" i="1"/>
  <c r="AC84" i="14"/>
  <c r="L59" i="15"/>
  <c r="J65" i="15"/>
  <c r="G82" i="4"/>
  <c r="G84" i="4" s="1"/>
  <c r="G86" i="4" s="1"/>
  <c r="G88" i="4" s="1"/>
  <c r="AB22" i="13"/>
  <c r="M80" i="15"/>
  <c r="F22" i="1"/>
  <c r="AB42" i="12"/>
  <c r="F77" i="4"/>
  <c r="J8" i="1"/>
  <c r="AB34" i="14"/>
  <c r="B22" i="1"/>
  <c r="L23" i="15"/>
  <c r="AB48" i="14"/>
  <c r="J22" i="1"/>
  <c r="F90" i="14"/>
  <c r="AC29" i="14"/>
  <c r="F92" i="13"/>
  <c r="F94" i="13" s="1"/>
  <c r="F96" i="13" s="1"/>
  <c r="F98" i="13" s="1"/>
  <c r="L84" i="15"/>
  <c r="L80" i="15"/>
  <c r="F84" i="12"/>
  <c r="E93" i="14"/>
  <c r="AB28" i="12"/>
  <c r="D89" i="12"/>
  <c r="D94" i="13"/>
  <c r="F68" i="15"/>
  <c r="H66" i="15"/>
  <c r="E91" i="12"/>
  <c r="E80" i="4"/>
  <c r="D95" i="14"/>
  <c r="D82" i="4"/>
  <c r="G68" i="15"/>
  <c r="I66" i="15"/>
  <c r="E92" i="13"/>
  <c r="S70" i="15" l="1"/>
  <c r="S72" i="15" s="1"/>
  <c r="AR23" i="15"/>
  <c r="AO84" i="15"/>
  <c r="AO86" i="15" s="1"/>
  <c r="D58" i="1"/>
  <c r="AH33" i="15"/>
  <c r="B82" i="4"/>
  <c r="B84" i="4" s="1"/>
  <c r="B86" i="4" s="1"/>
  <c r="B88" i="4" s="1"/>
  <c r="P66" i="15"/>
  <c r="N68" i="15"/>
  <c r="R91" i="14"/>
  <c r="R93" i="14" s="1"/>
  <c r="R95" i="14" s="1"/>
  <c r="R97" i="14" s="1"/>
  <c r="R99" i="14" s="1"/>
  <c r="R101" i="14" s="1"/>
  <c r="R85" i="12"/>
  <c r="R87" i="12" s="1"/>
  <c r="R89" i="12" s="1"/>
  <c r="R91" i="12" s="1"/>
  <c r="R93" i="12" s="1"/>
  <c r="R95" i="12" s="1"/>
  <c r="E20" i="17"/>
  <c r="C22" i="17"/>
  <c r="AB45" i="4"/>
  <c r="AC84" i="12"/>
  <c r="T58" i="14"/>
  <c r="AH59" i="15"/>
  <c r="AH65" i="15" s="1"/>
  <c r="AB71" i="4"/>
  <c r="AJ45" i="15"/>
  <c r="AR45" i="15" s="1"/>
  <c r="AB21" i="4"/>
  <c r="J58" i="1"/>
  <c r="F58" i="1"/>
  <c r="G64" i="1"/>
  <c r="AS23" i="15"/>
  <c r="H80" i="15"/>
  <c r="AM84" i="15"/>
  <c r="AM86" i="15" s="1"/>
  <c r="AM80" i="15"/>
  <c r="AM82" i="15" s="1"/>
  <c r="AK66" i="15"/>
  <c r="AK68" i="15" s="1"/>
  <c r="AK70" i="15" s="1"/>
  <c r="AK72" i="15" s="1"/>
  <c r="AK76" i="15" s="1"/>
  <c r="H84" i="15"/>
  <c r="AS33" i="15"/>
  <c r="R78" i="4"/>
  <c r="R80" i="4" s="1"/>
  <c r="R82" i="4" s="1"/>
  <c r="R84" i="4" s="1"/>
  <c r="R86" i="4" s="1"/>
  <c r="R88" i="4" s="1"/>
  <c r="D80" i="15"/>
  <c r="AH50" i="15"/>
  <c r="T55" i="13"/>
  <c r="AB55" i="13" s="1"/>
  <c r="AQ84" i="15"/>
  <c r="AQ86" i="15" s="1"/>
  <c r="AQ80" i="15"/>
  <c r="AQ82" i="15" s="1"/>
  <c r="AP76" i="15"/>
  <c r="AP74" i="15"/>
  <c r="T84" i="14"/>
  <c r="B68" i="15"/>
  <c r="D66" i="15"/>
  <c r="T81" i="13"/>
  <c r="T87" i="13" s="1"/>
  <c r="AJ31" i="15"/>
  <c r="AJ47" i="15"/>
  <c r="AR47" i="15" s="1"/>
  <c r="AJ37" i="15"/>
  <c r="AR37" i="15" s="1"/>
  <c r="T69" i="12"/>
  <c r="AB69" i="12" s="1"/>
  <c r="AJ63" i="15"/>
  <c r="AR63" i="15" s="1"/>
  <c r="AB82" i="12"/>
  <c r="AJ58" i="15"/>
  <c r="AR58" i="15" s="1"/>
  <c r="E80" i="15"/>
  <c r="R88" i="13"/>
  <c r="R90" i="13" s="1"/>
  <c r="R92" i="13" s="1"/>
  <c r="R94" i="13" s="1"/>
  <c r="R96" i="13" s="1"/>
  <c r="R98" i="13" s="1"/>
  <c r="T75" i="14"/>
  <c r="AB75" i="14" s="1"/>
  <c r="AJ43" i="15"/>
  <c r="AR43" i="15" s="1"/>
  <c r="T52" i="12"/>
  <c r="AB52" i="12" s="1"/>
  <c r="AJ26" i="15"/>
  <c r="AR26" i="15" s="1"/>
  <c r="AJ40" i="15"/>
  <c r="AR40" i="15" s="1"/>
  <c r="AJ30" i="15"/>
  <c r="AR30" i="15" s="1"/>
  <c r="AJ38" i="15"/>
  <c r="AR38" i="15" s="1"/>
  <c r="AL84" i="15"/>
  <c r="AL80" i="15"/>
  <c r="T72" i="13"/>
  <c r="AJ48" i="15"/>
  <c r="AR48" i="15" s="1"/>
  <c r="AJ27" i="15"/>
  <c r="AR27" i="15" s="1"/>
  <c r="AJ32" i="15"/>
  <c r="AR32" i="15" s="1"/>
  <c r="AJ41" i="15"/>
  <c r="AR41" i="15" s="1"/>
  <c r="AJ57" i="15"/>
  <c r="AR57" i="15" s="1"/>
  <c r="AI65" i="15"/>
  <c r="AI66" i="15" s="1"/>
  <c r="AI68" i="15" s="1"/>
  <c r="AI70" i="15" s="1"/>
  <c r="AI72" i="15" s="1"/>
  <c r="AS59" i="15"/>
  <c r="I80" i="15"/>
  <c r="E65" i="15"/>
  <c r="C66" i="15"/>
  <c r="AJ61" i="15"/>
  <c r="AR61" i="15" s="1"/>
  <c r="T78" i="12"/>
  <c r="AJ51" i="15"/>
  <c r="AR51" i="15" s="1"/>
  <c r="AJ64" i="15"/>
  <c r="AR64" i="15" s="1"/>
  <c r="AJ62" i="15"/>
  <c r="AR62" i="15" s="1"/>
  <c r="I84" i="15"/>
  <c r="AF40" i="15"/>
  <c r="B39" i="1"/>
  <c r="Q78" i="4"/>
  <c r="AC62" i="4"/>
  <c r="E49" i="1"/>
  <c r="F49" i="1"/>
  <c r="AF57" i="15"/>
  <c r="B56" i="1"/>
  <c r="AF64" i="15"/>
  <c r="B63" i="1"/>
  <c r="AG45" i="15"/>
  <c r="AS45" i="15"/>
  <c r="AE50" i="15"/>
  <c r="C44" i="1"/>
  <c r="C49" i="1" s="1"/>
  <c r="C65" i="1" s="1"/>
  <c r="C67" i="1" s="1"/>
  <c r="C69" i="1" s="1"/>
  <c r="C71" i="1" s="1"/>
  <c r="C73" i="1" s="1"/>
  <c r="AC69" i="12"/>
  <c r="G49" i="1"/>
  <c r="Q85" i="12"/>
  <c r="Q87" i="12" s="1"/>
  <c r="Q89" i="12" s="1"/>
  <c r="Q91" i="12" s="1"/>
  <c r="Q93" i="12" s="1"/>
  <c r="Q95" i="12" s="1"/>
  <c r="AF37" i="15"/>
  <c r="B36" i="1"/>
  <c r="AD50" i="15"/>
  <c r="P85" i="12"/>
  <c r="P87" i="12" s="1"/>
  <c r="P89" i="12" s="1"/>
  <c r="P91" i="12" s="1"/>
  <c r="P93" i="12" s="1"/>
  <c r="P95" i="12" s="1"/>
  <c r="AF30" i="15"/>
  <c r="B29" i="1"/>
  <c r="AF31" i="15"/>
  <c r="B30" i="1"/>
  <c r="AR31" i="15"/>
  <c r="AF46" i="15"/>
  <c r="B45" i="1"/>
  <c r="AR46" i="15"/>
  <c r="AF63" i="15"/>
  <c r="B62" i="1"/>
  <c r="B25" i="1"/>
  <c r="AF26" i="15"/>
  <c r="AD33" i="15"/>
  <c r="B40" i="1"/>
  <c r="AF41" i="15"/>
  <c r="AB62" i="4"/>
  <c r="D49" i="1"/>
  <c r="Q91" i="14"/>
  <c r="Q93" i="14" s="1"/>
  <c r="Q95" i="14" s="1"/>
  <c r="Q97" i="14" s="1"/>
  <c r="Q99" i="14" s="1"/>
  <c r="Q101" i="14" s="1"/>
  <c r="AC75" i="14"/>
  <c r="K49" i="1"/>
  <c r="AF38" i="15"/>
  <c r="B37" i="1"/>
  <c r="B26" i="1"/>
  <c r="AF27" i="15"/>
  <c r="B47" i="1"/>
  <c r="AF48" i="15"/>
  <c r="AF32" i="15"/>
  <c r="B31" i="1"/>
  <c r="AF47" i="15"/>
  <c r="B46" i="1"/>
  <c r="B42" i="1"/>
  <c r="AF43" i="15"/>
  <c r="B50" i="1"/>
  <c r="AD59" i="15"/>
  <c r="AF51" i="15"/>
  <c r="H32" i="1"/>
  <c r="H49" i="1"/>
  <c r="AB58" i="14"/>
  <c r="J32" i="1"/>
  <c r="B57" i="1"/>
  <c r="AF58" i="15"/>
  <c r="Q88" i="13"/>
  <c r="I49" i="1"/>
  <c r="AC72" i="13"/>
  <c r="P87" i="13"/>
  <c r="H58" i="1"/>
  <c r="P91" i="14"/>
  <c r="P93" i="14" s="1"/>
  <c r="P95" i="14" s="1"/>
  <c r="P97" i="14" s="1"/>
  <c r="P99" i="14" s="1"/>
  <c r="P101" i="14" s="1"/>
  <c r="B60" i="1"/>
  <c r="AF61" i="15"/>
  <c r="P78" i="4"/>
  <c r="P80" i="4" s="1"/>
  <c r="P82" i="4" s="1"/>
  <c r="P84" i="4" s="1"/>
  <c r="P86" i="4" s="1"/>
  <c r="P88" i="4" s="1"/>
  <c r="AF62" i="15"/>
  <c r="B61" i="1"/>
  <c r="AF45" i="15"/>
  <c r="B44" i="1"/>
  <c r="AA68" i="15"/>
  <c r="AC66" i="15"/>
  <c r="AB68" i="15"/>
  <c r="Z70" i="15"/>
  <c r="Z72" i="15" s="1"/>
  <c r="T68" i="15"/>
  <c r="R70" i="15"/>
  <c r="R72" i="15" s="1"/>
  <c r="S76" i="15"/>
  <c r="S74" i="15"/>
  <c r="O68" i="15"/>
  <c r="Q66" i="15"/>
  <c r="M66" i="15"/>
  <c r="K68" i="15"/>
  <c r="F85" i="12"/>
  <c r="F64" i="1"/>
  <c r="F91" i="14"/>
  <c r="J64" i="1"/>
  <c r="F78" i="4"/>
  <c r="AB77" i="4"/>
  <c r="D64" i="1"/>
  <c r="L65" i="15"/>
  <c r="J66" i="15"/>
  <c r="G91" i="14"/>
  <c r="K64" i="1"/>
  <c r="AC90" i="14"/>
  <c r="G8" i="1"/>
  <c r="AC28" i="12"/>
  <c r="G87" i="12"/>
  <c r="AC85" i="12"/>
  <c r="G92" i="13"/>
  <c r="G94" i="13" s="1"/>
  <c r="G96" i="13" s="1"/>
  <c r="G98" i="13" s="1"/>
  <c r="H68" i="15"/>
  <c r="F70" i="15"/>
  <c r="E93" i="12"/>
  <c r="I68" i="15"/>
  <c r="G70" i="15"/>
  <c r="D97" i="14"/>
  <c r="D91" i="12"/>
  <c r="E94" i="13"/>
  <c r="D84" i="4"/>
  <c r="E82" i="4"/>
  <c r="D96" i="13"/>
  <c r="E95" i="14"/>
  <c r="AB81" i="13" l="1"/>
  <c r="AH66" i="15"/>
  <c r="AH68" i="15" s="1"/>
  <c r="AH70" i="15" s="1"/>
  <c r="AH72" i="15" s="1"/>
  <c r="AH76" i="15" s="1"/>
  <c r="P68" i="15"/>
  <c r="N70" i="15"/>
  <c r="N72" i="15" s="1"/>
  <c r="T88" i="13"/>
  <c r="T90" i="13" s="1"/>
  <c r="T92" i="13" s="1"/>
  <c r="T94" i="13" s="1"/>
  <c r="T96" i="13" s="1"/>
  <c r="T98" i="13" s="1"/>
  <c r="E22" i="17"/>
  <c r="E26" i="17"/>
  <c r="AK74" i="15"/>
  <c r="G65" i="1"/>
  <c r="AB72" i="13"/>
  <c r="AS65" i="15"/>
  <c r="AJ59" i="15"/>
  <c r="AJ65" i="15" s="1"/>
  <c r="AP84" i="15"/>
  <c r="AP80" i="15"/>
  <c r="D68" i="15"/>
  <c r="B70" i="15"/>
  <c r="B72" i="15" s="1"/>
  <c r="T90" i="14"/>
  <c r="AB84" i="14"/>
  <c r="T84" i="12"/>
  <c r="AB78" i="12"/>
  <c r="B32" i="1"/>
  <c r="E66" i="15"/>
  <c r="C68" i="15"/>
  <c r="AI74" i="15"/>
  <c r="AI76" i="15"/>
  <c r="AH74" i="15"/>
  <c r="AJ33" i="15"/>
  <c r="AR33" i="15" s="1"/>
  <c r="AJ50" i="15"/>
  <c r="AR50" i="15" s="1"/>
  <c r="AK84" i="15"/>
  <c r="AK86" i="15" s="1"/>
  <c r="AK80" i="15"/>
  <c r="AK82" i="15" s="1"/>
  <c r="B49" i="1"/>
  <c r="AF50" i="15"/>
  <c r="AS50" i="15"/>
  <c r="AG50" i="15"/>
  <c r="AE66" i="15"/>
  <c r="Q80" i="4"/>
  <c r="E65" i="1"/>
  <c r="AC78" i="4"/>
  <c r="Q90" i="13"/>
  <c r="AC88" i="13"/>
  <c r="I65" i="1"/>
  <c r="AF59" i="15"/>
  <c r="AD65" i="15"/>
  <c r="AF84" i="15"/>
  <c r="AF80" i="15"/>
  <c r="P88" i="13"/>
  <c r="H64" i="1"/>
  <c r="AB87" i="13"/>
  <c r="B58" i="1"/>
  <c r="B64" i="1" s="1"/>
  <c r="AF33" i="15"/>
  <c r="AA70" i="15"/>
  <c r="AA72" i="15" s="1"/>
  <c r="AC68" i="15"/>
  <c r="Z74" i="15"/>
  <c r="Z76" i="15"/>
  <c r="S84" i="15"/>
  <c r="S86" i="15" s="1"/>
  <c r="S80" i="15"/>
  <c r="S82" i="15" s="1"/>
  <c r="R76" i="15"/>
  <c r="R74" i="15"/>
  <c r="Q68" i="15"/>
  <c r="O70" i="15"/>
  <c r="O72" i="15" s="1"/>
  <c r="K70" i="15"/>
  <c r="K72" i="15" s="1"/>
  <c r="M68" i="15"/>
  <c r="G67" i="1"/>
  <c r="G69" i="1" s="1"/>
  <c r="G71" i="1" s="1"/>
  <c r="G73" i="1" s="1"/>
  <c r="AC87" i="12"/>
  <c r="F93" i="14"/>
  <c r="J65" i="1"/>
  <c r="G89" i="12"/>
  <c r="F80" i="4"/>
  <c r="D65" i="1"/>
  <c r="AB78" i="4"/>
  <c r="K65" i="1"/>
  <c r="G93" i="14"/>
  <c r="AC91" i="14"/>
  <c r="J68" i="15"/>
  <c r="L66" i="15"/>
  <c r="F87" i="12"/>
  <c r="F65" i="1"/>
  <c r="D86" i="4"/>
  <c r="F72" i="15"/>
  <c r="E97" i="14"/>
  <c r="E84" i="4"/>
  <c r="G72" i="15"/>
  <c r="D98" i="13"/>
  <c r="D93" i="12"/>
  <c r="E96" i="13"/>
  <c r="D99" i="14"/>
  <c r="E95" i="12"/>
  <c r="AR59" i="15" l="1"/>
  <c r="N76" i="15"/>
  <c r="N74" i="15"/>
  <c r="B65" i="1"/>
  <c r="B67" i="1" s="1"/>
  <c r="B69" i="1" s="1"/>
  <c r="B71" i="1" s="1"/>
  <c r="B73" i="1" s="1"/>
  <c r="B74" i="15"/>
  <c r="B76" i="15"/>
  <c r="AB90" i="14"/>
  <c r="T91" i="14"/>
  <c r="AH80" i="15"/>
  <c r="AH84" i="15"/>
  <c r="E68" i="15"/>
  <c r="C70" i="15"/>
  <c r="C72" i="15" s="1"/>
  <c r="AJ66" i="15"/>
  <c r="AJ68" i="15" s="1"/>
  <c r="AJ70" i="15" s="1"/>
  <c r="AJ72" i="15" s="1"/>
  <c r="AI84" i="15"/>
  <c r="AI86" i="15" s="1"/>
  <c r="AI80" i="15"/>
  <c r="AI82" i="15" s="1"/>
  <c r="T85" i="12"/>
  <c r="AB84" i="12"/>
  <c r="Q82" i="4"/>
  <c r="E67" i="1"/>
  <c r="E69" i="1" s="1"/>
  <c r="E71" i="1" s="1"/>
  <c r="E73" i="1" s="1"/>
  <c r="AC80" i="4"/>
  <c r="P90" i="13"/>
  <c r="AB88" i="13"/>
  <c r="H65" i="1"/>
  <c r="AF65" i="15"/>
  <c r="AD66" i="15"/>
  <c r="AR65" i="15"/>
  <c r="Q92" i="13"/>
  <c r="AC90" i="13"/>
  <c r="I67" i="1"/>
  <c r="I69" i="1" s="1"/>
  <c r="I71" i="1" s="1"/>
  <c r="I73" i="1" s="1"/>
  <c r="AE68" i="15"/>
  <c r="AG66" i="15"/>
  <c r="AS66" i="15"/>
  <c r="Z84" i="15"/>
  <c r="Z80" i="15"/>
  <c r="AA74" i="15"/>
  <c r="AA76" i="15"/>
  <c r="R80" i="15"/>
  <c r="R84" i="15"/>
  <c r="O74" i="15"/>
  <c r="O76" i="15"/>
  <c r="K74" i="15"/>
  <c r="K76" i="15"/>
  <c r="F67" i="1"/>
  <c r="F69" i="1" s="1"/>
  <c r="F71" i="1" s="1"/>
  <c r="F73" i="1" s="1"/>
  <c r="F89" i="12"/>
  <c r="G91" i="12"/>
  <c r="AC89" i="12"/>
  <c r="L68" i="15"/>
  <c r="J70" i="15"/>
  <c r="K67" i="1"/>
  <c r="K69" i="1" s="1"/>
  <c r="K71" i="1" s="1"/>
  <c r="K73" i="1" s="1"/>
  <c r="G95" i="14"/>
  <c r="AC93" i="14"/>
  <c r="D67" i="1"/>
  <c r="D69" i="1" s="1"/>
  <c r="D71" i="1" s="1"/>
  <c r="D73" i="1" s="1"/>
  <c r="F82" i="4"/>
  <c r="AB80" i="4"/>
  <c r="J67" i="1"/>
  <c r="J69" i="1" s="1"/>
  <c r="J71" i="1" s="1"/>
  <c r="J73" i="1" s="1"/>
  <c r="F95" i="14"/>
  <c r="D95" i="12"/>
  <c r="D88" i="4"/>
  <c r="E98" i="13"/>
  <c r="E86" i="4"/>
  <c r="F74" i="15"/>
  <c r="F76" i="15"/>
  <c r="D101" i="14"/>
  <c r="G74" i="15"/>
  <c r="G76" i="15"/>
  <c r="E99" i="14"/>
  <c r="N84" i="15" l="1"/>
  <c r="N80" i="15"/>
  <c r="T93" i="14"/>
  <c r="AB91" i="14"/>
  <c r="B80" i="15"/>
  <c r="B84" i="15"/>
  <c r="T87" i="12"/>
  <c r="AB85" i="12"/>
  <c r="C76" i="15"/>
  <c r="C74" i="15"/>
  <c r="AJ76" i="15"/>
  <c r="AJ74" i="15"/>
  <c r="Q94" i="13"/>
  <c r="AC92" i="13"/>
  <c r="AE70" i="15"/>
  <c r="AG68" i="15"/>
  <c r="AS68" i="15"/>
  <c r="AF66" i="15"/>
  <c r="AD68" i="15"/>
  <c r="AR66" i="15"/>
  <c r="P92" i="13"/>
  <c r="AB90" i="13"/>
  <c r="H67" i="1"/>
  <c r="H69" i="1" s="1"/>
  <c r="H71" i="1" s="1"/>
  <c r="H73" i="1" s="1"/>
  <c r="Q84" i="4"/>
  <c r="AC82" i="4"/>
  <c r="AA84" i="15"/>
  <c r="AA86" i="15" s="1"/>
  <c r="AA80" i="15"/>
  <c r="AA82" i="15" s="1"/>
  <c r="O84" i="15"/>
  <c r="O86" i="15" s="1"/>
  <c r="O80" i="15"/>
  <c r="O82" i="15" s="1"/>
  <c r="K80" i="15"/>
  <c r="K82" i="15" s="1"/>
  <c r="K84" i="15"/>
  <c r="K86" i="15" s="1"/>
  <c r="G97" i="14"/>
  <c r="AC95" i="14"/>
  <c r="F97" i="14"/>
  <c r="F84" i="4"/>
  <c r="AB82" i="4"/>
  <c r="F91" i="12"/>
  <c r="J72" i="15"/>
  <c r="G93" i="12"/>
  <c r="AC91" i="12"/>
  <c r="G80" i="15"/>
  <c r="G84" i="15"/>
  <c r="G86" i="15" s="1"/>
  <c r="E88" i="4"/>
  <c r="F84" i="15"/>
  <c r="F80" i="15"/>
  <c r="E101" i="14"/>
  <c r="T95" i="14" l="1"/>
  <c r="AB93" i="14"/>
  <c r="C80" i="15"/>
  <c r="C82" i="15" s="1"/>
  <c r="C84" i="15"/>
  <c r="AJ84" i="15"/>
  <c r="AJ80" i="15"/>
  <c r="T89" i="12"/>
  <c r="AB87" i="12"/>
  <c r="AF68" i="15"/>
  <c r="AD70" i="15"/>
  <c r="AR68" i="15"/>
  <c r="AE72" i="15"/>
  <c r="AS70" i="15"/>
  <c r="P94" i="13"/>
  <c r="AB92" i="13"/>
  <c r="Q86" i="4"/>
  <c r="AC84" i="4"/>
  <c r="Q96" i="13"/>
  <c r="AC94" i="13"/>
  <c r="F86" i="4"/>
  <c r="AB84" i="4"/>
  <c r="G99" i="14"/>
  <c r="AC97" i="14"/>
  <c r="G95" i="12"/>
  <c r="AC95" i="12" s="1"/>
  <c r="AC93" i="12"/>
  <c r="J74" i="15"/>
  <c r="J76" i="15"/>
  <c r="F93" i="12"/>
  <c r="F99" i="14"/>
  <c r="G82" i="15"/>
  <c r="T97" i="14" l="1"/>
  <c r="AB95" i="14"/>
  <c r="C86" i="15"/>
  <c r="T91" i="12"/>
  <c r="AB89" i="12"/>
  <c r="Q98" i="13"/>
  <c r="AC98" i="13" s="1"/>
  <c r="AC96" i="13"/>
  <c r="P96" i="13"/>
  <c r="AB94" i="13"/>
  <c r="Q88" i="4"/>
  <c r="AC88" i="4" s="1"/>
  <c r="AC86" i="4"/>
  <c r="AD72" i="15"/>
  <c r="AR70" i="15"/>
  <c r="AE76" i="15"/>
  <c r="AE74" i="15"/>
  <c r="AS74" i="15" s="1"/>
  <c r="AS72" i="15"/>
  <c r="F101" i="14"/>
  <c r="J80" i="15"/>
  <c r="J84" i="15"/>
  <c r="F88" i="4"/>
  <c r="AB88" i="4" s="1"/>
  <c r="AB86" i="4"/>
  <c r="F95" i="12"/>
  <c r="G101" i="14"/>
  <c r="AC101" i="14" s="1"/>
  <c r="AC99" i="14"/>
  <c r="T99" i="14" l="1"/>
  <c r="AB97" i="14"/>
  <c r="T93" i="12"/>
  <c r="AB91" i="12"/>
  <c r="AD74" i="15"/>
  <c r="AR74" i="15" s="1"/>
  <c r="AD76" i="15"/>
  <c r="AR72" i="15"/>
  <c r="P98" i="13"/>
  <c r="AB98" i="13" s="1"/>
  <c r="AB96" i="13"/>
  <c r="AE80" i="15"/>
  <c r="AE84" i="15"/>
  <c r="AE86" i="15" s="1"/>
  <c r="AS86" i="15" s="1"/>
  <c r="AS76" i="15"/>
  <c r="AS84" i="15" s="1"/>
  <c r="T101" i="14" l="1"/>
  <c r="AB101" i="14" s="1"/>
  <c r="AB99" i="14"/>
  <c r="T95" i="12"/>
  <c r="AB95" i="12" s="1"/>
  <c r="AB93" i="12"/>
  <c r="AE82" i="15"/>
  <c r="AS82" i="15" s="1"/>
  <c r="AS80" i="15"/>
  <c r="AD80" i="15"/>
  <c r="AR80" i="15" s="1"/>
  <c r="AD84" i="15"/>
  <c r="AR76" i="15"/>
  <c r="AR84" i="15" s="1"/>
</calcChain>
</file>

<file path=xl/sharedStrings.xml><?xml version="1.0" encoding="utf-8"?>
<sst xmlns="http://schemas.openxmlformats.org/spreadsheetml/2006/main" count="1889" uniqueCount="566">
  <si>
    <t>Total Sales</t>
  </si>
  <si>
    <t>Total Gross Profit</t>
  </si>
  <si>
    <t>Month</t>
  </si>
  <si>
    <t>YTD</t>
  </si>
  <si>
    <t>Commissions &amp; Incentives</t>
  </si>
  <si>
    <t>Salaries-Salespeople</t>
  </si>
  <si>
    <t>F &amp; I Commissions &amp; Incentives</t>
  </si>
  <si>
    <t>Delivery Expense</t>
  </si>
  <si>
    <t xml:space="preserve">Policy Adjustment </t>
  </si>
  <si>
    <t>Demonstration</t>
  </si>
  <si>
    <t>Advertising</t>
  </si>
  <si>
    <t>Interest - Floor Plan - Vehicles</t>
  </si>
  <si>
    <t>Vehicle Maintenance</t>
  </si>
  <si>
    <t>Salaries-Owners</t>
  </si>
  <si>
    <t>Salaries-Supervision</t>
  </si>
  <si>
    <t>Salaries-Clerical</t>
  </si>
  <si>
    <t>Other Salaries &amp; Wages</t>
  </si>
  <si>
    <t>Absentee Wages - Productive Personnel</t>
  </si>
  <si>
    <t>Taxes - Payroll</t>
  </si>
  <si>
    <t>Employee Benefits</t>
  </si>
  <si>
    <t>Pension Fund / 401 K</t>
  </si>
  <si>
    <t>Company Vehicle</t>
  </si>
  <si>
    <t>Small Tools</t>
  </si>
  <si>
    <t>Freight &amp; Express</t>
  </si>
  <si>
    <t>Institutional Advertising</t>
  </si>
  <si>
    <t>Stationery &amp; Office Supplies</t>
  </si>
  <si>
    <t>Supplies &amp; Laundry</t>
  </si>
  <si>
    <t>Outside Services</t>
  </si>
  <si>
    <t>Travel &amp; Entertainment</t>
  </si>
  <si>
    <t>Legal &amp; Auditing</t>
  </si>
  <si>
    <t>Communication, Telephone &amp; Internet</t>
  </si>
  <si>
    <t>Employee Training</t>
  </si>
  <si>
    <t>Bad Debts</t>
  </si>
  <si>
    <t>Postage &amp; Misc.</t>
  </si>
  <si>
    <t>Data Processing</t>
  </si>
  <si>
    <t>Contributions</t>
  </si>
  <si>
    <t>Dues, Subscriptions, &amp; Memberships</t>
  </si>
  <si>
    <t>Rent</t>
  </si>
  <si>
    <t>Amortization - Leaseholds</t>
  </si>
  <si>
    <t>Repair &amp; Maintenance - Real Estate</t>
  </si>
  <si>
    <t>Depreciation - Buildings and Improvements</t>
  </si>
  <si>
    <t>Insurance - Buildings &amp; Improvements</t>
  </si>
  <si>
    <t>Taxes - Real Estate</t>
  </si>
  <si>
    <t>Interest - Real Estate Mortgages</t>
  </si>
  <si>
    <t>Heat, Light, Power &amp; Water</t>
  </si>
  <si>
    <t xml:space="preserve">Management Fees </t>
  </si>
  <si>
    <t>Equipment - Repairs and Rental</t>
  </si>
  <si>
    <t>Depreciation-Other than Bldgs &amp; Improvements</t>
  </si>
  <si>
    <t>Insurance-Other than Bldgs &amp; Improvements</t>
  </si>
  <si>
    <t>Taxes-Other than Real Estate, Payroll &amp; Income</t>
  </si>
  <si>
    <t>LESS - Bonuses - Employees/Owners</t>
  </si>
  <si>
    <t>LESS Income Taxes</t>
  </si>
  <si>
    <r>
      <t>LESS</t>
    </r>
    <r>
      <rPr>
        <sz val="11"/>
        <rFont val="Calibri"/>
        <family val="2"/>
        <scheme val="minor"/>
      </rPr>
      <t xml:space="preserve"> Advertising Reimbursement/Allowances</t>
    </r>
  </si>
  <si>
    <r>
      <t>LESS</t>
    </r>
    <r>
      <rPr>
        <sz val="11"/>
        <rFont val="Calibri"/>
        <family val="2"/>
        <scheme val="minor"/>
      </rPr>
      <t xml:space="preserve"> Floor Plan Assistance</t>
    </r>
  </si>
  <si>
    <t>Total Variable Selling Expenses</t>
  </si>
  <si>
    <t xml:space="preserve">TOTAL SALARY &amp; WAGE GROUP </t>
  </si>
  <si>
    <t>TOTAL SEMI-FIXED EXPENSE GROUP</t>
  </si>
  <si>
    <t xml:space="preserve">SUBTOTAL- RENT &amp; RENT EQUIV.  EXP. </t>
  </si>
  <si>
    <t>TOTAL FIXED EXPENSE GROUP</t>
  </si>
  <si>
    <t>TOTAL FIXED OVERHEAD EXP</t>
  </si>
  <si>
    <t xml:space="preserve">TOTAL EXPENSES </t>
  </si>
  <si>
    <t>Net Additions to Income</t>
  </si>
  <si>
    <t xml:space="preserve">Dept.Operating Net Profit Or (LOSS) </t>
  </si>
  <si>
    <t xml:space="preserve">NET PROFIT-before bonuses &amp; inc.Tax </t>
  </si>
  <si>
    <t>TOTAL DEALER</t>
  </si>
  <si>
    <t>NEW VEHICLE</t>
  </si>
  <si>
    <t>USED VEHICLE</t>
  </si>
  <si>
    <t>SERVICE</t>
  </si>
  <si>
    <t>PARTS</t>
  </si>
  <si>
    <t xml:space="preserve">NET PROFIT (LOSS) before income taxes </t>
  </si>
  <si>
    <t xml:space="preserve">   NET PROFIT (LOSS) after income taxes </t>
  </si>
  <si>
    <t>Cust. Mech. Labor - Nissan Vehicles</t>
  </si>
  <si>
    <t>Express Service - Cust. Mech. Labor - Nissan Vehicles</t>
  </si>
  <si>
    <t>Service/Maint Contract-Labor - Nissan Vehicles</t>
  </si>
  <si>
    <t>Exp Service Service/Maint Cont Labor - Nissan Vehicles</t>
  </si>
  <si>
    <t>Warranty Mech. Labor - Nissan Vehicles</t>
  </si>
  <si>
    <t>Express Service - Warranty Labor - Nissan Vehicles</t>
  </si>
  <si>
    <t>Internal Mech. Labor - Nissan Vehicles</t>
  </si>
  <si>
    <t>Express Service Internal Labor  - Nissan Vehicles</t>
  </si>
  <si>
    <t xml:space="preserve">SUB TOTAL - NISSAN MECH. LABOR </t>
  </si>
  <si>
    <t>Cust. Mech. Labor - NCV Vehicles</t>
  </si>
  <si>
    <t>Express Service - Labor - NCV Vehicles</t>
  </si>
  <si>
    <t>Service /Maint Contract - Labor - NCV Vehicles</t>
  </si>
  <si>
    <t>Warranty Mech. Labor - NCV Vehicles</t>
  </si>
  <si>
    <t>Internal Mech. Labor - NCV Vehicles</t>
  </si>
  <si>
    <t>SUB TOTAL - NISSAN MECH. LABOR (Lines 2 to 6)</t>
  </si>
  <si>
    <t>Cust. Mech. Labor -Other Makes Vehicles</t>
  </si>
  <si>
    <t>Express Service Labor - Other Makes Vehicles</t>
  </si>
  <si>
    <t>Service/Maint Contract Labor - Other Makes Vehicles</t>
  </si>
  <si>
    <t>Warranty Mech. Labor - Other Makes Vehicles</t>
  </si>
  <si>
    <t>Internal Mech. Labor - Other Makes Vehicles</t>
  </si>
  <si>
    <t>SUB TOTAL - OTHER VEHICLE LABOR (Lines 8 to 12)</t>
  </si>
  <si>
    <t>Sublet Labor</t>
  </si>
  <si>
    <t>Miscellaneous Mech. Repairs</t>
  </si>
  <si>
    <t>Adj. Cost of Labor Sales - Mech.</t>
  </si>
  <si>
    <t>TOTAL SERVICE DEPT. (Pg5 Line 72 &amp; Pg6 L7, 13,14 to 16)</t>
  </si>
  <si>
    <t>PARTS AND ACCESSORIES</t>
  </si>
  <si>
    <t xml:space="preserve">Parts &amp; Access. R.O. - Nissan </t>
  </si>
  <si>
    <t>Express Service - Parts &amp; Access. R.O. - Nissan Vehicles</t>
  </si>
  <si>
    <t>Service/Maint Contacts - Parts - Nissan Vehicles</t>
  </si>
  <si>
    <t>Express Service - Svc/Maint Contract Parts - Nissan Vehs</t>
  </si>
  <si>
    <t>Tire Sales - R.O. - Nissan</t>
  </si>
  <si>
    <t>Parts &amp; Access. - Warranty Claims - Nissan</t>
  </si>
  <si>
    <t>Express Service Warranty Parts - Nissan Vehicles</t>
  </si>
  <si>
    <t>Tire Sales - Warranty - Nissan</t>
  </si>
  <si>
    <t>Parts &amp; Access. - Internal - Nissan</t>
  </si>
  <si>
    <t>Express Service Internal Parts - Nissan Vehicles</t>
  </si>
  <si>
    <t>Tire Sales - Internal - Nissan</t>
  </si>
  <si>
    <t>Parts &amp; Access. - R.O. Body Shop - Nissan</t>
  </si>
  <si>
    <t>Parts &amp; Access. - Counter Retail - Nissan</t>
  </si>
  <si>
    <t>Parts &amp; Access. - Wholesale - Nissan</t>
  </si>
  <si>
    <r>
      <t>SUBTOTAL: P &amp; A NISSAN</t>
    </r>
    <r>
      <rPr>
        <sz val="7"/>
        <rFont val="Arial"/>
        <family val="2"/>
      </rPr>
      <t xml:space="preserve">                         (Lines 19 to 32)</t>
    </r>
  </si>
  <si>
    <t xml:space="preserve">Parts &amp; Access. R.O. - NCV </t>
  </si>
  <si>
    <t>Express Service - Parts - NCV Vehicles</t>
  </si>
  <si>
    <t>Service/Maint Contacts - Parts - NCV Vehicles</t>
  </si>
  <si>
    <t>Tire Sales - R.O. - NCV</t>
  </si>
  <si>
    <t>Parts &amp; Access. - Warranty Claims - NCV</t>
  </si>
  <si>
    <t>Tire Sales - Warranty - NCV</t>
  </si>
  <si>
    <t>Parts &amp; Access. - Internal - NCV</t>
  </si>
  <si>
    <t>Tire Sales - Internal - NCV</t>
  </si>
  <si>
    <t>Parts &amp; Access. - R.O. Body Shop - NCV</t>
  </si>
  <si>
    <t>Parts &amp; Access. - Counter Retail - NCV</t>
  </si>
  <si>
    <t>Parts &amp; Access. - Wholesale - NCV</t>
  </si>
  <si>
    <r>
      <t>SUBTOTAL: P &amp; A NCV</t>
    </r>
    <r>
      <rPr>
        <sz val="7"/>
        <rFont val="Arial"/>
        <family val="2"/>
      </rPr>
      <t xml:space="preserve">                        (Lines 34 to 44)</t>
    </r>
  </si>
  <si>
    <t>Parts &amp; Access. - R.O. Other Makes Veh</t>
  </si>
  <si>
    <t>Express Service Parts - Other Makes Veh</t>
  </si>
  <si>
    <t>Service/Maint Contract Parts - Other Makes Vehicles</t>
  </si>
  <si>
    <t>Parts &amp; Access. - Warranty Claims - Other Makes Veh</t>
  </si>
  <si>
    <t>Parts &amp; Access. - Internal - Other Makes Veh</t>
  </si>
  <si>
    <t>Parts &amp; Access. - R.O. Body Shop - Other Makes Veh</t>
  </si>
  <si>
    <t>Parts &amp; Access. - Counter Retail - Other Makes Veh</t>
  </si>
  <si>
    <t>Parts &amp; Access. - Wholesale - Other Makes Veh</t>
  </si>
  <si>
    <r>
      <t xml:space="preserve">SUBTOTAL: P &amp; A OTHER MAKES    </t>
    </r>
    <r>
      <rPr>
        <sz val="7"/>
        <rFont val="Arial"/>
        <family val="2"/>
      </rPr>
      <t>(Lines 46 to 53)</t>
    </r>
  </si>
  <si>
    <t>Parts &amp; Access. - Miscellaneous</t>
  </si>
  <si>
    <t>Gas, Oil, &amp; Grease</t>
  </si>
  <si>
    <t>Purchase Discounts Taken</t>
  </si>
  <si>
    <t>Parts &amp; Accessories - Inventory Adjustment</t>
  </si>
  <si>
    <r>
      <t xml:space="preserve">TOTAL P &amp; A DEPT         </t>
    </r>
    <r>
      <rPr>
        <sz val="7"/>
        <color indexed="8"/>
        <rFont val="Arial"/>
        <family val="2"/>
      </rPr>
      <t>(Lines 33 , 45 , 54 to 58)</t>
    </r>
  </si>
  <si>
    <t>Customer Labor</t>
  </si>
  <si>
    <t>Express Service Labor</t>
  </si>
  <si>
    <t>Warranty Labor</t>
  </si>
  <si>
    <t>Internal Labor</t>
  </si>
  <si>
    <t>Internal Labor - Accessories</t>
  </si>
  <si>
    <t>Sublet Repairs</t>
  </si>
  <si>
    <t>Unapplied Labor</t>
  </si>
  <si>
    <t>Customer R.O.</t>
  </si>
  <si>
    <t>Express Service R.O.</t>
  </si>
  <si>
    <t>Body Shop R.O.</t>
  </si>
  <si>
    <t>Warranty R.O.</t>
  </si>
  <si>
    <t>Internal R.O.</t>
  </si>
  <si>
    <t>Counter Retail</t>
  </si>
  <si>
    <t>Wholesale Collision</t>
  </si>
  <si>
    <t>Wholesale Mechanical</t>
  </si>
  <si>
    <t>Stock Order Discount</t>
  </si>
  <si>
    <t>Purchase Allowances</t>
  </si>
  <si>
    <t>Customer &amp; Body Shop R.O.</t>
  </si>
  <si>
    <t>Wholesale</t>
  </si>
  <si>
    <t>Parts &amp; Accessories Inventory Adustments</t>
  </si>
  <si>
    <t>Tires</t>
  </si>
  <si>
    <t>Express Service - Tires</t>
  </si>
  <si>
    <t>Gas, Oil, Grease</t>
  </si>
  <si>
    <t>Express Service - Gas, Oil, Grease</t>
  </si>
  <si>
    <t>Cust Mech Labor - Toyota</t>
  </si>
  <si>
    <t>Cust Mech Labor - Scioin</t>
  </si>
  <si>
    <t>Wrnty Mech Lbr - Toyota/Scion</t>
  </si>
  <si>
    <t>Internal Mech Labor - Toyota/Scion</t>
  </si>
  <si>
    <t>Pre-Del, Svc. -Toyota/Scion</t>
  </si>
  <si>
    <t>Toyota Care Mech Labor -Toyota/Scion</t>
  </si>
  <si>
    <t>Cust Mech Accessory Labor - Toyota</t>
  </si>
  <si>
    <t>Cust Mech Accessory Labor - Scion</t>
  </si>
  <si>
    <t>Warranty Mech Accessory Labor - Toyota/Scion</t>
  </si>
  <si>
    <t>Internal Mech Accessory Labor - Toyota</t>
  </si>
  <si>
    <t>Internal Mech Accessory Labor - Scion</t>
  </si>
  <si>
    <t>Total Mechanical Labor - OTHER</t>
  </si>
  <si>
    <t>Cust. Body Shop Labor</t>
  </si>
  <si>
    <t>Warranty Body Shop Labor</t>
  </si>
  <si>
    <t>Inter Body Shop Labor</t>
  </si>
  <si>
    <t>Labor - Unapplied Time - BS</t>
  </si>
  <si>
    <t>Sublet - Body Shop</t>
  </si>
  <si>
    <t>Paint &amp; Body Shop Materials</t>
  </si>
  <si>
    <t>Parts RO Cust Mech - Toyota</t>
  </si>
  <si>
    <t>Parts RO Cust Mech - Scion</t>
  </si>
  <si>
    <t>Parts RO Cust B/S - Toyota/Scion</t>
  </si>
  <si>
    <t>Parts RO Warranty - Toyota/Scion</t>
  </si>
  <si>
    <t>Parts RO Tires - Toyota/Scion</t>
  </si>
  <si>
    <t>Parts RO Internal - Toyota/Scion</t>
  </si>
  <si>
    <t>Parts Counter Retail - Toyota/Scion</t>
  </si>
  <si>
    <t>Parts Wholesale - Mech/Body - Toyota/Scion</t>
  </si>
  <si>
    <t>Toyota Care Mech Parts - Toyota/Scion</t>
  </si>
  <si>
    <t>TOTAL PARTS - TOYOTA/SCION</t>
  </si>
  <si>
    <t>Accessory RO Customer - Toyota</t>
  </si>
  <si>
    <t>Accessory RO Customer - Scion</t>
  </si>
  <si>
    <t>Accessory RO Warranty - Toyota/Scion</t>
  </si>
  <si>
    <t>Accessory Internal - Toyota</t>
  </si>
  <si>
    <t>Accessory Internal - Scion</t>
  </si>
  <si>
    <t>Accessory Counter Retail - Toyota/Scion</t>
  </si>
  <si>
    <t>Accessory Counter Wholesale - Toyota/Scion</t>
  </si>
  <si>
    <t>TOTAL ACCESSORY TOYOTA/SCION</t>
  </si>
  <si>
    <t>TOTAL PARTS &amp; ACCESSORY - TOYOTA/SCION</t>
  </si>
  <si>
    <t>Total Parts &amp; Accessory - Other (Including Tires)</t>
  </si>
  <si>
    <t>P&amp;A Inv. Adj. /Purch. Disc./LIFO</t>
  </si>
  <si>
    <t>Gas, Oil &amp; Grease/Other Inventory</t>
  </si>
  <si>
    <t>(Nissan/Honda/Toyota)</t>
  </si>
  <si>
    <t>HCA</t>
  </si>
  <si>
    <t>HK</t>
  </si>
  <si>
    <t>HM</t>
  </si>
  <si>
    <t>HTC</t>
  </si>
  <si>
    <t>JCT</t>
  </si>
  <si>
    <t>JCF</t>
  </si>
  <si>
    <t>New Vehicle</t>
  </si>
  <si>
    <t>Used Vehicle</t>
  </si>
  <si>
    <t>Service</t>
  </si>
  <si>
    <t>Parts &amp; Accessories</t>
  </si>
  <si>
    <t>GAS</t>
  </si>
  <si>
    <t>Advertising - Digital</t>
  </si>
  <si>
    <t>Used Vehicles - Our Make</t>
  </si>
  <si>
    <t>Used Vehicles - Certified</t>
  </si>
  <si>
    <t>Used Vehicles - Other</t>
  </si>
  <si>
    <t>Units</t>
  </si>
  <si>
    <t>Total Finance and Insurance Income</t>
  </si>
  <si>
    <t>Total New Vehicle Sales</t>
  </si>
  <si>
    <t>New Vehicle Gross Profit</t>
  </si>
  <si>
    <t>Finance Reserve</t>
  </si>
  <si>
    <t>Extended Service Contract</t>
  </si>
  <si>
    <t>Prepaid Maint</t>
  </si>
  <si>
    <t>GAP</t>
  </si>
  <si>
    <t>Other</t>
  </si>
  <si>
    <t>Manufacturer Incentives</t>
  </si>
  <si>
    <t>Less Chargebacks</t>
  </si>
  <si>
    <t>Total Used Vehicle Sales</t>
  </si>
  <si>
    <t>Used Vehicle Gross Profit</t>
  </si>
  <si>
    <t>Customer Pay</t>
  </si>
  <si>
    <t>Express Service</t>
  </si>
  <si>
    <t>Maintenance</t>
  </si>
  <si>
    <t>Warranty</t>
  </si>
  <si>
    <t>Mechanical Labor</t>
  </si>
  <si>
    <t>Sublet</t>
  </si>
  <si>
    <t>Miscellaneous</t>
  </si>
  <si>
    <t>Adj. Cost of Labor Sales</t>
  </si>
  <si>
    <t>Total Service Department Sales</t>
  </si>
  <si>
    <t>Internal</t>
  </si>
  <si>
    <t>Total # RO's</t>
  </si>
  <si>
    <t>Net Additions/(Deductions) to Income</t>
  </si>
  <si>
    <t>Parts &amp; Accessories - Retail</t>
  </si>
  <si>
    <t>Parts &amp; Accessories - Wholesale</t>
  </si>
  <si>
    <t>Tire Sales</t>
  </si>
  <si>
    <t>P&amp;A Inventory Adjustment/Purchase Discounts</t>
  </si>
  <si>
    <t>Total # CT's</t>
  </si>
  <si>
    <t>Total Parts &amp; Accessories Sales</t>
  </si>
  <si>
    <t>Dealership Total</t>
  </si>
  <si>
    <t>New Vehicle GP Including Incentives</t>
  </si>
  <si>
    <t>Operating Income (Including  F&amp;I and Incentives)</t>
  </si>
  <si>
    <t xml:space="preserve">Total Sales </t>
  </si>
  <si>
    <t>Operating Income (Including F&amp;I and Incentives)</t>
  </si>
  <si>
    <t>Hudson Automotive Group - Consolidated Income Statement</t>
  </si>
  <si>
    <t>Interest</t>
  </si>
  <si>
    <t>Used Vehicles - Wholesale (gross)</t>
  </si>
  <si>
    <t>% to Gross</t>
  </si>
  <si>
    <t>% to Sales</t>
  </si>
  <si>
    <t xml:space="preserve">NET PROFIT-before inc.Tax </t>
  </si>
  <si>
    <t xml:space="preserve">CP Gross </t>
  </si>
  <si>
    <t>Express Gross</t>
  </si>
  <si>
    <t>Maintenance Gross</t>
  </si>
  <si>
    <t>Internal Gross</t>
  </si>
  <si>
    <t>CP Gross</t>
  </si>
  <si>
    <t>Warranty Gross</t>
  </si>
  <si>
    <t>Tires Gross</t>
  </si>
  <si>
    <t>P&amp;A Retail Gross</t>
  </si>
  <si>
    <t>P&amp;A Wholesale Gross</t>
  </si>
  <si>
    <t>Gas, Oil &amp; Grease Gross</t>
  </si>
  <si>
    <t>GAS, Oil &amp; Grease</t>
  </si>
  <si>
    <t>Sublet Gross</t>
  </si>
  <si>
    <t>EBITDA</t>
  </si>
  <si>
    <t>EBITDA  (Annualized)</t>
  </si>
  <si>
    <t>Adjustments to Earnings</t>
  </si>
  <si>
    <t>Total Used F&amp;I Sales</t>
  </si>
  <si>
    <t>Wholesale Sales</t>
  </si>
  <si>
    <t>*deferred income</t>
  </si>
  <si>
    <t>LHF</t>
  </si>
  <si>
    <t>LHI</t>
  </si>
  <si>
    <t>Body Shop</t>
  </si>
  <si>
    <t>Total Body Shop Sales</t>
  </si>
  <si>
    <t>CNS</t>
  </si>
  <si>
    <t>Variable Expenses</t>
  </si>
  <si>
    <t>Fixed Expenses</t>
  </si>
  <si>
    <t>Owner's Salary</t>
  </si>
  <si>
    <t>EBITDAR</t>
  </si>
  <si>
    <t>HMA</t>
  </si>
  <si>
    <t>TOTAL NEW</t>
  </si>
  <si>
    <t>TOTAL USED</t>
  </si>
  <si>
    <t>TOTAL SERVICE</t>
  </si>
  <si>
    <t>TOTAL PARTS</t>
  </si>
  <si>
    <t>VDC</t>
  </si>
  <si>
    <t>RMT</t>
  </si>
  <si>
    <t>EBITDAR  (Annualized)</t>
  </si>
  <si>
    <t>Hudson Automotive - F&amp;I Blowback, Chargeback, and Adjustment Report from 1/1/2016 to 12/31/2016</t>
  </si>
  <si>
    <t>Amounts posted to Chargebacks/Blowbacks/Adjustment accounts</t>
  </si>
  <si>
    <t>Store</t>
  </si>
  <si>
    <t>New</t>
  </si>
  <si>
    <t>Used</t>
  </si>
  <si>
    <t>Total</t>
  </si>
  <si>
    <t>Charleston Nissan</t>
  </si>
  <si>
    <t>Gastonia Nissan</t>
  </si>
  <si>
    <t>Honda Conyers</t>
  </si>
  <si>
    <t>Honda Kingsport</t>
  </si>
  <si>
    <t>Honda Morristown</t>
  </si>
  <si>
    <t>Hudson Nissan</t>
  </si>
  <si>
    <t>Johnson City Ford</t>
  </si>
  <si>
    <t>Johnson City Toyota</t>
  </si>
  <si>
    <t>Larry Hill Ford</t>
  </si>
  <si>
    <t>Larry Hill Imports</t>
  </si>
  <si>
    <t>Murfreesboro Hyundai/VW</t>
  </si>
  <si>
    <t>Rocky Mount Toyota</t>
  </si>
  <si>
    <t>VehiclesDirect</t>
  </si>
  <si>
    <t/>
  </si>
  <si>
    <t xml:space="preserve">F&amp;I Income </t>
  </si>
  <si>
    <t>Add Back</t>
  </si>
  <si>
    <t>HOC</t>
  </si>
  <si>
    <t>CB%</t>
  </si>
  <si>
    <t xml:space="preserve">CB per Dealer Ops </t>
  </si>
  <si>
    <t>Variance</t>
  </si>
  <si>
    <t>CN</t>
  </si>
  <si>
    <t>CHS</t>
  </si>
  <si>
    <t>Total CB 2016</t>
  </si>
  <si>
    <t>Remain Future Contingent Liability</t>
  </si>
  <si>
    <t>Over/(Under)</t>
  </si>
  <si>
    <t>n/a</t>
  </si>
  <si>
    <r>
      <t xml:space="preserve">Materiality for </t>
    </r>
    <r>
      <rPr>
        <b/>
        <sz val="11"/>
        <color theme="1"/>
        <rFont val="Calibri"/>
        <family val="2"/>
        <scheme val="minor"/>
      </rPr>
      <t>Planning</t>
    </r>
    <r>
      <rPr>
        <sz val="11"/>
        <color theme="1"/>
        <rFont val="Calibri"/>
        <family val="2"/>
        <scheme val="minor"/>
      </rPr>
      <t xml:space="preserve"> per Binder</t>
    </r>
  </si>
  <si>
    <t>More than consolidated MAT</t>
  </si>
  <si>
    <t>52% Cancelled in the Same Year per Craig</t>
  </si>
  <si>
    <t>Summary of F&amp;I</t>
  </si>
  <si>
    <t>NEW</t>
  </si>
  <si>
    <t>USED</t>
  </si>
  <si>
    <t xml:space="preserve">Charege Back Analysis </t>
  </si>
  <si>
    <t>Hudson Automotive - F&amp;I Blowback, Chargeback, and Adjustment Report from 1/1/2015 to 12/31/2015</t>
  </si>
  <si>
    <t>Hudson Automotive - F&amp;I Blowback, Chargeback, and Adjustment Report from 1/1/2014 to 12/31/2014</t>
  </si>
  <si>
    <t>Larry Hill</t>
  </si>
  <si>
    <t>Total New and Used</t>
  </si>
  <si>
    <t>Total F&amp;I before Chargebacks</t>
  </si>
  <si>
    <t xml:space="preserve">Add Back Chargebacks </t>
  </si>
  <si>
    <t>Change in Gross F&amp;I</t>
  </si>
  <si>
    <t>Chargeback % of Gross</t>
  </si>
  <si>
    <t>Project Impact on 2016 P&amp;L</t>
  </si>
  <si>
    <t>P&amp;L Adjustment for PAJE</t>
  </si>
  <si>
    <t>P&amp;L before PAJE and CB Adjustment</t>
  </si>
  <si>
    <t>P&amp;L after Past Adjustments</t>
  </si>
  <si>
    <t xml:space="preserve">Prior Period Adjustment </t>
  </si>
  <si>
    <t>Percentage Impact of Chargebacks and PAJEs</t>
  </si>
  <si>
    <t>Less Portion of Reserves not subject to chargeback (120 no charge backs (120/365)=67.13%)</t>
  </si>
  <si>
    <t>Net F&amp;I Gross Subject to future Charge Backs</t>
  </si>
  <si>
    <t>2017 Charge Backs</t>
  </si>
  <si>
    <t xml:space="preserve">New </t>
  </si>
  <si>
    <t>Allocation</t>
  </si>
  <si>
    <t xml:space="preserve">Year One </t>
  </si>
  <si>
    <t xml:space="preserve">Year Two </t>
  </si>
  <si>
    <t>Year Three</t>
  </si>
  <si>
    <t>Year Four</t>
  </si>
  <si>
    <t xml:space="preserve">Aging </t>
  </si>
  <si>
    <t>Per Res</t>
  </si>
  <si>
    <t>Non-cancelable products</t>
  </si>
  <si>
    <t>Total Reserve before Manager Participation</t>
  </si>
  <si>
    <t>Less: Manager Participation at 24%</t>
  </si>
  <si>
    <t>Net Total Reserve after Manager Participation</t>
  </si>
  <si>
    <t>Comments</t>
  </si>
  <si>
    <t>Est. reduction</t>
  </si>
  <si>
    <t>Reserve - Calculation Support</t>
  </si>
  <si>
    <t>Index adj. for non CB items</t>
  </si>
  <si>
    <t>Sales volume adjustment</t>
  </si>
  <si>
    <t xml:space="preserve">F&amp;I &amp; Charge Back Analysis </t>
  </si>
  <si>
    <t>ESTIMATE FOR 2017 RESERVE</t>
  </si>
  <si>
    <t>2017 ESTIMATED RESERVE</t>
  </si>
  <si>
    <t>Oxford</t>
  </si>
  <si>
    <t>Bessemer</t>
  </si>
  <si>
    <t>Columbia</t>
  </si>
  <si>
    <t>Benton Automotive Group</t>
  </si>
  <si>
    <t xml:space="preserve">Hoover </t>
  </si>
  <si>
    <t>total before chargebacks</t>
  </si>
  <si>
    <t>non cancelables</t>
  </si>
  <si>
    <t xml:space="preserve">Current </t>
  </si>
  <si>
    <t>Long-term</t>
  </si>
  <si>
    <t>FINACNIAL STMT PRESENTATION</t>
  </si>
  <si>
    <t xml:space="preserve">Year 1 - 1st yr of contract </t>
  </si>
  <si>
    <t xml:space="preserve">Year 1 - 2nd yr of contract </t>
  </si>
  <si>
    <t xml:space="preserve">Year 1 - 3rd yr of contract </t>
  </si>
  <si>
    <t xml:space="preserve">Year 2 - 2nd yr of contract </t>
  </si>
  <si>
    <t>Rounded</t>
  </si>
  <si>
    <t xml:space="preserve">Year 2 - 3rd yr of contract </t>
  </si>
  <si>
    <t xml:space="preserve">Year 3 - 3rd yr of contract </t>
  </si>
  <si>
    <t>% of current year chargebacks</t>
  </si>
  <si>
    <t>%</t>
  </si>
  <si>
    <t>% of F&amp;I incme</t>
  </si>
  <si>
    <t>Industry%</t>
  </si>
  <si>
    <t>10-15%</t>
  </si>
  <si>
    <t>CY P&amp;L Impact: Income (Expense)</t>
  </si>
  <si>
    <t>ESTIMATE FOR 2018 RESERVE</t>
  </si>
  <si>
    <t>Guntersville</t>
  </si>
  <si>
    <t>ESTIMATE FOR 2019 RESERVE</t>
  </si>
  <si>
    <t xml:space="preserve">ST </t>
  </si>
  <si>
    <t>LT</t>
  </si>
  <si>
    <t>Adjustment:</t>
  </si>
  <si>
    <t>Acct:</t>
  </si>
  <si>
    <t>FS</t>
  </si>
  <si>
    <t>ESTIMATED RESERVE</t>
  </si>
  <si>
    <t>ESTIMATE FOR 2020 RESERVE</t>
  </si>
  <si>
    <t>ESTIMATE FOR 2021 RESERVE</t>
  </si>
  <si>
    <t>Account Number</t>
  </si>
  <si>
    <t>Account Description</t>
  </si>
  <si>
    <t>F&amp;I Income Grouping From Below</t>
  </si>
  <si>
    <t>F&amp;I Income Grouping Linked</t>
  </si>
  <si>
    <t>Amount</t>
  </si>
  <si>
    <t>1st PP-FINAL[200]</t>
  </si>
  <si>
    <t>FINAL[7]</t>
  </si>
  <si>
    <t>Label</t>
  </si>
  <si>
    <t>F&amp;I</t>
  </si>
  <si>
    <t>Finance</t>
  </si>
  <si>
    <t>Total Chargebacks</t>
  </si>
  <si>
    <t>Amount to take to retained earnings</t>
  </si>
  <si>
    <t>Amount to take to current year earnings</t>
  </si>
  <si>
    <t>Entry</t>
  </si>
  <si>
    <t>Current Portion</t>
  </si>
  <si>
    <t>Long Term Portion</t>
  </si>
  <si>
    <t>Retained Earnings</t>
  </si>
  <si>
    <t>F&amp;I Chargebacks</t>
  </si>
  <si>
    <t>Trial balance</t>
  </si>
  <si>
    <t>Account Index: Group #/ Subgroup # / Acct #</t>
  </si>
  <si>
    <t>Order in Formula</t>
  </si>
  <si>
    <t>Parameters</t>
  </si>
  <si>
    <t>Period &amp; Balance Type</t>
  </si>
  <si>
    <t xml:space="preserve">See account Below </t>
  </si>
  <si>
    <t>Label List</t>
  </si>
  <si>
    <t xml:space="preserve"> (select drop Down)</t>
  </si>
  <si>
    <t>To Pull Detail</t>
  </si>
  <si>
    <t>To pull Control Check Balance</t>
  </si>
  <si>
    <r>
      <t>Type:</t>
    </r>
    <r>
      <rPr>
        <sz val="10"/>
        <color theme="0" tint="-0.34998626667073579"/>
        <rFont val="Times New Roman"/>
        <family val="1"/>
      </rPr>
      <t xml:space="preserve"> Group 1 / Sub Group 2 /</t>
    </r>
    <r>
      <rPr>
        <b/>
        <u val="singleAccounting"/>
        <sz val="10"/>
        <color theme="0" tint="-0.34998626667073579"/>
        <rFont val="Times New Roman"/>
        <family val="1"/>
      </rPr>
      <t xml:space="preserve"> </t>
    </r>
    <r>
      <rPr>
        <u val="singleAccounting"/>
        <sz val="10"/>
        <color rgb="FFFF0000"/>
        <rFont val="Times New Roman"/>
        <family val="1"/>
      </rPr>
      <t>Detail 3</t>
    </r>
    <r>
      <rPr>
        <sz val="10"/>
        <color rgb="FFFF0000"/>
        <rFont val="Times New Roman"/>
        <family val="1"/>
      </rPr>
      <t xml:space="preserve"> /</t>
    </r>
    <r>
      <rPr>
        <sz val="10"/>
        <color theme="0" tint="-0.34998626667073579"/>
        <rFont val="Times New Roman"/>
        <family val="1"/>
      </rPr>
      <t xml:space="preserve"> Class -1 / Type -2</t>
    </r>
  </si>
  <si>
    <t xml:space="preserve">Account Grouping  </t>
  </si>
  <si>
    <t xml:space="preserve">Select F&amp;I Grouping </t>
  </si>
  <si>
    <t>Select Group 1</t>
  </si>
  <si>
    <t>Select group 3</t>
  </si>
  <si>
    <t>2nd PP-FINAL[201]</t>
  </si>
  <si>
    <t>Note:</t>
  </si>
  <si>
    <t>List all F&amp;I accounts both Sales and cost of sales.</t>
  </si>
  <si>
    <t>Total Finance Only (Fin Res / Bank Res)</t>
  </si>
  <si>
    <t xml:space="preserve">Total F&amp;I Net - All Products </t>
  </si>
  <si>
    <t xml:space="preserve">non cancel total - Products put on the Vehicle </t>
  </si>
  <si>
    <t>Group:</t>
  </si>
  <si>
    <t>CB</t>
  </si>
  <si>
    <t xml:space="preserve">Column Store Label </t>
  </si>
  <si>
    <t>Column Store Acccout Balance</t>
  </si>
  <si>
    <t>H</t>
  </si>
  <si>
    <t>E</t>
  </si>
  <si>
    <t>F</t>
  </si>
  <si>
    <t>G</t>
  </si>
  <si>
    <t>Service Contracts</t>
  </si>
  <si>
    <t xml:space="preserve">Charge backs </t>
  </si>
  <si>
    <t xml:space="preserve">CB </t>
  </si>
  <si>
    <t xml:space="preserve">Paint Protection </t>
  </si>
  <si>
    <t xml:space="preserve">Fabric Protection </t>
  </si>
  <si>
    <t>ETCH</t>
  </si>
  <si>
    <t xml:space="preserve">Theift </t>
  </si>
  <si>
    <t>Lo-Jack</t>
  </si>
  <si>
    <t>Finance Income</t>
  </si>
  <si>
    <t xml:space="preserve">Bank Income </t>
  </si>
  <si>
    <t>Finanace Reserve</t>
  </si>
  <si>
    <t>Tire &amp; Wheel</t>
  </si>
  <si>
    <t>Wear and Tear</t>
  </si>
  <si>
    <t>Dent and Ding</t>
  </si>
  <si>
    <t xml:space="preserve">Windshield </t>
  </si>
  <si>
    <t>ESP</t>
  </si>
  <si>
    <t xml:space="preserve">SC </t>
  </si>
  <si>
    <t>Easy Care</t>
  </si>
  <si>
    <t>C/back</t>
  </si>
  <si>
    <t>Bank Reserve</t>
  </si>
  <si>
    <t>Examples:</t>
  </si>
  <si>
    <t>Mercedes</t>
  </si>
  <si>
    <t>NAME</t>
  </si>
  <si>
    <t>FINANCIAL STMT PRESENTATION</t>
  </si>
  <si>
    <t>ESTIMATE FOR 2024 RESERVE</t>
  </si>
  <si>
    <t>A4018</t>
  </si>
  <si>
    <t>SLS NEW AUD FR AFTMKT</t>
  </si>
  <si>
    <t>A4019</t>
  </si>
  <si>
    <t>SLS NEW AUDI GAP INSURANCE</t>
  </si>
  <si>
    <t>A4181</t>
  </si>
  <si>
    <t>SLS NEW AUD FRAN SERV CONT</t>
  </si>
  <si>
    <t>A4182</t>
  </si>
  <si>
    <t>SLS NEW AUD FRAN:AUD-CARE</t>
  </si>
  <si>
    <t>A4195</t>
  </si>
  <si>
    <t>SLS NEW AUDI FRAN:OM-SERV</t>
  </si>
  <si>
    <t>A9160</t>
  </si>
  <si>
    <t>F&amp;I INCOME NEW</t>
  </si>
  <si>
    <t>A9162</t>
  </si>
  <si>
    <t>F&amp;I CHARGEBACKS NEW</t>
  </si>
  <si>
    <t>A4202</t>
  </si>
  <si>
    <t>SLS AUDI FRAN CPO AFTMKT PRODU Totals:</t>
  </si>
  <si>
    <t>A4203</t>
  </si>
  <si>
    <t>SLS AUD FR:AUD-F&amp;I AFTMRKT-RTL Totals:</t>
  </si>
  <si>
    <t>A4205</t>
  </si>
  <si>
    <t>SLS AUDI USED GAP INS Totals:</t>
  </si>
  <si>
    <t>A4210</t>
  </si>
  <si>
    <t>SLS USED GAP INSURANCE Totals:</t>
  </si>
  <si>
    <t>A4287</t>
  </si>
  <si>
    <t>SLS AUDI FRAN CPO SVC CONT Totals:</t>
  </si>
  <si>
    <t>A4288</t>
  </si>
  <si>
    <t>SLS AUD FRAN:AUD-SERV CONT- Totals:</t>
  </si>
  <si>
    <t>A9163</t>
  </si>
  <si>
    <t>F&amp;I INCOME USED Totals:</t>
  </si>
  <si>
    <t>A9164</t>
  </si>
  <si>
    <t>AUDI FRAN:AUDI-F&amp;I INCOME-CPO Totals:</t>
  </si>
  <si>
    <t>A9166</t>
  </si>
  <si>
    <t>F&amp;I INCOME RESERVE USED Totals:</t>
  </si>
  <si>
    <t>A5018</t>
  </si>
  <si>
    <t>CST NEW AUD FR:AUD-F&amp;I Totals:</t>
  </si>
  <si>
    <t>A5019</t>
  </si>
  <si>
    <t>CST NEW AUDI GAP INS Totals:</t>
  </si>
  <si>
    <t>A5112</t>
  </si>
  <si>
    <t>NEW COS C/B'S Totals:</t>
  </si>
  <si>
    <t>A5181</t>
  </si>
  <si>
    <t>CST NEW AUD FRAN:AUD-SERV Totals:</t>
  </si>
  <si>
    <t>A5182</t>
  </si>
  <si>
    <t>CST NEW AUD FRAN:AUD-CARE Totals:</t>
  </si>
  <si>
    <t>A5195</t>
  </si>
  <si>
    <t>FINANCE CGHARGEBACKS SVC CONTR Totals:</t>
  </si>
  <si>
    <t>A9167</t>
  </si>
  <si>
    <t>F&amp;I CHRGBCKS UNDER 90 NEW Totals:</t>
  </si>
  <si>
    <t>A5107</t>
  </si>
  <si>
    <t>USED AMO COGS Totals:</t>
  </si>
  <si>
    <t>A5202</t>
  </si>
  <si>
    <t>CST AUD FR:AUD-F&amp;I AFTMRKT- Totals:</t>
  </si>
  <si>
    <t>A52031</t>
  </si>
  <si>
    <t>A5206</t>
  </si>
  <si>
    <t>COS USED GAP Totals:</t>
  </si>
  <si>
    <t>A5207</t>
  </si>
  <si>
    <t>CST USD AUD FRAN:OM-F&amp;I Totals:</t>
  </si>
  <si>
    <t>A5210</t>
  </si>
  <si>
    <t>CST USD OTHER FRAN:F&amp;I Totals:</t>
  </si>
  <si>
    <t>A5212</t>
  </si>
  <si>
    <t>USED COS C'B/S Totals:</t>
  </si>
  <si>
    <t>A5287</t>
  </si>
  <si>
    <t>CST AUD FRAN:AUD-SERV CONT- Totals:</t>
  </si>
  <si>
    <t>A5288</t>
  </si>
  <si>
    <t>A5295</t>
  </si>
  <si>
    <t>FINANCE CHARGEBACKS SVC CONT</t>
  </si>
  <si>
    <t>A9165</t>
  </si>
  <si>
    <t>F&amp;I CHARGEBACKS USED Totals:</t>
  </si>
  <si>
    <t>A9168</t>
  </si>
  <si>
    <t>F&amp;I CHRGBCKS UNDER 90 USED Totals:</t>
  </si>
  <si>
    <t>A4107</t>
  </si>
  <si>
    <t>USED AMO- SALE Totals:</t>
  </si>
  <si>
    <t>e) In column H, select a drop down label for each account. Use the 'Label List' tab as a guide.</t>
  </si>
  <si>
    <t>MB Auto Group</t>
  </si>
  <si>
    <t>MB TRIAL BALANCE DATABASE</t>
  </si>
  <si>
    <t xml:space="preserve">c) Copy and paste all F&amp;I account numbers and descriptions from the trial balance onto the sheet, starting at C22 and D22. </t>
  </si>
  <si>
    <t xml:space="preserve">2. On the 'Chargeback Analysis' tab update the numbers to show three years of information- the current year and the two preceding years. </t>
  </si>
  <si>
    <t>There should be three years of data pulling— the current year and the two preceding years.</t>
  </si>
  <si>
    <t>Instructions:</t>
  </si>
  <si>
    <t>b) In cell D13, update the trial balance database name.</t>
  </si>
  <si>
    <t>d) Sum up the account balances that pull through for each year and make sure it matches the total F&amp;I balance on the working trial balance.</t>
  </si>
  <si>
    <t xml:space="preserve">(Check prior year PAJEs that need to be reversed. When reversing a PAJE the reversal should hit the opposite side for all </t>
  </si>
  <si>
    <t>income statement accounts, and put the net effect of all balance sheet accounts to equity. )</t>
  </si>
  <si>
    <t xml:space="preserve"> long term chargeback reserve liability accounts on the trial balance. The other side of the entry should be an F&amp;I cost of sales account.</t>
  </si>
  <si>
    <t>3. Row 61 'Financial Statement Presentation' lists the current and long term balances that should tie to the trial balance. Make an AJE to adjust the  current and</t>
  </si>
  <si>
    <t xml:space="preserve">A chargeback is when a finance or insurance product is canceled by the customer or when the lender reduces or reverses the dealer's commission. A chargeback reserve is an estimate set aside to cover expected future chargebacks related to current sales. This workpaper calculates the chargeback reserve to ensure accurate financial reporting and prevents unexpected revenue impacts when chargebacks occur. </t>
  </si>
  <si>
    <t>1. This workpaper should go in the I section of the Engagement binder. On the 'TB Links' tab update the following information:</t>
  </si>
  <si>
    <t>a) In cells B2 and C1, update the manufacturer and client name.</t>
  </si>
  <si>
    <t>Once the accounts and descriptions are copied over, the account balances should automatically pull through.</t>
  </si>
  <si>
    <t xml:space="preserve">If the reserve amount is less than ISI, then the entry does not have to be posted; a PAJE should be recorded. </t>
  </si>
  <si>
    <t>The information for the two preceding years should match the chargeback reserve workpaper from the prior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</si>
</sst>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4" formatCode="_(&quot;$&quot;* #,##0.00_);_(&quot;$&quot;* \(#,##0.00\);_(&quot;$&quot;* &quot;-&quot;??_);_(@_)"/>
    <numFmt numFmtId="43" formatCode="_(* #,##0.00_);_(* \(#,##0.00\);_(* &quot;-&quot;??_);_(@_)"/>
    <numFmt numFmtId="164" formatCode="[$-409]mmmm\-yy;@"/>
    <numFmt numFmtId="165" formatCode="0_);[Red]\(0\)"/>
    <numFmt numFmtId="166" formatCode="#,##0.0000_);[Red]\(#,##0.0000\)"/>
    <numFmt numFmtId="167" formatCode="[$-10409]&quot;$&quot;#,##0.00;\(&quot;$&quot;#,##0.00\)"/>
    <numFmt numFmtId="168" formatCode="_(* #,##0_);_(* \(#,##0\);_(* &quot;-&quot;??_);_(@_)"/>
    <numFmt numFmtId="169" formatCode="_(&quot;$&quot;* #,##0_);_(&quot;$&quot;* \(#,##0\);_(&quot;$&quot;* &quot;-&quot;??_);_(@_)"/>
  </numFmts>
  <fonts count="47">
    <font>
      <sz val="11"/>
      <color theme="1"/>
      <name val="Calibri"/>
      <family val="2"/>
      <scheme val="minor"/>
    </font>
    <font>
      <b/>
      <sz val="11"/>
      <color theme="1"/>
      <name val="Calibri"/>
      <family val="2"/>
      <scheme val="minor"/>
    </font>
    <font>
      <sz val="7"/>
      <name val="Arial"/>
      <family val="2"/>
    </font>
    <font>
      <sz val="7"/>
      <color indexed="8"/>
      <name val="Arial"/>
      <family val="2"/>
    </font>
    <font>
      <sz val="8"/>
      <name val="Arial"/>
      <family val="2"/>
    </font>
    <font>
      <sz val="11"/>
      <color rgb="FF000000"/>
      <name val="Calibri"/>
      <family val="2"/>
      <charset val="204"/>
    </font>
    <font>
      <b/>
      <sz val="10"/>
      <color rgb="FF000000"/>
      <name val="Calibri"/>
      <family val="2"/>
      <scheme val="minor"/>
    </font>
    <font>
      <sz val="11"/>
      <name val="Calibri"/>
      <family val="2"/>
      <scheme val="minor"/>
    </font>
    <font>
      <b/>
      <u/>
      <sz val="11"/>
      <name val="Calibri"/>
      <family val="2"/>
      <scheme val="minor"/>
    </font>
    <font>
      <sz val="11"/>
      <color indexed="8"/>
      <name val="Calibri"/>
      <family val="2"/>
      <scheme val="minor"/>
    </font>
    <font>
      <u/>
      <sz val="11"/>
      <name val="Calibri"/>
      <family val="2"/>
      <scheme val="minor"/>
    </font>
    <font>
      <sz val="10"/>
      <name val="Arial"/>
      <family val="2"/>
    </font>
    <font>
      <b/>
      <sz val="7"/>
      <name val="Arial"/>
      <family val="2"/>
    </font>
    <font>
      <b/>
      <sz val="7"/>
      <color indexed="8"/>
      <name val="Arial"/>
      <family val="2"/>
    </font>
    <font>
      <sz val="10"/>
      <name val="Arial MT"/>
    </font>
    <font>
      <sz val="11"/>
      <color indexed="8"/>
      <name val="Calibri"/>
      <family val="2"/>
    </font>
    <font>
      <sz val="11"/>
      <color theme="1"/>
      <name val="Calibri"/>
      <family val="2"/>
      <charset val="134"/>
      <scheme val="minor"/>
    </font>
    <font>
      <b/>
      <sz val="8"/>
      <name val="Arial"/>
      <family val="2"/>
    </font>
    <font>
      <sz val="11"/>
      <color theme="1"/>
      <name val="Calibri"/>
      <family val="2"/>
      <scheme val="minor"/>
    </font>
    <font>
      <sz val="11"/>
      <color theme="0"/>
      <name val="Calibri"/>
      <family val="2"/>
      <scheme val="minor"/>
    </font>
    <font>
      <sz val="11"/>
      <color rgb="FF000000"/>
      <name val="Calibri"/>
      <family val="2"/>
      <scheme val="minor"/>
    </font>
    <font>
      <b/>
      <sz val="12"/>
      <color rgb="FFFFFFFF"/>
      <name val="Arial"/>
      <family val="2"/>
    </font>
    <font>
      <sz val="11"/>
      <name val="Calibri"/>
      <family val="2"/>
    </font>
    <font>
      <b/>
      <sz val="8"/>
      <color rgb="FFFFFFFF"/>
      <name val="Arial"/>
      <family val="2"/>
    </font>
    <font>
      <b/>
      <sz val="8"/>
      <color rgb="FF0000FF"/>
      <name val="Arial"/>
      <family val="2"/>
    </font>
    <font>
      <sz val="8"/>
      <color rgb="FF000000"/>
      <name val="Arial"/>
      <family val="2"/>
    </font>
    <font>
      <b/>
      <sz val="8"/>
      <color rgb="FF000000"/>
      <name val="Arial"/>
      <family val="2"/>
    </font>
    <font>
      <sz val="11"/>
      <name val="Calibri"/>
      <family val="2"/>
    </font>
    <font>
      <b/>
      <sz val="7"/>
      <color rgb="FFFFFFFF"/>
      <name val="Arial"/>
      <family val="2"/>
    </font>
    <font>
      <sz val="11"/>
      <color rgb="FF3F3F76"/>
      <name val="Calibri"/>
      <family val="2"/>
      <scheme val="minor"/>
    </font>
    <font>
      <b/>
      <sz val="11"/>
      <color theme="0"/>
      <name val="Calibri"/>
      <family val="2"/>
      <scheme val="minor"/>
    </font>
    <font>
      <i/>
      <sz val="11"/>
      <color theme="1"/>
      <name val="Calibri"/>
      <family val="2"/>
      <scheme val="minor"/>
    </font>
    <font>
      <b/>
      <i/>
      <sz val="11"/>
      <color theme="1"/>
      <name val="Calibri"/>
      <family val="2"/>
      <scheme val="minor"/>
    </font>
    <font>
      <b/>
      <sz val="14"/>
      <color theme="0"/>
      <name val="Calibri"/>
      <family val="2"/>
      <scheme val="minor"/>
    </font>
    <font>
      <sz val="10"/>
      <color theme="1"/>
      <name val="Calibri"/>
      <family val="2"/>
      <scheme val="minor"/>
    </font>
    <font>
      <sz val="11"/>
      <color rgb="FFFF0000"/>
      <name val="Calibri"/>
      <family val="2"/>
      <scheme val="minor"/>
    </font>
    <font>
      <b/>
      <sz val="11"/>
      <color rgb="FFFF0000"/>
      <name val="Calibri"/>
      <family val="2"/>
      <scheme val="minor"/>
    </font>
    <font>
      <b/>
      <sz val="10"/>
      <color theme="1"/>
      <name val="Calibri"/>
      <family val="2"/>
      <scheme val="minor"/>
    </font>
    <font>
      <sz val="10"/>
      <color rgb="FFFF0000"/>
      <name val="Times New Roman"/>
      <family val="1"/>
    </font>
    <font>
      <sz val="8"/>
      <name val="Calibri"/>
      <family val="2"/>
      <scheme val="minor"/>
    </font>
    <font>
      <sz val="8"/>
      <color rgb="FFFF0000"/>
      <name val="Calibri"/>
      <family val="2"/>
      <scheme val="minor"/>
    </font>
    <font>
      <u val="singleAccounting"/>
      <sz val="10"/>
      <color rgb="FFFF0000"/>
      <name val="Times New Roman"/>
      <family val="1"/>
    </font>
    <font>
      <sz val="10"/>
      <color theme="0" tint="-0.34998626667073579"/>
      <name val="Times New Roman"/>
      <family val="1"/>
    </font>
    <font>
      <b/>
      <u val="singleAccounting"/>
      <sz val="10"/>
      <color theme="0" tint="-0.34998626667073579"/>
      <name val="Times New Roman"/>
      <family val="1"/>
    </font>
    <font>
      <b/>
      <sz val="8"/>
      <color theme="1"/>
      <name val="Calibri"/>
      <family val="2"/>
      <scheme val="minor"/>
    </font>
    <font>
      <i/>
      <sz val="11"/>
      <color rgb="FFFF0000"/>
      <name val="Calibri"/>
      <family val="2"/>
      <scheme val="minor"/>
    </font>
    <font>
      <i/>
      <sz val="11"/>
      <name val="Calibri"/>
      <family val="2"/>
      <scheme val="minor"/>
    </font>
  </fonts>
  <fills count="2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indexed="15"/>
      </patternFill>
    </fill>
    <fill>
      <patternFill patternType="solid">
        <fgColor rgb="FFCCFFFF"/>
        <bgColor indexed="64"/>
      </patternFill>
    </fill>
    <fill>
      <patternFill patternType="solid">
        <fgColor indexed="55"/>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E74B3C"/>
        <bgColor rgb="FFE74B3C"/>
      </patternFill>
    </fill>
    <fill>
      <patternFill patternType="solid">
        <fgColor rgb="FF607D8B"/>
        <bgColor rgb="FF607D8B"/>
      </patternFill>
    </fill>
    <fill>
      <patternFill patternType="solid">
        <fgColor rgb="FFDCDCDC"/>
        <bgColor rgb="FFDCDCDC"/>
      </patternFill>
    </fill>
    <fill>
      <patternFill patternType="solid">
        <fgColor theme="4"/>
      </patternFill>
    </fill>
    <fill>
      <patternFill patternType="solid">
        <fgColor theme="0" tint="-0.34998626667073579"/>
        <bgColor indexed="64"/>
      </patternFill>
    </fill>
    <fill>
      <patternFill patternType="solid">
        <fgColor rgb="FFFFCC99"/>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249977111117893"/>
        <bgColor indexed="64"/>
      </patternFill>
    </fill>
    <fill>
      <patternFill patternType="solid">
        <fgColor rgb="FFFFC000"/>
        <bgColor indexed="64"/>
      </patternFill>
    </fill>
    <fill>
      <patternFill patternType="solid">
        <fgColor rgb="FFC00000"/>
        <bgColor indexed="64"/>
      </patternFill>
    </fill>
    <fill>
      <patternFill patternType="solid">
        <fgColor rgb="FF92D050"/>
        <bgColor indexed="64"/>
      </patternFill>
    </fill>
    <fill>
      <patternFill patternType="solid">
        <fgColor theme="2" tint="-0.249977111117893"/>
        <bgColor indexed="64"/>
      </patternFill>
    </fill>
    <fill>
      <patternFill patternType="solid">
        <fgColor theme="6" tint="0.59999389629810485"/>
        <bgColor indexed="64"/>
      </patternFill>
    </fill>
    <fill>
      <patternFill patternType="solid">
        <fgColor theme="0"/>
        <bgColor indexed="64"/>
      </patternFill>
    </fill>
  </fills>
  <borders count="3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top/>
      <bottom style="medium">
        <color indexed="64"/>
      </bottom>
      <diagonal/>
    </border>
    <border>
      <left/>
      <right/>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thin">
        <color indexed="64"/>
      </top>
      <bottom style="double">
        <color indexed="64"/>
      </bottom>
      <diagonal/>
    </border>
  </borders>
  <cellStyleXfs count="38">
    <xf numFmtId="0" fontId="0" fillId="0" borderId="0"/>
    <xf numFmtId="0" fontId="5" fillId="0" borderId="0"/>
    <xf numFmtId="0" fontId="11" fillId="0" borderId="0"/>
    <xf numFmtId="0" fontId="11" fillId="0" borderId="0"/>
    <xf numFmtId="0" fontId="11" fillId="0" borderId="0"/>
    <xf numFmtId="13" fontId="11" fillId="0" borderId="0" applyFont="0" applyFill="0" applyProtection="0"/>
    <xf numFmtId="13" fontId="11" fillId="0" borderId="0" applyFont="0" applyFill="0" applyProtection="0"/>
    <xf numFmtId="0" fontId="14" fillId="6" borderId="12"/>
    <xf numFmtId="0" fontId="14" fillId="6" borderId="13"/>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0" fontId="11" fillId="0" borderId="0"/>
    <xf numFmtId="0" fontId="11"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6" fillId="0" borderId="0">
      <alignment vertical="center"/>
    </xf>
    <xf numFmtId="9" fontId="18" fillId="0" borderId="0" applyFont="0" applyFill="0" applyBorder="0" applyAlignment="0" applyProtection="0"/>
    <xf numFmtId="43" fontId="18" fillId="0" borderId="0" applyFont="0" applyFill="0" applyBorder="0" applyAlignment="0" applyProtection="0"/>
    <xf numFmtId="0" fontId="20" fillId="0" borderId="0"/>
    <xf numFmtId="43" fontId="20" fillId="0" borderId="0" applyFont="0" applyFill="0" applyBorder="0" applyAlignment="0" applyProtection="0"/>
    <xf numFmtId="0" fontId="19" fillId="14" borderId="0" applyNumberFormat="0" applyBorder="0" applyAlignment="0" applyProtection="0"/>
    <xf numFmtId="0" fontId="29" fillId="16" borderId="26" applyNumberFormat="0" applyAlignment="0" applyProtection="0"/>
    <xf numFmtId="44" fontId="18" fillId="0" borderId="0" applyFont="0" applyFill="0" applyBorder="0" applyAlignment="0" applyProtection="0"/>
    <xf numFmtId="0" fontId="11" fillId="0" borderId="0">
      <alignment horizontal="left"/>
    </xf>
    <xf numFmtId="0" fontId="11" fillId="0" borderId="0">
      <alignment horizontal="left"/>
    </xf>
  </cellStyleXfs>
  <cellXfs count="346">
    <xf numFmtId="0" fontId="0" fillId="0" borderId="0" xfId="0"/>
    <xf numFmtId="38" fontId="0" fillId="0" borderId="0" xfId="0" applyNumberFormat="1"/>
    <xf numFmtId="164" fontId="0" fillId="0" borderId="0" xfId="0" applyNumberFormat="1" applyAlignment="1">
      <alignment horizontal="left"/>
    </xf>
    <xf numFmtId="38" fontId="0" fillId="0" borderId="0" xfId="0" applyNumberFormat="1" applyAlignment="1">
      <alignment horizontal="left"/>
    </xf>
    <xf numFmtId="38" fontId="1" fillId="0" borderId="0" xfId="0" applyNumberFormat="1" applyFont="1"/>
    <xf numFmtId="0" fontId="7" fillId="0" borderId="0" xfId="0" applyFont="1" applyProtection="1">
      <protection hidden="1"/>
    </xf>
    <xf numFmtId="0" fontId="8" fillId="0" borderId="0" xfId="0" applyFont="1" applyProtection="1">
      <protection hidden="1"/>
    </xf>
    <xf numFmtId="0" fontId="7" fillId="0" borderId="0" xfId="0" quotePrefix="1" applyFont="1" applyAlignment="1" applyProtection="1">
      <alignment horizontal="left"/>
      <protection hidden="1"/>
    </xf>
    <xf numFmtId="0" fontId="9" fillId="0" borderId="0" xfId="0" applyFont="1" applyAlignment="1" applyProtection="1">
      <alignment horizontal="left"/>
      <protection hidden="1"/>
    </xf>
    <xf numFmtId="0" fontId="7" fillId="0" borderId="0" xfId="0" applyFont="1" applyAlignment="1" applyProtection="1">
      <alignment horizontal="left"/>
      <protection hidden="1"/>
    </xf>
    <xf numFmtId="0" fontId="10" fillId="2" borderId="0" xfId="0" applyFont="1" applyFill="1" applyAlignment="1" applyProtection="1">
      <alignment horizontal="left"/>
      <protection hidden="1"/>
    </xf>
    <xf numFmtId="38" fontId="1" fillId="4" borderId="0" xfId="0" applyNumberFormat="1" applyFont="1" applyFill="1"/>
    <xf numFmtId="38" fontId="1" fillId="5" borderId="0" xfId="0" applyNumberFormat="1" applyFont="1" applyFill="1"/>
    <xf numFmtId="38" fontId="0" fillId="0" borderId="10" xfId="0" applyNumberFormat="1" applyBorder="1"/>
    <xf numFmtId="38" fontId="1" fillId="0" borderId="9" xfId="0" applyNumberFormat="1" applyFont="1" applyBorder="1" applyAlignment="1">
      <alignment horizontal="center"/>
    </xf>
    <xf numFmtId="38" fontId="1" fillId="0" borderId="10" xfId="0" applyNumberFormat="1" applyFont="1" applyBorder="1" applyAlignment="1">
      <alignment horizontal="center"/>
    </xf>
    <xf numFmtId="38" fontId="1" fillId="4" borderId="1" xfId="0" applyNumberFormat="1" applyFont="1" applyFill="1" applyBorder="1"/>
    <xf numFmtId="38" fontId="1" fillId="4" borderId="11" xfId="0" applyNumberFormat="1" applyFont="1" applyFill="1" applyBorder="1"/>
    <xf numFmtId="0" fontId="0" fillId="0" borderId="9" xfId="0" applyBorder="1"/>
    <xf numFmtId="0" fontId="0" fillId="0" borderId="10" xfId="0" applyBorder="1"/>
    <xf numFmtId="38" fontId="1" fillId="5" borderId="1" xfId="0" applyNumberFormat="1" applyFont="1" applyFill="1" applyBorder="1"/>
    <xf numFmtId="38" fontId="1" fillId="5" borderId="11" xfId="0" applyNumberFormat="1" applyFont="1" applyFill="1" applyBorder="1"/>
    <xf numFmtId="38" fontId="1" fillId="0" borderId="9" xfId="0" applyNumberFormat="1" applyFont="1" applyBorder="1"/>
    <xf numFmtId="38" fontId="1" fillId="0" borderId="10" xfId="0" applyNumberFormat="1" applyFont="1" applyBorder="1"/>
    <xf numFmtId="38" fontId="1" fillId="0" borderId="1" xfId="0" applyNumberFormat="1" applyFont="1" applyBorder="1"/>
    <xf numFmtId="38" fontId="1" fillId="0" borderId="11" xfId="0" applyNumberFormat="1" applyFont="1" applyBorder="1"/>
    <xf numFmtId="1" fontId="2" fillId="0" borderId="2" xfId="2" applyNumberFormat="1" applyFont="1" applyBorder="1" applyProtection="1">
      <protection hidden="1"/>
    </xf>
    <xf numFmtId="1" fontId="2" fillId="0" borderId="1" xfId="3" applyNumberFormat="1" applyFont="1" applyBorder="1" applyProtection="1">
      <protection hidden="1"/>
    </xf>
    <xf numFmtId="1" fontId="2" fillId="3" borderId="1" xfId="3" applyNumberFormat="1" applyFont="1" applyFill="1" applyBorder="1" applyProtection="1">
      <protection hidden="1"/>
    </xf>
    <xf numFmtId="1" fontId="3" fillId="7" borderId="2" xfId="3" quotePrefix="1" applyNumberFormat="1" applyFont="1" applyFill="1" applyBorder="1" applyAlignment="1" applyProtection="1">
      <alignment horizontal="left"/>
      <protection hidden="1"/>
    </xf>
    <xf numFmtId="1" fontId="12" fillId="3" borderId="1" xfId="3" applyNumberFormat="1" applyFont="1" applyFill="1" applyBorder="1" applyProtection="1">
      <protection hidden="1"/>
    </xf>
    <xf numFmtId="1" fontId="13" fillId="3" borderId="2" xfId="3" quotePrefix="1" applyNumberFormat="1" applyFont="1" applyFill="1" applyBorder="1" applyAlignment="1" applyProtection="1">
      <alignment horizontal="left"/>
      <protection hidden="1"/>
    </xf>
    <xf numFmtId="0" fontId="6" fillId="0" borderId="4" xfId="1" applyFont="1" applyBorder="1" applyAlignment="1">
      <alignment vertical="center"/>
    </xf>
    <xf numFmtId="0" fontId="6" fillId="0" borderId="5" xfId="1" applyFont="1" applyBorder="1" applyAlignment="1">
      <alignment horizontal="left" vertical="center"/>
    </xf>
    <xf numFmtId="0" fontId="4" fillId="0" borderId="14" xfId="3" applyFont="1" applyBorder="1" applyProtection="1">
      <protection hidden="1"/>
    </xf>
    <xf numFmtId="0" fontId="4" fillId="0" borderId="3" xfId="3" applyFont="1" applyBorder="1" applyProtection="1">
      <protection hidden="1"/>
    </xf>
    <xf numFmtId="0" fontId="4" fillId="0" borderId="16" xfId="3" applyFont="1" applyBorder="1" applyProtection="1">
      <protection hidden="1"/>
    </xf>
    <xf numFmtId="0" fontId="4" fillId="0" borderId="6" xfId="3" applyFont="1" applyBorder="1" applyProtection="1">
      <protection hidden="1"/>
    </xf>
    <xf numFmtId="0" fontId="4" fillId="0" borderId="15" xfId="3" applyFont="1" applyBorder="1" applyProtection="1">
      <protection hidden="1"/>
    </xf>
    <xf numFmtId="0" fontId="4" fillId="0" borderId="3" xfId="0" applyFont="1" applyBorder="1" applyProtection="1">
      <protection hidden="1"/>
    </xf>
    <xf numFmtId="0" fontId="4" fillId="0" borderId="6" xfId="0" applyFont="1" applyBorder="1" applyProtection="1">
      <protection hidden="1"/>
    </xf>
    <xf numFmtId="0" fontId="4" fillId="0" borderId="14" xfId="0" applyFont="1" applyBorder="1" applyProtection="1">
      <protection hidden="1"/>
    </xf>
    <xf numFmtId="0" fontId="4" fillId="0" borderId="15" xfId="0" applyFont="1" applyBorder="1" applyProtection="1">
      <protection hidden="1"/>
    </xf>
    <xf numFmtId="0" fontId="0" fillId="0" borderId="14" xfId="0" applyBorder="1"/>
    <xf numFmtId="0" fontId="4" fillId="0" borderId="4" xfId="0" applyFont="1" applyBorder="1" applyProtection="1">
      <protection hidden="1"/>
    </xf>
    <xf numFmtId="0" fontId="17" fillId="8" borderId="6" xfId="0" applyFont="1" applyFill="1" applyBorder="1" applyProtection="1">
      <protection hidden="1"/>
    </xf>
    <xf numFmtId="0" fontId="0" fillId="0" borderId="4" xfId="0" applyBorder="1"/>
    <xf numFmtId="38" fontId="0" fillId="0" borderId="9" xfId="0" applyNumberFormat="1" applyBorder="1"/>
    <xf numFmtId="38" fontId="1" fillId="4" borderId="10" xfId="0" applyNumberFormat="1" applyFont="1" applyFill="1" applyBorder="1" applyAlignment="1">
      <alignment vertical="center"/>
    </xf>
    <xf numFmtId="38" fontId="0" fillId="0" borderId="10" xfId="0" applyNumberFormat="1" applyBorder="1" applyAlignment="1">
      <alignment horizontal="left" vertical="center"/>
    </xf>
    <xf numFmtId="38" fontId="0" fillId="0" borderId="10" xfId="0" applyNumberFormat="1" applyBorder="1" applyAlignment="1">
      <alignment vertical="center"/>
    </xf>
    <xf numFmtId="38" fontId="1" fillId="9" borderId="1" xfId="0" applyNumberFormat="1" applyFont="1" applyFill="1" applyBorder="1" applyAlignment="1">
      <alignment horizontal="right"/>
    </xf>
    <xf numFmtId="38" fontId="1" fillId="0" borderId="1" xfId="0" applyNumberFormat="1" applyFont="1" applyBorder="1" applyAlignment="1">
      <alignment horizontal="right"/>
    </xf>
    <xf numFmtId="38" fontId="1" fillId="9" borderId="11" xfId="0" applyNumberFormat="1" applyFont="1" applyFill="1" applyBorder="1" applyAlignment="1">
      <alignment horizontal="right"/>
    </xf>
    <xf numFmtId="38" fontId="1" fillId="0" borderId="11" xfId="0" applyNumberFormat="1" applyFont="1" applyBorder="1" applyAlignment="1">
      <alignment horizontal="right"/>
    </xf>
    <xf numFmtId="38" fontId="0" fillId="9" borderId="9" xfId="0" applyNumberFormat="1" applyFill="1" applyBorder="1" applyAlignment="1">
      <alignment horizontal="right"/>
    </xf>
    <xf numFmtId="38" fontId="0" fillId="9" borderId="10" xfId="0" applyNumberFormat="1" applyFill="1" applyBorder="1" applyAlignment="1">
      <alignment horizontal="right"/>
    </xf>
    <xf numFmtId="38" fontId="0" fillId="0" borderId="9" xfId="0" applyNumberFormat="1" applyBorder="1" applyAlignment="1">
      <alignment horizontal="right"/>
    </xf>
    <xf numFmtId="38" fontId="0" fillId="0" borderId="10" xfId="0" applyNumberFormat="1" applyBorder="1" applyAlignment="1">
      <alignment horizontal="right"/>
    </xf>
    <xf numFmtId="38" fontId="1" fillId="4" borderId="1" xfId="0" applyNumberFormat="1" applyFont="1" applyFill="1" applyBorder="1" applyAlignment="1">
      <alignment horizontal="right"/>
    </xf>
    <xf numFmtId="38" fontId="1" fillId="4" borderId="11" xfId="0" applyNumberFormat="1" applyFont="1" applyFill="1" applyBorder="1" applyAlignment="1">
      <alignment horizontal="right"/>
    </xf>
    <xf numFmtId="165" fontId="1" fillId="9" borderId="1" xfId="0" applyNumberFormat="1" applyFont="1" applyFill="1" applyBorder="1" applyAlignment="1">
      <alignment horizontal="right"/>
    </xf>
    <xf numFmtId="165" fontId="1" fillId="9" borderId="11" xfId="0" applyNumberFormat="1" applyFont="1" applyFill="1" applyBorder="1" applyAlignment="1">
      <alignment horizontal="right"/>
    </xf>
    <xf numFmtId="38" fontId="1" fillId="9" borderId="1" xfId="0" applyNumberFormat="1" applyFont="1" applyFill="1" applyBorder="1"/>
    <xf numFmtId="38" fontId="1" fillId="9" borderId="11" xfId="0" applyNumberFormat="1" applyFont="1" applyFill="1" applyBorder="1"/>
    <xf numFmtId="38" fontId="0" fillId="0" borderId="0" xfId="0" applyNumberFormat="1" applyAlignment="1">
      <alignment vertical="center"/>
    </xf>
    <xf numFmtId="38" fontId="0" fillId="0" borderId="17" xfId="0" applyNumberFormat="1" applyBorder="1" applyAlignment="1">
      <alignment horizontal="right"/>
    </xf>
    <xf numFmtId="38" fontId="0" fillId="0" borderId="19" xfId="0" applyNumberFormat="1" applyBorder="1" applyAlignment="1">
      <alignment horizontal="right"/>
    </xf>
    <xf numFmtId="165" fontId="0" fillId="9" borderId="9" xfId="0" applyNumberFormat="1" applyFill="1" applyBorder="1" applyAlignment="1">
      <alignment horizontal="right"/>
    </xf>
    <xf numFmtId="165" fontId="0" fillId="9" borderId="10" xfId="0" applyNumberFormat="1" applyFill="1" applyBorder="1" applyAlignment="1">
      <alignment horizontal="right"/>
    </xf>
    <xf numFmtId="38" fontId="0" fillId="0" borderId="0" xfId="0" applyNumberFormat="1" applyAlignment="1">
      <alignment horizontal="left" vertical="center"/>
    </xf>
    <xf numFmtId="0" fontId="0" fillId="10" borderId="0" xfId="0" applyFill="1"/>
    <xf numFmtId="38" fontId="0" fillId="10" borderId="0" xfId="0" applyNumberFormat="1" applyFill="1"/>
    <xf numFmtId="0" fontId="19" fillId="0" borderId="0" xfId="0" applyFont="1" applyAlignment="1">
      <alignment horizontal="left"/>
    </xf>
    <xf numFmtId="0" fontId="19" fillId="0" borderId="0" xfId="0" applyFont="1"/>
    <xf numFmtId="0" fontId="19" fillId="10" borderId="0" xfId="0" applyFont="1" applyFill="1"/>
    <xf numFmtId="164" fontId="1" fillId="10" borderId="20" xfId="0" applyNumberFormat="1" applyFont="1" applyFill="1" applyBorder="1" applyAlignment="1">
      <alignment horizontal="center"/>
    </xf>
    <xf numFmtId="164" fontId="1" fillId="0" borderId="20" xfId="0" applyNumberFormat="1" applyFont="1" applyBorder="1" applyAlignment="1">
      <alignment horizontal="center"/>
    </xf>
    <xf numFmtId="164" fontId="1" fillId="0" borderId="7" xfId="0" applyNumberFormat="1" applyFont="1" applyBorder="1" applyAlignment="1">
      <alignment horizontal="center"/>
    </xf>
    <xf numFmtId="164" fontId="1" fillId="0" borderId="8" xfId="0" applyNumberFormat="1" applyFont="1" applyBorder="1" applyAlignment="1">
      <alignment horizontal="center"/>
    </xf>
    <xf numFmtId="38" fontId="1" fillId="10" borderId="0" xfId="0" applyNumberFormat="1" applyFont="1" applyFill="1" applyAlignment="1">
      <alignment horizontal="center"/>
    </xf>
    <xf numFmtId="38" fontId="1" fillId="0" borderId="0" xfId="0" applyNumberFormat="1" applyFont="1" applyAlignment="1">
      <alignment horizontal="center"/>
    </xf>
    <xf numFmtId="38" fontId="1" fillId="10" borderId="18" xfId="0" applyNumberFormat="1" applyFont="1" applyFill="1" applyBorder="1"/>
    <xf numFmtId="38" fontId="1" fillId="4" borderId="18" xfId="0" applyNumberFormat="1" applyFont="1" applyFill="1" applyBorder="1"/>
    <xf numFmtId="9" fontId="1" fillId="10" borderId="18" xfId="29" applyFont="1" applyFill="1" applyBorder="1" applyProtection="1"/>
    <xf numFmtId="9" fontId="1" fillId="5" borderId="18" xfId="29" applyFont="1" applyFill="1" applyBorder="1" applyProtection="1"/>
    <xf numFmtId="9" fontId="1" fillId="5" borderId="1" xfId="29" applyFont="1" applyFill="1" applyBorder="1" applyProtection="1"/>
    <xf numFmtId="9" fontId="1" fillId="5" borderId="11" xfId="29" applyFont="1" applyFill="1" applyBorder="1" applyProtection="1"/>
    <xf numFmtId="0" fontId="7" fillId="0" borderId="0" xfId="0" applyFont="1"/>
    <xf numFmtId="9" fontId="0" fillId="10" borderId="0" xfId="29" applyFont="1" applyFill="1" applyBorder="1" applyProtection="1"/>
    <xf numFmtId="9" fontId="0" fillId="0" borderId="0" xfId="29" applyFont="1" applyBorder="1" applyProtection="1"/>
    <xf numFmtId="9" fontId="0" fillId="0" borderId="9" xfId="29" applyFont="1" applyBorder="1" applyProtection="1"/>
    <xf numFmtId="9" fontId="0" fillId="0" borderId="10" xfId="29" applyFont="1" applyBorder="1" applyProtection="1"/>
    <xf numFmtId="0" fontId="8" fillId="0" borderId="0" xfId="0" applyFont="1"/>
    <xf numFmtId="0" fontId="7" fillId="0" borderId="0" xfId="0" quotePrefix="1" applyFont="1" applyAlignment="1">
      <alignment horizontal="left"/>
    </xf>
    <xf numFmtId="9" fontId="1" fillId="4" borderId="18" xfId="29" applyFont="1" applyFill="1" applyBorder="1" applyProtection="1"/>
    <xf numFmtId="9" fontId="1" fillId="4" borderId="1" xfId="29" applyFont="1" applyFill="1" applyBorder="1" applyProtection="1"/>
    <xf numFmtId="9" fontId="1" fillId="4" borderId="11" xfId="29" applyFont="1" applyFill="1" applyBorder="1" applyProtection="1"/>
    <xf numFmtId="38" fontId="1" fillId="10" borderId="0" xfId="0" applyNumberFormat="1" applyFont="1" applyFill="1"/>
    <xf numFmtId="9" fontId="1" fillId="10" borderId="18" xfId="29" applyFont="1" applyFill="1" applyBorder="1" applyAlignment="1" applyProtection="1"/>
    <xf numFmtId="9" fontId="1" fillId="0" borderId="18" xfId="29" applyFont="1" applyFill="1" applyBorder="1" applyAlignment="1" applyProtection="1"/>
    <xf numFmtId="9" fontId="1" fillId="0" borderId="1" xfId="29" applyFont="1" applyFill="1" applyBorder="1" applyAlignment="1" applyProtection="1"/>
    <xf numFmtId="9" fontId="1" fillId="0" borderId="11" xfId="29" applyFont="1" applyFill="1" applyBorder="1" applyAlignment="1" applyProtection="1"/>
    <xf numFmtId="0" fontId="9" fillId="0" borderId="0" xfId="0" applyFont="1" applyAlignment="1">
      <alignment horizontal="left"/>
    </xf>
    <xf numFmtId="9" fontId="1" fillId="10" borderId="0" xfId="29" applyFont="1" applyFill="1" applyBorder="1" applyProtection="1"/>
    <xf numFmtId="9" fontId="1" fillId="4" borderId="0" xfId="29" applyFont="1" applyFill="1" applyBorder="1" applyProtection="1"/>
    <xf numFmtId="9" fontId="1" fillId="4" borderId="18" xfId="29" applyFont="1" applyFill="1" applyBorder="1" applyAlignment="1" applyProtection="1"/>
    <xf numFmtId="9" fontId="1" fillId="4" borderId="9" xfId="29" applyFont="1" applyFill="1" applyBorder="1" applyProtection="1"/>
    <xf numFmtId="9" fontId="1" fillId="4" borderId="11" xfId="29" applyFont="1" applyFill="1" applyBorder="1" applyAlignment="1" applyProtection="1"/>
    <xf numFmtId="38" fontId="1" fillId="0" borderId="18" xfId="0" applyNumberFormat="1" applyFont="1" applyBorder="1"/>
    <xf numFmtId="9" fontId="1" fillId="5" borderId="18" xfId="29" applyFont="1" applyFill="1" applyBorder="1" applyAlignment="1" applyProtection="1"/>
    <xf numFmtId="0" fontId="7" fillId="0" borderId="0" xfId="0" applyFont="1" applyAlignment="1">
      <alignment horizontal="left"/>
    </xf>
    <xf numFmtId="0" fontId="10" fillId="2" borderId="0" xfId="0" applyFont="1" applyFill="1" applyAlignment="1">
      <alignment horizontal="left"/>
    </xf>
    <xf numFmtId="38" fontId="1" fillId="5" borderId="18" xfId="0" applyNumberFormat="1" applyFont="1" applyFill="1" applyBorder="1"/>
    <xf numFmtId="0" fontId="0" fillId="9" borderId="0" xfId="0" applyFill="1"/>
    <xf numFmtId="38" fontId="0" fillId="9" borderId="0" xfId="0" applyNumberFormat="1" applyFill="1"/>
    <xf numFmtId="3" fontId="0" fillId="9" borderId="0" xfId="0" applyNumberFormat="1" applyFill="1"/>
    <xf numFmtId="3" fontId="0" fillId="0" borderId="0" xfId="0" applyNumberFormat="1"/>
    <xf numFmtId="38" fontId="0" fillId="0" borderId="19" xfId="0" applyNumberFormat="1" applyBorder="1"/>
    <xf numFmtId="38" fontId="0" fillId="0" borderId="17" xfId="0" applyNumberFormat="1" applyBorder="1"/>
    <xf numFmtId="38" fontId="0" fillId="0" borderId="1" xfId="0" applyNumberFormat="1" applyBorder="1"/>
    <xf numFmtId="38" fontId="0" fillId="0" borderId="11" xfId="0" applyNumberFormat="1" applyBorder="1"/>
    <xf numFmtId="38" fontId="1" fillId="0" borderId="10" xfId="0" applyNumberFormat="1" applyFont="1" applyBorder="1" applyAlignment="1">
      <alignment vertical="center"/>
    </xf>
    <xf numFmtId="0" fontId="1" fillId="0" borderId="0" xfId="0" applyFont="1"/>
    <xf numFmtId="38" fontId="0" fillId="0" borderId="2" xfId="0" applyNumberFormat="1" applyBorder="1" applyProtection="1">
      <protection locked="0"/>
    </xf>
    <xf numFmtId="38" fontId="19" fillId="0" borderId="0" xfId="0" applyNumberFormat="1" applyFont="1" applyAlignment="1">
      <alignment horizontal="left"/>
    </xf>
    <xf numFmtId="166" fontId="19" fillId="0" borderId="0" xfId="0" applyNumberFormat="1" applyFont="1"/>
    <xf numFmtId="38" fontId="0" fillId="0" borderId="0" xfId="0" applyNumberFormat="1" applyProtection="1">
      <protection locked="0"/>
    </xf>
    <xf numFmtId="0" fontId="0" fillId="0" borderId="11" xfId="0" applyBorder="1"/>
    <xf numFmtId="38" fontId="0" fillId="0" borderId="7" xfId="0" applyNumberFormat="1" applyBorder="1"/>
    <xf numFmtId="38" fontId="0" fillId="0" borderId="8" xfId="0" applyNumberFormat="1" applyBorder="1"/>
    <xf numFmtId="38" fontId="0" fillId="0" borderId="9" xfId="0" quotePrefix="1" applyNumberFormat="1" applyBorder="1"/>
    <xf numFmtId="38" fontId="1" fillId="0" borderId="7" xfId="0" applyNumberFormat="1" applyFont="1" applyBorder="1"/>
    <xf numFmtId="38" fontId="1" fillId="0" borderId="8" xfId="0" applyNumberFormat="1" applyFont="1" applyBorder="1"/>
    <xf numFmtId="0" fontId="22" fillId="0" borderId="0" xfId="31" applyFont="1"/>
    <xf numFmtId="0" fontId="23" fillId="12" borderId="21" xfId="31" applyFont="1" applyFill="1" applyBorder="1" applyAlignment="1">
      <alignment horizontal="center" vertical="top" wrapText="1" readingOrder="1"/>
    </xf>
    <xf numFmtId="0" fontId="24" fillId="0" borderId="21" xfId="31" applyFont="1" applyBorder="1" applyAlignment="1">
      <alignment horizontal="center" vertical="top" wrapText="1" readingOrder="1"/>
    </xf>
    <xf numFmtId="167" fontId="25" fillId="0" borderId="21" xfId="31" applyNumberFormat="1" applyFont="1" applyBorder="1" applyAlignment="1">
      <alignment horizontal="center" vertical="top" wrapText="1" readingOrder="1"/>
    </xf>
    <xf numFmtId="0" fontId="24" fillId="0" borderId="0" xfId="31" applyFont="1" applyAlignment="1">
      <alignment horizontal="center" vertical="top" wrapText="1" readingOrder="1"/>
    </xf>
    <xf numFmtId="167" fontId="26" fillId="13" borderId="21" xfId="31" applyNumberFormat="1" applyFont="1" applyFill="1" applyBorder="1" applyAlignment="1">
      <alignment horizontal="center" vertical="top" wrapText="1" readingOrder="1"/>
    </xf>
    <xf numFmtId="43" fontId="22" fillId="0" borderId="0" xfId="30" applyFont="1" applyFill="1" applyBorder="1"/>
    <xf numFmtId="43" fontId="22" fillId="0" borderId="0" xfId="31" applyNumberFormat="1" applyFont="1"/>
    <xf numFmtId="10" fontId="22" fillId="0" borderId="0" xfId="29" applyNumberFormat="1" applyFont="1" applyFill="1" applyBorder="1"/>
    <xf numFmtId="0" fontId="27" fillId="0" borderId="0" xfId="31" applyFont="1"/>
    <xf numFmtId="43" fontId="0" fillId="0" borderId="0" xfId="30" applyFont="1"/>
    <xf numFmtId="9" fontId="0" fillId="0" borderId="0" xfId="29" applyFont="1"/>
    <xf numFmtId="168" fontId="0" fillId="0" borderId="0" xfId="0" applyNumberFormat="1"/>
    <xf numFmtId="168" fontId="0" fillId="0" borderId="0" xfId="30" applyNumberFormat="1" applyFont="1"/>
    <xf numFmtId="0" fontId="28" fillId="12" borderId="21" xfId="31" applyFont="1" applyFill="1" applyBorder="1" applyAlignment="1">
      <alignment horizontal="center" vertical="top" wrapText="1" readingOrder="1"/>
    </xf>
    <xf numFmtId="168" fontId="22" fillId="0" borderId="0" xfId="32" applyNumberFormat="1" applyFont="1" applyFill="1" applyBorder="1"/>
    <xf numFmtId="43" fontId="22" fillId="0" borderId="0" xfId="32" applyFont="1" applyFill="1" applyBorder="1"/>
    <xf numFmtId="43" fontId="0" fillId="0" borderId="0" xfId="0" applyNumberFormat="1"/>
    <xf numFmtId="0" fontId="0" fillId="0" borderId="0" xfId="0" applyAlignment="1">
      <alignment horizontal="right"/>
    </xf>
    <xf numFmtId="38" fontId="1" fillId="0" borderId="0" xfId="0" applyNumberFormat="1" applyFont="1" applyAlignment="1">
      <alignment horizontal="left"/>
    </xf>
    <xf numFmtId="38" fontId="1" fillId="0" borderId="10" xfId="0" applyNumberFormat="1" applyFont="1" applyBorder="1" applyAlignment="1">
      <alignment horizontal="left"/>
    </xf>
    <xf numFmtId="0" fontId="1" fillId="0" borderId="0" xfId="0" applyFont="1" applyAlignment="1">
      <alignment horizontal="left"/>
    </xf>
    <xf numFmtId="10" fontId="0" fillId="0" borderId="0" xfId="29" applyNumberFormat="1" applyFont="1"/>
    <xf numFmtId="38" fontId="0" fillId="15" borderId="0" xfId="0" applyNumberFormat="1" applyFill="1"/>
    <xf numFmtId="43" fontId="22" fillId="15" borderId="0" xfId="32" applyFont="1" applyFill="1" applyBorder="1"/>
    <xf numFmtId="0" fontId="0" fillId="15" borderId="0" xfId="0" applyFill="1"/>
    <xf numFmtId="38" fontId="1" fillId="15" borderId="0" xfId="0" applyNumberFormat="1" applyFont="1" applyFill="1" applyAlignment="1">
      <alignment horizontal="center"/>
    </xf>
    <xf numFmtId="38" fontId="1" fillId="0" borderId="0" xfId="0" applyNumberFormat="1" applyFont="1" applyAlignment="1">
      <alignment vertical="center"/>
    </xf>
    <xf numFmtId="38" fontId="1" fillId="15" borderId="0" xfId="0" applyNumberFormat="1" applyFont="1" applyFill="1"/>
    <xf numFmtId="168" fontId="0" fillId="0" borderId="0" xfId="30" applyNumberFormat="1" applyFont="1" applyBorder="1"/>
    <xf numFmtId="168" fontId="0" fillId="15" borderId="0" xfId="30" applyNumberFormat="1" applyFont="1" applyFill="1" applyBorder="1"/>
    <xf numFmtId="9" fontId="0" fillId="0" borderId="0" xfId="29" applyFont="1" applyBorder="1"/>
    <xf numFmtId="168" fontId="0" fillId="15" borderId="0" xfId="0" applyNumberFormat="1" applyFill="1"/>
    <xf numFmtId="10" fontId="0" fillId="0" borderId="0" xfId="29" applyNumberFormat="1" applyFont="1" applyBorder="1"/>
    <xf numFmtId="10" fontId="0" fillId="15" borderId="0" xfId="29" applyNumberFormat="1" applyFont="1" applyFill="1" applyBorder="1"/>
    <xf numFmtId="0" fontId="0" fillId="15" borderId="0" xfId="0" applyFill="1" applyAlignment="1">
      <alignment horizontal="right"/>
    </xf>
    <xf numFmtId="38" fontId="1" fillId="0" borderId="24" xfId="0" applyNumberFormat="1" applyFont="1" applyBorder="1" applyAlignment="1">
      <alignment horizontal="center"/>
    </xf>
    <xf numFmtId="38" fontId="1" fillId="15" borderId="24" xfId="0" applyNumberFormat="1" applyFont="1" applyFill="1" applyBorder="1" applyAlignment="1">
      <alignment horizontal="center"/>
    </xf>
    <xf numFmtId="168" fontId="0" fillId="0" borderId="0" xfId="30" applyNumberFormat="1" applyFont="1" applyFill="1" applyBorder="1"/>
    <xf numFmtId="43" fontId="0" fillId="0" borderId="0" xfId="30" applyFont="1" applyBorder="1"/>
    <xf numFmtId="0" fontId="0" fillId="0" borderId="0" xfId="0" applyAlignment="1">
      <alignment wrapText="1"/>
    </xf>
    <xf numFmtId="0" fontId="19" fillId="14" borderId="0" xfId="33" applyBorder="1"/>
    <xf numFmtId="38" fontId="19" fillId="14" borderId="0" xfId="33" applyNumberFormat="1" applyBorder="1"/>
    <xf numFmtId="0" fontId="19" fillId="14" borderId="0" xfId="33" applyBorder="1" applyAlignment="1"/>
    <xf numFmtId="38" fontId="19" fillId="14" borderId="24" xfId="33" applyNumberFormat="1" applyBorder="1" applyAlignment="1">
      <alignment horizontal="center"/>
    </xf>
    <xf numFmtId="38" fontId="1" fillId="0" borderId="0" xfId="0" applyNumberFormat="1" applyFont="1" applyAlignment="1">
      <alignment horizontal="left" wrapText="1"/>
    </xf>
    <xf numFmtId="0" fontId="19" fillId="14" borderId="0" xfId="33" applyBorder="1" applyAlignment="1">
      <alignment wrapText="1"/>
    </xf>
    <xf numFmtId="168" fontId="0" fillId="0" borderId="0" xfId="0" applyNumberFormat="1" applyAlignment="1">
      <alignment wrapText="1"/>
    </xf>
    <xf numFmtId="38" fontId="19" fillId="0" borderId="0" xfId="33" applyNumberFormat="1" applyFill="1" applyBorder="1" applyAlignment="1">
      <alignment horizontal="center"/>
    </xf>
    <xf numFmtId="10" fontId="0" fillId="0" borderId="0" xfId="29" applyNumberFormat="1" applyFont="1" applyFill="1" applyBorder="1"/>
    <xf numFmtId="38" fontId="19" fillId="0" borderId="0" xfId="33" applyNumberFormat="1" applyFill="1" applyBorder="1"/>
    <xf numFmtId="0" fontId="19" fillId="0" borderId="0" xfId="33" applyFill="1" applyBorder="1" applyAlignment="1"/>
    <xf numFmtId="0" fontId="19" fillId="0" borderId="0" xfId="33" applyFill="1" applyBorder="1" applyAlignment="1">
      <alignment wrapText="1"/>
    </xf>
    <xf numFmtId="38" fontId="19" fillId="0" borderId="0" xfId="33" applyNumberFormat="1" applyFill="1" applyBorder="1" applyAlignment="1">
      <alignment horizontal="center" wrapText="1"/>
    </xf>
    <xf numFmtId="10" fontId="1" fillId="0" borderId="0" xfId="29" applyNumberFormat="1" applyFont="1" applyBorder="1"/>
    <xf numFmtId="0" fontId="31" fillId="0" borderId="0" xfId="0" applyFont="1" applyAlignment="1">
      <alignment horizontal="center"/>
    </xf>
    <xf numFmtId="0" fontId="32" fillId="0" borderId="0" xfId="0" applyFont="1" applyAlignment="1">
      <alignment horizontal="center"/>
    </xf>
    <xf numFmtId="169" fontId="0" fillId="0" borderId="0" xfId="35" applyNumberFormat="1" applyFont="1" applyFill="1"/>
    <xf numFmtId="168" fontId="0" fillId="0" borderId="25" xfId="30" applyNumberFormat="1" applyFont="1" applyBorder="1"/>
    <xf numFmtId="0" fontId="1" fillId="18" borderId="25" xfId="0" applyFont="1" applyFill="1" applyBorder="1" applyAlignment="1">
      <alignment horizontal="left" wrapText="1"/>
    </xf>
    <xf numFmtId="0" fontId="1" fillId="18" borderId="25" xfId="0" applyFont="1" applyFill="1" applyBorder="1" applyAlignment="1">
      <alignment horizontal="left"/>
    </xf>
    <xf numFmtId="168" fontId="0" fillId="18" borderId="25" xfId="30" applyNumberFormat="1" applyFont="1" applyFill="1" applyBorder="1"/>
    <xf numFmtId="168" fontId="0" fillId="18" borderId="25" xfId="0" applyNumberFormat="1" applyFill="1" applyBorder="1"/>
    <xf numFmtId="0" fontId="0" fillId="0" borderId="0" xfId="0" applyAlignment="1">
      <alignment horizontal="left" wrapText="1" indent="1"/>
    </xf>
    <xf numFmtId="38" fontId="0" fillId="0" borderId="25" xfId="0" applyNumberFormat="1" applyBorder="1"/>
    <xf numFmtId="38" fontId="30" fillId="19" borderId="24" xfId="33" applyNumberFormat="1" applyFont="1" applyFill="1" applyBorder="1" applyAlignment="1">
      <alignment horizontal="center" wrapText="1"/>
    </xf>
    <xf numFmtId="0" fontId="0" fillId="0" borderId="3" xfId="0" applyBorder="1"/>
    <xf numFmtId="0" fontId="0" fillId="0" borderId="30" xfId="0" applyBorder="1"/>
    <xf numFmtId="169" fontId="0" fillId="0" borderId="3" xfId="35" applyNumberFormat="1" applyFont="1" applyBorder="1"/>
    <xf numFmtId="168" fontId="0" fillId="0" borderId="3" xfId="30" applyNumberFormat="1" applyFont="1" applyBorder="1"/>
    <xf numFmtId="168" fontId="0" fillId="0" borderId="14" xfId="30" applyNumberFormat="1" applyFont="1" applyBorder="1"/>
    <xf numFmtId="38" fontId="0" fillId="0" borderId="3" xfId="0" applyNumberFormat="1" applyBorder="1"/>
    <xf numFmtId="38" fontId="0" fillId="0" borderId="14" xfId="0" applyNumberFormat="1" applyBorder="1"/>
    <xf numFmtId="169" fontId="1" fillId="0" borderId="31" xfId="35" applyNumberFormat="1" applyFont="1" applyBorder="1"/>
    <xf numFmtId="10" fontId="18" fillId="0" borderId="0" xfId="29" applyNumberFormat="1" applyFont="1" applyBorder="1"/>
    <xf numFmtId="168" fontId="0" fillId="0" borderId="0" xfId="30" applyNumberFormat="1" applyFont="1" applyFill="1"/>
    <xf numFmtId="168" fontId="0" fillId="17" borderId="0" xfId="30" applyNumberFormat="1" applyFont="1" applyFill="1" applyBorder="1"/>
    <xf numFmtId="0" fontId="0" fillId="0" borderId="0" xfId="0" applyAlignment="1">
      <alignment horizontal="left" indent="1"/>
    </xf>
    <xf numFmtId="0" fontId="31" fillId="0" borderId="0" xfId="0" applyFont="1"/>
    <xf numFmtId="169" fontId="1" fillId="0" borderId="33" xfId="35" applyNumberFormat="1" applyFont="1" applyBorder="1"/>
    <xf numFmtId="38" fontId="1" fillId="0" borderId="33" xfId="0" applyNumberFormat="1" applyFont="1" applyBorder="1"/>
    <xf numFmtId="169" fontId="0" fillId="0" borderId="0" xfId="35" applyNumberFormat="1" applyFont="1" applyFill="1" applyBorder="1"/>
    <xf numFmtId="0" fontId="32" fillId="0" borderId="0" xfId="0" applyFont="1" applyAlignment="1">
      <alignment horizontal="right"/>
    </xf>
    <xf numFmtId="0" fontId="0" fillId="0" borderId="0" xfId="0" applyAlignment="1">
      <alignment horizontal="left" vertical="top" wrapText="1"/>
    </xf>
    <xf numFmtId="0" fontId="0" fillId="0" borderId="0" xfId="0" applyAlignment="1">
      <alignment horizontal="left" wrapText="1"/>
    </xf>
    <xf numFmtId="38" fontId="30" fillId="19" borderId="27" xfId="33" applyNumberFormat="1" applyFont="1" applyFill="1" applyBorder="1" applyAlignment="1">
      <alignment horizontal="center"/>
    </xf>
    <xf numFmtId="38" fontId="30" fillId="19" borderId="29" xfId="33" applyNumberFormat="1" applyFont="1" applyFill="1" applyBorder="1" applyAlignment="1">
      <alignment horizontal="center"/>
    </xf>
    <xf numFmtId="0" fontId="1" fillId="18" borderId="25" xfId="0" applyFont="1" applyFill="1" applyBorder="1" applyAlignment="1">
      <alignment horizontal="center" wrapText="1"/>
    </xf>
    <xf numFmtId="0" fontId="1" fillId="0" borderId="0" xfId="0" applyFont="1" applyAlignment="1">
      <alignment horizontal="center"/>
    </xf>
    <xf numFmtId="0" fontId="31" fillId="0" borderId="18" xfId="0" applyFont="1" applyBorder="1" applyAlignment="1">
      <alignment horizontal="center"/>
    </xf>
    <xf numFmtId="0" fontId="31" fillId="0" borderId="11" xfId="0" applyFont="1" applyBorder="1" applyAlignment="1">
      <alignment horizontal="center"/>
    </xf>
    <xf numFmtId="0" fontId="34" fillId="0" borderId="0" xfId="0" applyFont="1"/>
    <xf numFmtId="0" fontId="0" fillId="20" borderId="0" xfId="0" applyFill="1" applyAlignment="1">
      <alignment horizontal="left" vertical="top" wrapText="1"/>
    </xf>
    <xf numFmtId="168" fontId="18" fillId="0" borderId="0" xfId="30" applyNumberFormat="1" applyFont="1" applyBorder="1"/>
    <xf numFmtId="168" fontId="0" fillId="0" borderId="25" xfId="30" applyNumberFormat="1" applyFont="1" applyFill="1" applyBorder="1"/>
    <xf numFmtId="168" fontId="22" fillId="18" borderId="25" xfId="30" applyNumberFormat="1" applyFont="1" applyFill="1" applyBorder="1"/>
    <xf numFmtId="168" fontId="0" fillId="17" borderId="0" xfId="30" applyNumberFormat="1" applyFont="1" applyFill="1"/>
    <xf numFmtId="0" fontId="35" fillId="0" borderId="0" xfId="0" applyFont="1"/>
    <xf numFmtId="168" fontId="35" fillId="0" borderId="0" xfId="30" applyNumberFormat="1" applyFont="1"/>
    <xf numFmtId="38" fontId="35" fillId="0" borderId="0" xfId="0" applyNumberFormat="1" applyFont="1"/>
    <xf numFmtId="9" fontId="7" fillId="21" borderId="26" xfId="34" applyNumberFormat="1" applyFont="1" applyFill="1"/>
    <xf numFmtId="9" fontId="0" fillId="21" borderId="0" xfId="29" applyFont="1" applyFill="1" applyBorder="1" applyAlignment="1">
      <alignment horizontal="center" vertical="center" wrapText="1"/>
    </xf>
    <xf numFmtId="0" fontId="31" fillId="0" borderId="0" xfId="0" applyFont="1" applyAlignment="1">
      <alignment horizontal="right" indent="2"/>
    </xf>
    <xf numFmtId="38" fontId="31" fillId="0" borderId="0" xfId="0" applyNumberFormat="1" applyFont="1"/>
    <xf numFmtId="9" fontId="0" fillId="0" borderId="0" xfId="29" applyFont="1" applyFill="1" applyBorder="1"/>
    <xf numFmtId="0" fontId="0" fillId="17" borderId="0" xfId="0" applyFill="1" applyAlignment="1">
      <alignment horizontal="left" wrapText="1"/>
    </xf>
    <xf numFmtId="0" fontId="0" fillId="17" borderId="0" xfId="0" applyFill="1"/>
    <xf numFmtId="9" fontId="7" fillId="23" borderId="26" xfId="34" applyNumberFormat="1" applyFont="1" applyFill="1"/>
    <xf numFmtId="10" fontId="7" fillId="23" borderId="26" xfId="34" applyNumberFormat="1" applyFont="1" applyFill="1"/>
    <xf numFmtId="9" fontId="7" fillId="24" borderId="26" xfId="34" applyNumberFormat="1" applyFont="1" applyFill="1"/>
    <xf numFmtId="10" fontId="7" fillId="24" borderId="26" xfId="34" applyNumberFormat="1" applyFont="1" applyFill="1"/>
    <xf numFmtId="9" fontId="7" fillId="4" borderId="26" xfId="34" applyNumberFormat="1" applyFont="1" applyFill="1"/>
    <xf numFmtId="10" fontId="7" fillId="4" borderId="26" xfId="34" applyNumberFormat="1" applyFont="1" applyFill="1"/>
    <xf numFmtId="0" fontId="0" fillId="0" borderId="18" xfId="0" applyBorder="1"/>
    <xf numFmtId="38" fontId="0" fillId="0" borderId="18" xfId="0" applyNumberFormat="1" applyBorder="1"/>
    <xf numFmtId="38" fontId="0" fillId="17" borderId="33" xfId="0" applyNumberFormat="1" applyFill="1" applyBorder="1"/>
    <xf numFmtId="43" fontId="34" fillId="0" borderId="0" xfId="0" applyNumberFormat="1" applyFont="1"/>
    <xf numFmtId="9" fontId="0" fillId="0" borderId="0" xfId="29" applyFont="1" applyBorder="1" applyAlignment="1">
      <alignment horizontal="left"/>
    </xf>
    <xf numFmtId="169" fontId="1" fillId="0" borderId="0" xfId="35" applyNumberFormat="1" applyFont="1" applyBorder="1"/>
    <xf numFmtId="9" fontId="31" fillId="0" borderId="0" xfId="29" applyFont="1" applyBorder="1" applyAlignment="1">
      <alignment horizontal="center"/>
    </xf>
    <xf numFmtId="38" fontId="0" fillId="0" borderId="0" xfId="0" applyNumberFormat="1" applyAlignment="1">
      <alignment horizontal="center"/>
    </xf>
    <xf numFmtId="0" fontId="31" fillId="0" borderId="30" xfId="0" applyFont="1" applyBorder="1" applyAlignment="1">
      <alignment horizontal="center"/>
    </xf>
    <xf numFmtId="9" fontId="31" fillId="0" borderId="32" xfId="29" applyFont="1" applyBorder="1" applyAlignment="1">
      <alignment horizontal="center"/>
    </xf>
    <xf numFmtId="9" fontId="0" fillId="0" borderId="30" xfId="29" applyFont="1" applyBorder="1" applyAlignment="1">
      <alignment horizontal="center"/>
    </xf>
    <xf numFmtId="0" fontId="35" fillId="0" borderId="1" xfId="0" applyFont="1" applyBorder="1" applyAlignment="1">
      <alignment wrapText="1"/>
    </xf>
    <xf numFmtId="0" fontId="36" fillId="0" borderId="0" xfId="0" applyFont="1"/>
    <xf numFmtId="168" fontId="0" fillId="0" borderId="20" xfId="30" applyNumberFormat="1" applyFont="1" applyBorder="1"/>
    <xf numFmtId="9" fontId="35" fillId="0" borderId="0" xfId="29" applyFont="1" applyBorder="1" applyAlignment="1">
      <alignment horizontal="left"/>
    </xf>
    <xf numFmtId="41" fontId="34" fillId="0" borderId="0" xfId="0" applyNumberFormat="1" applyFont="1"/>
    <xf numFmtId="41" fontId="34" fillId="0" borderId="0" xfId="30" applyNumberFormat="1" applyFont="1" applyFill="1" applyAlignment="1">
      <alignment horizontal="center"/>
    </xf>
    <xf numFmtId="38" fontId="18" fillId="0" borderId="0" xfId="30" applyNumberFormat="1" applyFont="1" applyFill="1" applyBorder="1"/>
    <xf numFmtId="38" fontId="18" fillId="0" borderId="25" xfId="30" applyNumberFormat="1" applyFont="1" applyFill="1" applyBorder="1"/>
    <xf numFmtId="168" fontId="1" fillId="0" borderId="0" xfId="30" applyNumberFormat="1" applyFont="1" applyBorder="1"/>
    <xf numFmtId="43" fontId="1" fillId="0" borderId="0" xfId="30" applyFont="1" applyAlignment="1">
      <alignment horizontal="center"/>
    </xf>
    <xf numFmtId="0" fontId="36" fillId="0" borderId="0" xfId="0" applyFont="1" applyAlignment="1">
      <alignment horizontal="center"/>
    </xf>
    <xf numFmtId="168" fontId="18" fillId="0" borderId="0" xfId="30" applyNumberFormat="1" applyFont="1"/>
    <xf numFmtId="41" fontId="37" fillId="0" borderId="0" xfId="0" applyNumberFormat="1" applyFont="1"/>
    <xf numFmtId="38" fontId="30" fillId="14" borderId="24" xfId="33" applyNumberFormat="1" applyFont="1" applyBorder="1" applyAlignment="1">
      <alignment horizontal="center"/>
    </xf>
    <xf numFmtId="38" fontId="0" fillId="0" borderId="34" xfId="0" applyNumberFormat="1" applyBorder="1"/>
    <xf numFmtId="0" fontId="1" fillId="0" borderId="0" xfId="0" applyFont="1" applyAlignment="1">
      <alignment wrapText="1"/>
    </xf>
    <xf numFmtId="0" fontId="1" fillId="0" borderId="0" xfId="0" applyFont="1" applyAlignment="1">
      <alignment horizontal="left" wrapText="1"/>
    </xf>
    <xf numFmtId="0" fontId="1" fillId="0" borderId="0" xfId="0" applyFont="1" applyAlignment="1">
      <alignment horizontal="left" indent="1"/>
    </xf>
    <xf numFmtId="0" fontId="1" fillId="0" borderId="0" xfId="0" applyFont="1" applyAlignment="1">
      <alignment horizontal="left" wrapText="1" indent="1"/>
    </xf>
    <xf numFmtId="0" fontId="36" fillId="0" borderId="0" xfId="0" applyFont="1" applyAlignment="1">
      <alignment horizontal="left" wrapText="1"/>
    </xf>
    <xf numFmtId="0" fontId="34" fillId="22" borderId="25" xfId="0" applyFont="1" applyFill="1" applyBorder="1" applyAlignment="1">
      <alignment horizontal="center"/>
    </xf>
    <xf numFmtId="0" fontId="29" fillId="16" borderId="26" xfId="34"/>
    <xf numFmtId="168" fontId="38" fillId="0" borderId="0" xfId="10" applyNumberFormat="1" applyFont="1" applyFill="1" applyAlignment="1">
      <alignment wrapText="1"/>
    </xf>
    <xf numFmtId="0" fontId="29" fillId="16" borderId="26" xfId="34" applyAlignment="1">
      <alignment horizontal="center" vertical="center"/>
    </xf>
    <xf numFmtId="0" fontId="40" fillId="15" borderId="0" xfId="0" applyFont="1" applyFill="1" applyAlignment="1">
      <alignment horizontal="center" vertical="center"/>
    </xf>
    <xf numFmtId="0" fontId="0" fillId="15" borderId="0" xfId="0" applyFill="1" applyAlignment="1">
      <alignment horizontal="center" vertical="center"/>
    </xf>
    <xf numFmtId="168" fontId="38" fillId="0" borderId="0" xfId="10" applyNumberFormat="1" applyFont="1" applyFill="1" applyAlignment="1">
      <alignment horizontal="left" vertical="center" wrapText="1"/>
    </xf>
    <xf numFmtId="0" fontId="44" fillId="0" borderId="0" xfId="0" applyFont="1" applyAlignment="1">
      <alignment wrapText="1"/>
    </xf>
    <xf numFmtId="0" fontId="1" fillId="0" borderId="0" xfId="0" applyFont="1" applyAlignment="1">
      <alignment horizontal="center" vertical="center"/>
    </xf>
    <xf numFmtId="168" fontId="38" fillId="15" borderId="0" xfId="10" applyNumberFormat="1" applyFont="1" applyFill="1" applyAlignment="1">
      <alignment wrapText="1"/>
    </xf>
    <xf numFmtId="168" fontId="0" fillId="15" borderId="0" xfId="30" applyNumberFormat="1" applyFont="1" applyFill="1"/>
    <xf numFmtId="0" fontId="36" fillId="0" borderId="0" xfId="0" applyFont="1" applyAlignment="1">
      <alignment horizontal="right" wrapText="1"/>
    </xf>
    <xf numFmtId="38" fontId="34" fillId="0" borderId="0" xfId="0" applyNumberFormat="1" applyFont="1" applyAlignment="1">
      <alignment horizontal="center"/>
    </xf>
    <xf numFmtId="0" fontId="0" fillId="0" borderId="24" xfId="0" applyBorder="1"/>
    <xf numFmtId="0" fontId="11" fillId="0" borderId="0" xfId="36" quotePrefix="1">
      <alignment horizontal="left"/>
    </xf>
    <xf numFmtId="0" fontId="11" fillId="0" borderId="0" xfId="37" quotePrefix="1">
      <alignment horizontal="left"/>
    </xf>
    <xf numFmtId="10" fontId="18" fillId="0" borderId="0" xfId="29" applyNumberFormat="1" applyFont="1" applyFill="1" applyBorder="1"/>
    <xf numFmtId="168" fontId="18" fillId="0" borderId="0" xfId="30" applyNumberFormat="1" applyFont="1" applyFill="1" applyBorder="1"/>
    <xf numFmtId="0" fontId="0" fillId="0" borderId="0" xfId="29" applyNumberFormat="1" applyFont="1" applyFill="1" applyBorder="1"/>
    <xf numFmtId="43" fontId="0" fillId="0" borderId="25" xfId="30" applyFont="1" applyBorder="1"/>
    <xf numFmtId="38" fontId="0" fillId="0" borderId="0" xfId="0" quotePrefix="1" applyNumberFormat="1"/>
    <xf numFmtId="168" fontId="45" fillId="0" borderId="0" xfId="0" applyNumberFormat="1" applyFont="1"/>
    <xf numFmtId="0" fontId="0" fillId="25" borderId="28" xfId="0" applyFill="1" applyBorder="1"/>
    <xf numFmtId="0" fontId="0" fillId="25" borderId="3" xfId="0" applyFill="1" applyBorder="1"/>
    <xf numFmtId="0" fontId="0" fillId="25" borderId="30" xfId="0" applyFill="1" applyBorder="1"/>
    <xf numFmtId="0" fontId="0" fillId="25" borderId="31" xfId="0" applyFill="1" applyBorder="1"/>
    <xf numFmtId="0" fontId="0" fillId="25" borderId="24" xfId="0" applyFill="1" applyBorder="1"/>
    <xf numFmtId="0" fontId="0" fillId="25" borderId="32" xfId="0" applyFill="1" applyBorder="1"/>
    <xf numFmtId="0" fontId="0" fillId="25" borderId="29" xfId="0" applyFill="1" applyBorder="1"/>
    <xf numFmtId="0" fontId="0" fillId="25" borderId="0" xfId="0" applyFill="1"/>
    <xf numFmtId="0" fontId="1" fillId="25" borderId="27" xfId="0" applyFont="1" applyFill="1" applyBorder="1"/>
    <xf numFmtId="164" fontId="1" fillId="0" borderId="7" xfId="0" applyNumberFormat="1" applyFont="1" applyBorder="1" applyAlignment="1">
      <alignment horizontal="center"/>
    </xf>
    <xf numFmtId="164" fontId="1" fillId="0" borderId="8" xfId="0" applyNumberFormat="1" applyFont="1" applyBorder="1" applyAlignment="1">
      <alignment horizontal="center"/>
    </xf>
    <xf numFmtId="0" fontId="46" fillId="0" borderId="27" xfId="0" applyFont="1" applyBorder="1" applyAlignment="1">
      <alignment horizontal="center" wrapText="1"/>
    </xf>
    <xf numFmtId="0" fontId="46" fillId="0" borderId="28" xfId="0" applyFont="1" applyBorder="1" applyAlignment="1">
      <alignment horizontal="center" wrapText="1"/>
    </xf>
    <xf numFmtId="0" fontId="46" fillId="0" borderId="29" xfId="0" applyFont="1" applyBorder="1" applyAlignment="1">
      <alignment horizontal="center" wrapText="1"/>
    </xf>
    <xf numFmtId="0" fontId="46" fillId="0" borderId="3" xfId="0" applyFont="1" applyBorder="1" applyAlignment="1">
      <alignment horizontal="center" wrapText="1"/>
    </xf>
    <xf numFmtId="0" fontId="46" fillId="0" borderId="0" xfId="0" applyFont="1" applyAlignment="1">
      <alignment horizontal="center" wrapText="1"/>
    </xf>
    <xf numFmtId="0" fontId="46" fillId="0" borderId="30" xfId="0" applyFont="1" applyBorder="1" applyAlignment="1">
      <alignment horizontal="center" wrapText="1"/>
    </xf>
    <xf numFmtId="0" fontId="46" fillId="0" borderId="31" xfId="0" applyFont="1" applyBorder="1" applyAlignment="1">
      <alignment horizontal="center" wrapText="1"/>
    </xf>
    <xf numFmtId="0" fontId="46" fillId="0" borderId="24" xfId="0" applyFont="1" applyBorder="1" applyAlignment="1">
      <alignment horizontal="center" wrapText="1"/>
    </xf>
    <xf numFmtId="0" fontId="46" fillId="0" borderId="32" xfId="0" applyFont="1" applyBorder="1" applyAlignment="1">
      <alignment horizontal="center" wrapText="1"/>
    </xf>
    <xf numFmtId="0" fontId="33" fillId="19" borderId="27" xfId="0" applyFont="1" applyFill="1" applyBorder="1" applyAlignment="1">
      <alignment horizontal="center"/>
    </xf>
    <xf numFmtId="0" fontId="33" fillId="19" borderId="28" xfId="0" applyFont="1" applyFill="1" applyBorder="1" applyAlignment="1">
      <alignment horizontal="center"/>
    </xf>
    <xf numFmtId="0" fontId="33" fillId="19" borderId="29" xfId="0" applyFont="1" applyFill="1" applyBorder="1" applyAlignment="1">
      <alignment horizontal="center"/>
    </xf>
    <xf numFmtId="38" fontId="33" fillId="19" borderId="31" xfId="0" applyNumberFormat="1" applyFont="1" applyFill="1" applyBorder="1" applyAlignment="1">
      <alignment horizontal="center"/>
    </xf>
    <xf numFmtId="38" fontId="33" fillId="19" borderId="24" xfId="0" applyNumberFormat="1" applyFont="1" applyFill="1" applyBorder="1" applyAlignment="1">
      <alignment horizontal="center"/>
    </xf>
    <xf numFmtId="38" fontId="33" fillId="19" borderId="32" xfId="0" applyNumberFormat="1" applyFont="1" applyFill="1" applyBorder="1" applyAlignment="1">
      <alignment horizontal="center"/>
    </xf>
    <xf numFmtId="0" fontId="1" fillId="18" borderId="25" xfId="0" applyFont="1" applyFill="1" applyBorder="1" applyAlignment="1">
      <alignment horizontal="center" wrapText="1"/>
    </xf>
    <xf numFmtId="38" fontId="29" fillId="16" borderId="26" xfId="34" applyNumberFormat="1" applyAlignment="1">
      <alignment horizontal="center"/>
    </xf>
    <xf numFmtId="38" fontId="1" fillId="0" borderId="7" xfId="0" applyNumberFormat="1" applyFont="1" applyBorder="1" applyAlignment="1">
      <alignment horizontal="center"/>
    </xf>
    <xf numFmtId="38" fontId="1" fillId="0" borderId="8" xfId="0" applyNumberFormat="1" applyFont="1" applyBorder="1" applyAlignment="1">
      <alignment horizontal="center"/>
    </xf>
    <xf numFmtId="38" fontId="1" fillId="0" borderId="10" xfId="0" applyNumberFormat="1" applyFont="1" applyBorder="1" applyAlignment="1">
      <alignment horizontal="left" vertical="center"/>
    </xf>
    <xf numFmtId="38" fontId="0" fillId="0" borderId="10" xfId="0" applyNumberFormat="1" applyBorder="1" applyAlignment="1">
      <alignment horizontal="left" vertical="center"/>
    </xf>
    <xf numFmtId="38" fontId="0" fillId="0" borderId="0" xfId="0" applyNumberFormat="1" applyAlignment="1">
      <alignment horizontal="left" vertical="center"/>
    </xf>
    <xf numFmtId="38" fontId="1" fillId="0" borderId="1" xfId="0" applyNumberFormat="1" applyFont="1" applyBorder="1" applyAlignment="1">
      <alignment horizontal="center"/>
    </xf>
    <xf numFmtId="38" fontId="1" fillId="0" borderId="11" xfId="0" applyNumberFormat="1"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38" fontId="1" fillId="10" borderId="1" xfId="0" applyNumberFormat="1" applyFont="1" applyFill="1" applyBorder="1" applyAlignment="1">
      <alignment horizontal="center"/>
    </xf>
    <xf numFmtId="38" fontId="1" fillId="10" borderId="11" xfId="0" applyNumberFormat="1" applyFont="1" applyFill="1" applyBorder="1" applyAlignment="1">
      <alignment horizontal="center"/>
    </xf>
    <xf numFmtId="0" fontId="1" fillId="10" borderId="7" xfId="0" applyFont="1" applyFill="1" applyBorder="1" applyAlignment="1">
      <alignment horizontal="center"/>
    </xf>
    <xf numFmtId="0" fontId="1" fillId="10" borderId="8" xfId="0" applyFont="1" applyFill="1" applyBorder="1" applyAlignment="1">
      <alignment horizontal="center"/>
    </xf>
    <xf numFmtId="0" fontId="21" fillId="11" borderId="0" xfId="31" applyFont="1" applyFill="1" applyAlignment="1">
      <alignment vertical="top" wrapText="1" readingOrder="1"/>
    </xf>
    <xf numFmtId="0" fontId="22" fillId="0" borderId="0" xfId="31" applyFont="1"/>
    <xf numFmtId="0" fontId="23" fillId="12" borderId="21" xfId="31" applyFont="1" applyFill="1" applyBorder="1" applyAlignment="1">
      <alignment horizontal="center" vertical="top" wrapText="1" readingOrder="1"/>
    </xf>
    <xf numFmtId="0" fontId="22" fillId="0" borderId="22" xfId="31" applyFont="1" applyBorder="1" applyAlignment="1">
      <alignment vertical="top" wrapText="1"/>
    </xf>
    <xf numFmtId="0" fontId="22" fillId="0" borderId="23" xfId="31" applyFont="1" applyBorder="1" applyAlignment="1">
      <alignment vertical="top" wrapText="1"/>
    </xf>
  </cellXfs>
  <cellStyles count="38">
    <cellStyle name="Accent1" xfId="33" builtinId="29"/>
    <cellStyle name="AccountDetailRowDescCol" xfId="37" xr:uid="{13C13604-CDFF-4CB6-BD66-19019AB0AF57}"/>
    <cellStyle name="AccountDetailRowNameCol" xfId="36" xr:uid="{1A8E93C1-3E86-4944-ADFD-A4A86DD67374}"/>
    <cellStyle name="Comma" xfId="30" builtinId="3"/>
    <cellStyle name="Comma 2" xfId="14" xr:uid="{00000000-0005-0000-0000-000002000000}"/>
    <cellStyle name="Comma 2 2" xfId="13" xr:uid="{00000000-0005-0000-0000-000003000000}"/>
    <cellStyle name="Comma 2 2 2" xfId="12" xr:uid="{00000000-0005-0000-0000-000004000000}"/>
    <cellStyle name="Comma 3" xfId="11" xr:uid="{00000000-0005-0000-0000-000005000000}"/>
    <cellStyle name="Comma 3 2" xfId="10" xr:uid="{00000000-0005-0000-0000-000006000000}"/>
    <cellStyle name="Comma 4" xfId="9" xr:uid="{00000000-0005-0000-0000-000007000000}"/>
    <cellStyle name="Comma 4 2" xfId="15" xr:uid="{00000000-0005-0000-0000-000008000000}"/>
    <cellStyle name="Comma 5" xfId="16" xr:uid="{00000000-0005-0000-0000-000009000000}"/>
    <cellStyle name="Comma 5 2" xfId="17" xr:uid="{00000000-0005-0000-0000-00000A000000}"/>
    <cellStyle name="Comma 6" xfId="18" xr:uid="{00000000-0005-0000-0000-00000B000000}"/>
    <cellStyle name="Comma 7" xfId="32" xr:uid="{00000000-0005-0000-0000-00000C000000}"/>
    <cellStyle name="Currency" xfId="35" builtinId="4"/>
    <cellStyle name="Input" xfId="34" builtinId="20"/>
    <cellStyle name="Normal" xfId="0" builtinId="0"/>
    <cellStyle name="Normal 2" xfId="3" xr:uid="{00000000-0005-0000-0000-000010000000}"/>
    <cellStyle name="Normal 2 2" xfId="19" xr:uid="{00000000-0005-0000-0000-000011000000}"/>
    <cellStyle name="Normal 2 2 2" xfId="20" xr:uid="{00000000-0005-0000-0000-000012000000}"/>
    <cellStyle name="Normal 3" xfId="1" xr:uid="{00000000-0005-0000-0000-000013000000}"/>
    <cellStyle name="Normal 3 2" xfId="4" xr:uid="{00000000-0005-0000-0000-000014000000}"/>
    <cellStyle name="Normal 4" xfId="2" xr:uid="{00000000-0005-0000-0000-000015000000}"/>
    <cellStyle name="Normal 4 2" xfId="28" xr:uid="{00000000-0005-0000-0000-000016000000}"/>
    <cellStyle name="Normal 5" xfId="31" xr:uid="{00000000-0005-0000-0000-000017000000}"/>
    <cellStyle name="Percent" xfId="29" builtinId="5"/>
    <cellStyle name="Percent 2" xfId="5" xr:uid="{00000000-0005-0000-0000-000019000000}"/>
    <cellStyle name="Percent 2 2" xfId="22" xr:uid="{00000000-0005-0000-0000-00001A000000}"/>
    <cellStyle name="Percent 2 3" xfId="21" xr:uid="{00000000-0005-0000-0000-00001B000000}"/>
    <cellStyle name="Percent 3" xfId="6" xr:uid="{00000000-0005-0000-0000-00001C000000}"/>
    <cellStyle name="Percent 3 2" xfId="24" xr:uid="{00000000-0005-0000-0000-00001D000000}"/>
    <cellStyle name="Percent 3 3" xfId="23" xr:uid="{00000000-0005-0000-0000-00001E000000}"/>
    <cellStyle name="Percent 4" xfId="25" xr:uid="{00000000-0005-0000-0000-00001F000000}"/>
    <cellStyle name="Percent 4 2" xfId="26" xr:uid="{00000000-0005-0000-0000-000020000000}"/>
    <cellStyle name="Percent 5" xfId="27" xr:uid="{00000000-0005-0000-0000-000021000000}"/>
    <cellStyle name="STYL1 - Style1" xfId="7" xr:uid="{00000000-0005-0000-0000-000022000000}"/>
    <cellStyle name="STYL2 - Style2" xfId="8" xr:uid="{00000000-0005-0000-0000-000023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externalLink" Target="externalLinks/externalLink1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5.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8.xml"/><Relationship Id="rId37" Type="http://schemas.openxmlformats.org/officeDocument/2006/relationships/externalLink" Target="externalLinks/externalLink13.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4.xml"/><Relationship Id="rId36"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7.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3.xml"/><Relationship Id="rId30" Type="http://schemas.openxmlformats.org/officeDocument/2006/relationships/externalLink" Target="externalLinks/externalLink6.xml"/><Relationship Id="rId35" Type="http://schemas.openxmlformats.org/officeDocument/2006/relationships/externalLink" Target="externalLinks/externalLink1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externalLink" Target="externalLinks/externalLink9.xml"/><Relationship Id="rId38"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372717</xdr:colOff>
      <xdr:row>74</xdr:row>
      <xdr:rowOff>173934</xdr:rowOff>
    </xdr:from>
    <xdr:to>
      <xdr:col>12</xdr:col>
      <xdr:colOff>1157653</xdr:colOff>
      <xdr:row>84</xdr:row>
      <xdr:rowOff>87923</xdr:rowOff>
    </xdr:to>
    <xdr:sp macro="" textlink="">
      <xdr:nvSpPr>
        <xdr:cNvPr id="2" name="TextBox 1">
          <a:extLst>
            <a:ext uri="{FF2B5EF4-FFF2-40B4-BE49-F238E27FC236}">
              <a16:creationId xmlns:a16="http://schemas.microsoft.com/office/drawing/2014/main" id="{29E8D6F3-F57A-46BB-A1FA-E90B443BCD1C}"/>
            </a:ext>
          </a:extLst>
        </xdr:cNvPr>
        <xdr:cNvSpPr txBox="1"/>
      </xdr:nvSpPr>
      <xdr:spPr>
        <a:xfrm>
          <a:off x="372717" y="15594909"/>
          <a:ext cx="10605211" cy="18189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Purpose:</a:t>
          </a:r>
          <a:r>
            <a:rPr lang="en-US" sz="1100" b="1" baseline="0"/>
            <a:t> </a:t>
          </a:r>
          <a:r>
            <a:rPr lang="en-US" sz="1100" baseline="0"/>
            <a:t>to document mgt's analysis of future chargebacks </a:t>
          </a:r>
          <a:r>
            <a:rPr lang="en-US" sz="1100" b="1" baseline="0"/>
            <a:t>Source: </a:t>
          </a:r>
          <a:r>
            <a:rPr lang="en-US" sz="1100" baseline="0"/>
            <a:t>Max Reeves</a:t>
          </a:r>
        </a:p>
        <a:p>
          <a:r>
            <a:rPr lang="en-US" sz="1100" b="1" baseline="0"/>
            <a:t>Expectations: </a:t>
          </a:r>
          <a:r>
            <a:rPr lang="en-US" sz="1100" baseline="0"/>
            <a:t>We would expect the reserve for future CB's to approximate prior year CB's before accounting for Finance Income that is not subject to charge back and for CB's that will directly impact personnel. Typical industry standard is for the reserve to be 10-15% of total F&amp;I income and the related reserve to be 50-75% of CY CB's.</a:t>
          </a:r>
        </a:p>
        <a:p>
          <a:r>
            <a:rPr lang="en-US" sz="1100" b="1" baseline="0"/>
            <a:t>Assumptions for manger participation:</a:t>
          </a:r>
          <a:endParaRPr lang="en-US" sz="1100" b="1"/>
        </a:p>
        <a:p>
          <a:r>
            <a:rPr lang="en-US" sz="1100"/>
            <a:t>-F&amp;I Manager</a:t>
          </a:r>
          <a:r>
            <a:rPr lang="en-US" sz="1100" baseline="0"/>
            <a:t> - usually about 12-15%</a:t>
          </a:r>
        </a:p>
        <a:p>
          <a:r>
            <a:rPr lang="en-US" sz="1100" baseline="0"/>
            <a:t>-Sales Person (2-3) at 3-5%</a:t>
          </a:r>
        </a:p>
        <a:p>
          <a:r>
            <a:rPr lang="en-US" sz="1100" baseline="0"/>
            <a:t>24% determined as a resonable % based on the above expectations.</a:t>
          </a:r>
        </a:p>
        <a:p>
          <a:r>
            <a:rPr lang="en-US" sz="1100" b="1" baseline="0"/>
            <a:t>Conclusion: </a:t>
          </a:r>
          <a:r>
            <a:rPr lang="en-US" sz="1100" baseline="0"/>
            <a:t>Mgt's analysis appear reasonable and in-line with expectations. We reviewed supporting data for the calculation from the last tab of this w/s. We confirmed key assumptions with mgt.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372717</xdr:colOff>
      <xdr:row>74</xdr:row>
      <xdr:rowOff>173934</xdr:rowOff>
    </xdr:from>
    <xdr:to>
      <xdr:col>12</xdr:col>
      <xdr:colOff>1157653</xdr:colOff>
      <xdr:row>84</xdr:row>
      <xdr:rowOff>87923</xdr:rowOff>
    </xdr:to>
    <xdr:sp macro="" textlink="">
      <xdr:nvSpPr>
        <xdr:cNvPr id="2" name="TextBox 1">
          <a:extLst>
            <a:ext uri="{FF2B5EF4-FFF2-40B4-BE49-F238E27FC236}">
              <a16:creationId xmlns:a16="http://schemas.microsoft.com/office/drawing/2014/main" id="{96FC3757-3008-4F21-B5BA-445B4430D066}"/>
            </a:ext>
          </a:extLst>
        </xdr:cNvPr>
        <xdr:cNvSpPr txBox="1"/>
      </xdr:nvSpPr>
      <xdr:spPr>
        <a:xfrm>
          <a:off x="372717" y="15594909"/>
          <a:ext cx="11395786" cy="18189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Purpose:</a:t>
          </a:r>
          <a:r>
            <a:rPr lang="en-US" sz="1100" b="1" baseline="0"/>
            <a:t> </a:t>
          </a:r>
          <a:r>
            <a:rPr lang="en-US" sz="1100" baseline="0"/>
            <a:t>to document mgt's analysis of future chargebacks </a:t>
          </a:r>
          <a:r>
            <a:rPr lang="en-US" sz="1100" b="1" baseline="0"/>
            <a:t>Source: </a:t>
          </a:r>
          <a:r>
            <a:rPr lang="en-US" sz="1100" baseline="0"/>
            <a:t>Max Reeves</a:t>
          </a:r>
        </a:p>
        <a:p>
          <a:r>
            <a:rPr lang="en-US" sz="1100" b="1" baseline="0"/>
            <a:t>Expectations: </a:t>
          </a:r>
          <a:r>
            <a:rPr lang="en-US" sz="1100" baseline="0"/>
            <a:t>We would expect the reserve for future CB's to approximate prior year CB's before accounting for Finance Income that is not subject to charge back and for CB's that will directly impact personnel. Typical industry standard is for the reserve to be 10-15% of total F&amp;I income and the related reserve to be 50-75% of CY CB's.</a:t>
          </a:r>
        </a:p>
        <a:p>
          <a:r>
            <a:rPr lang="en-US" sz="1100" b="1" baseline="0"/>
            <a:t>Assumptions for manger participation:</a:t>
          </a:r>
          <a:endParaRPr lang="en-US" sz="1100" b="1"/>
        </a:p>
        <a:p>
          <a:r>
            <a:rPr lang="en-US" sz="1100"/>
            <a:t>-F&amp;I Manager</a:t>
          </a:r>
          <a:r>
            <a:rPr lang="en-US" sz="1100" baseline="0"/>
            <a:t> - usually about 12-15%</a:t>
          </a:r>
        </a:p>
        <a:p>
          <a:r>
            <a:rPr lang="en-US" sz="1100" baseline="0"/>
            <a:t>-Sales Person (2-3) at 3-5%</a:t>
          </a:r>
        </a:p>
        <a:p>
          <a:r>
            <a:rPr lang="en-US" sz="1100" baseline="0"/>
            <a:t>24% determined as a resonable % based on the above expectations.</a:t>
          </a:r>
        </a:p>
        <a:p>
          <a:r>
            <a:rPr lang="en-US" sz="1100" b="1" baseline="0"/>
            <a:t>Conclusion: </a:t>
          </a:r>
          <a:r>
            <a:rPr lang="en-US" sz="1100" baseline="0"/>
            <a:t>Mgt's analysis appear reasonable and in-line with expectations. We reviewed supporting data for the calculation from the last tab of this w/s. We confirmed key assumptions with mgt.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372717</xdr:colOff>
      <xdr:row>74</xdr:row>
      <xdr:rowOff>173934</xdr:rowOff>
    </xdr:from>
    <xdr:to>
      <xdr:col>12</xdr:col>
      <xdr:colOff>1157653</xdr:colOff>
      <xdr:row>84</xdr:row>
      <xdr:rowOff>87923</xdr:rowOff>
    </xdr:to>
    <xdr:sp macro="" textlink="">
      <xdr:nvSpPr>
        <xdr:cNvPr id="2" name="TextBox 1">
          <a:extLst>
            <a:ext uri="{FF2B5EF4-FFF2-40B4-BE49-F238E27FC236}">
              <a16:creationId xmlns:a16="http://schemas.microsoft.com/office/drawing/2014/main" id="{605B3C76-1452-46E6-862A-654FD8C751C6}"/>
            </a:ext>
          </a:extLst>
        </xdr:cNvPr>
        <xdr:cNvSpPr txBox="1"/>
      </xdr:nvSpPr>
      <xdr:spPr>
        <a:xfrm>
          <a:off x="372717" y="14642409"/>
          <a:ext cx="10548061" cy="18189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Purpose:</a:t>
          </a:r>
          <a:r>
            <a:rPr lang="en-US" sz="1100" b="1" baseline="0"/>
            <a:t> </a:t>
          </a:r>
          <a:r>
            <a:rPr lang="en-US" sz="1100" baseline="0"/>
            <a:t>to document mgt's analysis of future chargebacks </a:t>
          </a:r>
          <a:r>
            <a:rPr lang="en-US" sz="1100" b="1" baseline="0"/>
            <a:t>Source: </a:t>
          </a:r>
          <a:r>
            <a:rPr lang="en-US" sz="1100" baseline="0"/>
            <a:t>Max Reeves</a:t>
          </a:r>
        </a:p>
        <a:p>
          <a:r>
            <a:rPr lang="en-US" sz="1100" b="1" baseline="0"/>
            <a:t>Expectations: </a:t>
          </a:r>
          <a:r>
            <a:rPr lang="en-US" sz="1100" baseline="0"/>
            <a:t>We would expect the reserve for future CB's to approximate prior year CB's before accounting for Finance Income that is not subject to charge back and for CB's that will directly impact personnel. Typical industry standard is for the reserve to be 10-15% of total F&amp;I income and the related reserve to be 50-75% of CY CB's.</a:t>
          </a:r>
        </a:p>
        <a:p>
          <a:r>
            <a:rPr lang="en-US" sz="1100" b="1" baseline="0"/>
            <a:t>Assumptions for manger participation:</a:t>
          </a:r>
          <a:endParaRPr lang="en-US" sz="1100" b="1"/>
        </a:p>
        <a:p>
          <a:r>
            <a:rPr lang="en-US" sz="1100"/>
            <a:t>-F&amp;I Manager</a:t>
          </a:r>
          <a:r>
            <a:rPr lang="en-US" sz="1100" baseline="0"/>
            <a:t> - usually about 12-15%</a:t>
          </a:r>
        </a:p>
        <a:p>
          <a:r>
            <a:rPr lang="en-US" sz="1100" baseline="0"/>
            <a:t>-Sales Person (2-3) at 3-5%</a:t>
          </a:r>
        </a:p>
        <a:p>
          <a:r>
            <a:rPr lang="en-US" sz="1100" baseline="0"/>
            <a:t>24% determined as a resonable % based on the above expectations.</a:t>
          </a:r>
        </a:p>
        <a:p>
          <a:r>
            <a:rPr lang="en-US" sz="1100" b="1" baseline="0"/>
            <a:t>Conclusion: </a:t>
          </a:r>
          <a:r>
            <a:rPr lang="en-US" sz="1100" baseline="0"/>
            <a:t>Mgt's analysis appear reasonable and in-line with expectations. We reviewed supporting data for the calculation from the last tab of this w/s. We confirmed key assumptions with mgt. For 2019, client adjusted the Agining in Column C to assume that 20% of the C/b's occur before the end of 2019 and should not be considered in the liability estimate.  </a:t>
          </a: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372717</xdr:colOff>
      <xdr:row>71</xdr:row>
      <xdr:rowOff>173934</xdr:rowOff>
    </xdr:from>
    <xdr:to>
      <xdr:col>11</xdr:col>
      <xdr:colOff>1157653</xdr:colOff>
      <xdr:row>81</xdr:row>
      <xdr:rowOff>87923</xdr:rowOff>
    </xdr:to>
    <xdr:sp macro="" textlink="">
      <xdr:nvSpPr>
        <xdr:cNvPr id="2" name="TextBox 1">
          <a:extLst>
            <a:ext uri="{FF2B5EF4-FFF2-40B4-BE49-F238E27FC236}">
              <a16:creationId xmlns:a16="http://schemas.microsoft.com/office/drawing/2014/main" id="{9CE06FBC-F072-4AFE-BF2B-6FB6A9AA4469}"/>
            </a:ext>
          </a:extLst>
        </xdr:cNvPr>
        <xdr:cNvSpPr txBox="1"/>
      </xdr:nvSpPr>
      <xdr:spPr>
        <a:xfrm>
          <a:off x="372717" y="14642409"/>
          <a:ext cx="10548061" cy="18189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Purpose:</a:t>
          </a:r>
          <a:r>
            <a:rPr lang="en-US" sz="1100" b="1" baseline="0"/>
            <a:t> </a:t>
          </a:r>
          <a:r>
            <a:rPr lang="en-US" sz="1100" baseline="0"/>
            <a:t>to document mgt's analysis of future chargebacks </a:t>
          </a:r>
          <a:r>
            <a:rPr lang="en-US" sz="1100" b="1" baseline="0"/>
            <a:t>Source: </a:t>
          </a:r>
          <a:r>
            <a:rPr lang="en-US" sz="1100" baseline="0"/>
            <a:t>Max Reeves</a:t>
          </a:r>
        </a:p>
        <a:p>
          <a:r>
            <a:rPr lang="en-US" sz="1100" b="1" baseline="0"/>
            <a:t>Expectations: </a:t>
          </a:r>
          <a:r>
            <a:rPr lang="en-US" sz="1100" baseline="0"/>
            <a:t>We would expect the reserve for future CB's to approximate prior year CB's before accounting for Finance Income that is not subject to charge back and for CB's that will directly impact personnel. Typical industry standard is for the reserve to be 10-15% of total F&amp;I income and the related reserve to be 50-75% of CY CB's.</a:t>
          </a:r>
        </a:p>
        <a:p>
          <a:r>
            <a:rPr lang="en-US" sz="1100" b="1" baseline="0"/>
            <a:t>Assumptions for manger participation:</a:t>
          </a:r>
          <a:endParaRPr lang="en-US" sz="1100" b="1"/>
        </a:p>
        <a:p>
          <a:r>
            <a:rPr lang="en-US" sz="1100"/>
            <a:t>-F&amp;I Manager</a:t>
          </a:r>
          <a:r>
            <a:rPr lang="en-US" sz="1100" baseline="0"/>
            <a:t> - usually about 12-15%</a:t>
          </a:r>
        </a:p>
        <a:p>
          <a:r>
            <a:rPr lang="en-US" sz="1100" baseline="0"/>
            <a:t>-Sales Person (2-3) at 3-5%</a:t>
          </a:r>
        </a:p>
        <a:p>
          <a:r>
            <a:rPr lang="en-US" sz="1100" baseline="0"/>
            <a:t>24% determined as a resonable % based on the above expectations.</a:t>
          </a:r>
        </a:p>
        <a:p>
          <a:r>
            <a:rPr lang="en-US" sz="1100" b="1" baseline="0"/>
            <a:t>Conclusion: </a:t>
          </a:r>
          <a:r>
            <a:rPr lang="en-US" sz="1100" baseline="0"/>
            <a:t>Mgt's analysis appear reasonable and in-line with expectations. We reviewed supporting data for the calculation from the last tab of this w/s. We confirmed key assumptions with mgt. </a:t>
          </a:r>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372717</xdr:colOff>
      <xdr:row>68</xdr:row>
      <xdr:rowOff>173934</xdr:rowOff>
    </xdr:from>
    <xdr:to>
      <xdr:col>11</xdr:col>
      <xdr:colOff>1157653</xdr:colOff>
      <xdr:row>78</xdr:row>
      <xdr:rowOff>87923</xdr:rowOff>
    </xdr:to>
    <xdr:sp macro="" textlink="">
      <xdr:nvSpPr>
        <xdr:cNvPr id="3" name="TextBox 2">
          <a:extLst>
            <a:ext uri="{FF2B5EF4-FFF2-40B4-BE49-F238E27FC236}">
              <a16:creationId xmlns:a16="http://schemas.microsoft.com/office/drawing/2014/main" id="{3290ABF1-7851-47B3-A249-2967DE477002}"/>
            </a:ext>
          </a:extLst>
        </xdr:cNvPr>
        <xdr:cNvSpPr txBox="1"/>
      </xdr:nvSpPr>
      <xdr:spPr>
        <a:xfrm>
          <a:off x="372717" y="14637280"/>
          <a:ext cx="10544398" cy="181898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Purpose:</a:t>
          </a:r>
          <a:r>
            <a:rPr lang="en-US" sz="1100" b="1" baseline="0"/>
            <a:t> </a:t>
          </a:r>
          <a:r>
            <a:rPr lang="en-US" sz="1100" baseline="0"/>
            <a:t>to document mgt's analysis of future chargebacks and related reserve setup intitally in 2017</a:t>
          </a:r>
        </a:p>
        <a:p>
          <a:r>
            <a:rPr lang="en-US" sz="1100" b="1" baseline="0"/>
            <a:t>Source: </a:t>
          </a:r>
          <a:r>
            <a:rPr lang="en-US" sz="1100" baseline="0"/>
            <a:t>Max Reeves</a:t>
          </a:r>
        </a:p>
        <a:p>
          <a:r>
            <a:rPr lang="en-US" sz="1100" b="1" baseline="0"/>
            <a:t>Expectations: </a:t>
          </a:r>
          <a:r>
            <a:rPr lang="en-US" sz="1100" baseline="0"/>
            <a:t>We would expect the reserve for future CB's to approximate prior year CB's before accounting for Finance Income that is not subject to charge back and for CB's that will directly impact personnel. Typical industry standard is for the reserve to be 10-15% of total F&amp;I income and the related reserve to be 50-75% of CY CB's.</a:t>
          </a:r>
        </a:p>
        <a:p>
          <a:r>
            <a:rPr lang="en-US" sz="1100" b="1" baseline="0"/>
            <a:t>Assumptions for manger participation:</a:t>
          </a:r>
          <a:endParaRPr lang="en-US" sz="1100" b="1"/>
        </a:p>
        <a:p>
          <a:r>
            <a:rPr lang="en-US" sz="1100"/>
            <a:t>-F&amp;I Manager</a:t>
          </a:r>
          <a:r>
            <a:rPr lang="en-US" sz="1100" baseline="0"/>
            <a:t> - usually about 12-15%</a:t>
          </a:r>
        </a:p>
        <a:p>
          <a:r>
            <a:rPr lang="en-US" sz="1100" baseline="0"/>
            <a:t>-Sales Person (2-3) at 3-5%</a:t>
          </a:r>
        </a:p>
        <a:p>
          <a:r>
            <a:rPr lang="en-US" sz="1100" baseline="0"/>
            <a:t>24% determined as a resonable % based on the above expectations.</a:t>
          </a:r>
        </a:p>
        <a:p>
          <a:r>
            <a:rPr lang="en-US" sz="1100" b="1" baseline="0"/>
            <a:t>Conclusion: </a:t>
          </a:r>
          <a:r>
            <a:rPr lang="en-US" sz="1100" baseline="0"/>
            <a:t>Mgt's analysis appear reasonable and in-line with expectations. We reviewed supporting data for the calculation from the last tab of this w/s and agreed the 2015 and 2016 data to the dealer FS's in the 60 section of the file. We confirmed key assumptions with mgt. A PPadjustment will be required to properly setup the reserve. See AJE's.</a:t>
          </a:r>
        </a:p>
        <a:p>
          <a:endParaRPr lang="en-US" sz="1100" baseline="0"/>
        </a:p>
        <a:p>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Program%20Files\Microsoft%20Office\Root\Office16\LIBRARY\epace.xla" TargetMode="External"/><Relationship Id="rId1" Type="http://schemas.microsoft.com/office/2006/relationships/xlExternalLinkPath/xlLibrary" Target="epace.xla"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hm-azu-sql-01\Workpapers\Users\ffillmore\ShareFile\Shared%20Folders\HAG\Financials\December%202016\HMA%20December%202016.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hm-azu-sql-01\Workpapers\Users\ffillmore\ShareFile\Shared%20Folders\HAG\Financials\December%202016\VDC%20December%202016.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hm-azu-sql-01\Workpapers\Users\ffillmore\ShareFile\Shared%20Folders\HAG\Financials\December%202016\RMT%20December%202016.xlsm"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hm-azu-sql-01\Workpapers\Users\ffillmore\ShareFile\Shared%20Folders\HAG\Financials\December%202016\LHI%20December%20201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hm-azu-sql-01\Workpapers\Users\ffillmore\ShareFile\Shared%20Folders\HAG\Financials\December%202016\JCF%20December%20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hm-azu-sql-01\Workpapers\Users\ffillmore\ShareFile\Shared%20Folders\HAG\Financials\December%202016\LHF%20December%2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hm-azu-sql-01\Workpapers\Users\ffillmore\ShareFile\Shared%20Folders\HAG\Financials\December%202016\GAS%20December%202016.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hm-azu-sql-01\Workpapers\Users\ffillmore\ShareFile\Shared%20Folders\HAG\Financials\December%202016\CNS%20December%20201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hm-azu-sql-01\Workpapers\Users\ffillmore\ShareFile\Shared%20Folders\HAG\Financials\December%202016\CHS%20December%202016.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hm-azu-sql-01\Workpapers\Users\ffillmore\ShareFile\Shared%20Folders\HAG\Financials\December%202016\HK%20December%20201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hm-azu-sql-01\Workpapers\Users\ffillmore\ShareFile\Shared%20Folders\HAG\Financials\December%202016\HM%20December%20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hhm-azu-sql-01\Workpapers\Users\ffillmore\ShareFile\Shared%20Folders\HAG\Financials\December%202016\JCT%20December%20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2"/>
      <sheetName val="Sheet3"/>
    </sheetNames>
    <definedNames>
      <definedName name="TBLink"/>
    </definedNames>
    <sheetDataSet>
      <sheetData sheetId="0"/>
      <sheetData sheetId="1"/>
      <sheetData sheetId="2"/>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PAGE 3"/>
      <sheetName val="PAGE 4"/>
      <sheetName val="PAGE 5"/>
      <sheetName val="Detail"/>
      <sheetName val="Manf COA"/>
      <sheetName val="Cross Ref"/>
      <sheetName val="WFPFFWTOT"/>
      <sheetName val="FFPENVIOR"/>
      <sheetName val="Const"/>
      <sheetName val="FFPXREFDTA"/>
      <sheetName val="Factory Accounts "/>
      <sheetName val="Change Log"/>
    </sheetNames>
    <sheetDataSet>
      <sheetData sheetId="0" refreshError="1"/>
      <sheetData sheetId="1" refreshError="1">
        <row r="1">
          <cell r="A1"/>
          <cell r="B1" t="str">
            <v>PAGE 2</v>
          </cell>
          <cell r="C1" t="str">
            <v>OMIT CENTS</v>
          </cell>
          <cell r="D1"/>
          <cell r="E1"/>
          <cell r="F1"/>
          <cell r="G1"/>
          <cell r="H1"/>
          <cell r="I1"/>
          <cell r="J1"/>
          <cell r="K1"/>
          <cell r="L1"/>
          <cell r="M1"/>
          <cell r="N1"/>
          <cell r="O1"/>
          <cell r="P1"/>
          <cell r="Q1"/>
          <cell r="R1" t="str">
            <v>OMIT CENTS</v>
          </cell>
          <cell r="S1"/>
          <cell r="T1"/>
          <cell r="U1"/>
          <cell r="V1"/>
          <cell r="W1"/>
          <cell r="X1"/>
          <cell r="Y1" t="str">
            <v xml:space="preserve"> </v>
          </cell>
        </row>
        <row r="2">
          <cell r="A2" t="str">
            <v>LINE NO</v>
          </cell>
          <cell r="B2" t="str">
            <v>NAME OF ACCOUNT</v>
          </cell>
          <cell r="C2"/>
          <cell r="D2"/>
          <cell r="E2"/>
          <cell r="F2" t="str">
            <v>ACCT NO</v>
          </cell>
          <cell r="G2"/>
          <cell r="H2" t="str">
            <v>TOTAL INCOME AND EXPENSES</v>
          </cell>
          <cell r="I2"/>
          <cell r="J2"/>
          <cell r="K2"/>
          <cell r="L2"/>
          <cell r="M2"/>
          <cell r="N2"/>
          <cell r="O2"/>
          <cell r="P2" t="str">
            <v>A - NEW VEHICLE DEPARTMENT</v>
          </cell>
          <cell r="Q2"/>
          <cell r="R2"/>
          <cell r="S2"/>
          <cell r="T2"/>
          <cell r="U2"/>
          <cell r="V2" t="str">
            <v>LINE NO</v>
          </cell>
          <cell r="W2"/>
          <cell r="X2" t="str">
            <v>Month</v>
          </cell>
          <cell r="Y2"/>
          <cell r="Z2"/>
          <cell r="AA2"/>
          <cell r="AB2"/>
          <cell r="AC2"/>
          <cell r="AD2"/>
          <cell r="AE2"/>
          <cell r="AF2"/>
          <cell r="AG2"/>
          <cell r="AH2"/>
          <cell r="AI2"/>
          <cell r="AJ2"/>
          <cell r="AK2"/>
          <cell r="AL2"/>
        </row>
        <row r="3">
          <cell r="A3"/>
          <cell r="B3"/>
          <cell r="C3"/>
          <cell r="D3"/>
          <cell r="E3"/>
          <cell r="F3"/>
          <cell r="G3"/>
          <cell r="H3" t="str">
            <v>MONTH</v>
          </cell>
          <cell r="I3"/>
          <cell r="J3"/>
          <cell r="K3"/>
          <cell r="L3" t="str">
            <v>YEAR TO DATE</v>
          </cell>
          <cell r="M3"/>
          <cell r="N3"/>
          <cell r="O3"/>
          <cell r="P3" t="str">
            <v>MONTH</v>
          </cell>
          <cell r="Q3"/>
          <cell r="R3"/>
          <cell r="S3" t="str">
            <v>YEAR TO DATE</v>
          </cell>
          <cell r="T3"/>
          <cell r="U3"/>
          <cell r="V3"/>
          <cell r="W3"/>
          <cell r="X3"/>
          <cell r="Y3"/>
          <cell r="Z3"/>
          <cell r="AA3"/>
          <cell r="AB3"/>
          <cell r="AC3"/>
          <cell r="AD3"/>
          <cell r="AE3"/>
          <cell r="AF3"/>
          <cell r="AG3"/>
          <cell r="AH3"/>
          <cell r="AI3"/>
          <cell r="AJ3"/>
          <cell r="AK3"/>
          <cell r="AL3"/>
        </row>
        <row r="4">
          <cell r="A4">
            <v>1</v>
          </cell>
          <cell r="B4" t="str">
            <v>NET SALES (From Page 4, Page 5)</v>
          </cell>
          <cell r="C4"/>
          <cell r="D4"/>
          <cell r="E4"/>
          <cell r="F4"/>
          <cell r="G4"/>
          <cell r="H4">
            <v>2120138</v>
          </cell>
          <cell r="I4"/>
          <cell r="J4"/>
          <cell r="K4"/>
          <cell r="L4">
            <v>13822701</v>
          </cell>
          <cell r="M4"/>
          <cell r="N4"/>
          <cell r="O4"/>
          <cell r="P4">
            <v>1162342</v>
          </cell>
          <cell r="Q4"/>
          <cell r="R4"/>
          <cell r="S4">
            <v>7611514</v>
          </cell>
          <cell r="T4"/>
          <cell r="U4"/>
          <cell r="V4">
            <v>1</v>
          </cell>
          <cell r="W4"/>
          <cell r="X4"/>
          <cell r="Y4"/>
          <cell r="Z4"/>
          <cell r="AA4"/>
          <cell r="AB4"/>
          <cell r="AC4"/>
          <cell r="AD4"/>
          <cell r="AE4"/>
          <cell r="AF4"/>
          <cell r="AG4"/>
          <cell r="AH4"/>
          <cell r="AI4"/>
          <cell r="AJ4"/>
          <cell r="AK4"/>
          <cell r="AL4"/>
        </row>
        <row r="5">
          <cell r="A5">
            <v>2</v>
          </cell>
          <cell r="B5" t="str">
            <v>GROSS PROFIT (From Page 4, Page 5)</v>
          </cell>
          <cell r="C5"/>
          <cell r="D5"/>
          <cell r="E5"/>
          <cell r="F5"/>
          <cell r="G5"/>
          <cell r="H5">
            <v>209259</v>
          </cell>
          <cell r="I5"/>
          <cell r="J5"/>
          <cell r="K5"/>
          <cell r="L5">
            <v>1539282</v>
          </cell>
          <cell r="M5"/>
          <cell r="N5"/>
          <cell r="O5"/>
          <cell r="P5">
            <v>90767</v>
          </cell>
          <cell r="Q5"/>
          <cell r="R5"/>
          <cell r="S5">
            <v>544475</v>
          </cell>
          <cell r="T5"/>
          <cell r="U5"/>
          <cell r="V5">
            <v>2</v>
          </cell>
          <cell r="W5"/>
          <cell r="X5"/>
          <cell r="Y5"/>
          <cell r="Z5"/>
          <cell r="AA5"/>
          <cell r="AB5"/>
          <cell r="AC5"/>
          <cell r="AD5"/>
          <cell r="AE5"/>
          <cell r="AF5"/>
          <cell r="AG5"/>
          <cell r="AH5"/>
          <cell r="AI5"/>
          <cell r="AJ5"/>
          <cell r="AK5"/>
          <cell r="AL5"/>
        </row>
        <row r="6">
          <cell r="A6">
            <v>3</v>
          </cell>
          <cell r="B6" t="str">
            <v>GROSS PROFIT PER CENT OF SALES            (divide line 2 by line1)</v>
          </cell>
          <cell r="C6"/>
          <cell r="D6"/>
          <cell r="E6"/>
          <cell r="F6"/>
          <cell r="G6"/>
          <cell r="H6">
            <v>9.8700650618025812E-2</v>
          </cell>
          <cell r="I6"/>
          <cell r="J6"/>
          <cell r="K6"/>
          <cell r="L6">
            <v>0.11135898837716304</v>
          </cell>
          <cell r="M6"/>
          <cell r="N6"/>
          <cell r="O6"/>
          <cell r="P6">
            <v>7.8089753273993368E-2</v>
          </cell>
          <cell r="Q6"/>
          <cell r="R6"/>
          <cell r="S6">
            <v>7.153307476015941E-2</v>
          </cell>
          <cell r="T6"/>
          <cell r="U6"/>
          <cell r="V6">
            <v>3</v>
          </cell>
          <cell r="W6"/>
          <cell r="X6"/>
          <cell r="Y6"/>
          <cell r="Z6"/>
          <cell r="AA6"/>
          <cell r="AB6"/>
          <cell r="AC6"/>
          <cell r="AD6"/>
          <cell r="AE6"/>
          <cell r="AF6"/>
          <cell r="AG6"/>
          <cell r="AH6"/>
          <cell r="AI6"/>
          <cell r="AJ6"/>
          <cell r="AK6"/>
          <cell r="AL6"/>
        </row>
        <row r="7">
          <cell r="A7">
            <v>4</v>
          </cell>
          <cell r="B7" t="str">
            <v>VARIABLE SELLING EXPENSES</v>
          </cell>
          <cell r="C7"/>
          <cell r="D7"/>
          <cell r="E7"/>
          <cell r="F7"/>
          <cell r="G7"/>
          <cell r="H7" t="str">
            <v>EXP. % G.P</v>
          </cell>
          <cell r="I7"/>
          <cell r="J7"/>
          <cell r="K7"/>
          <cell r="L7" t="str">
            <v>EXP. % G.P</v>
          </cell>
          <cell r="M7"/>
          <cell r="N7"/>
          <cell r="O7"/>
          <cell r="P7"/>
          <cell r="Q7"/>
          <cell r="R7"/>
          <cell r="S7"/>
          <cell r="T7"/>
          <cell r="U7"/>
          <cell r="V7">
            <v>4</v>
          </cell>
          <cell r="W7"/>
          <cell r="X7"/>
          <cell r="Y7"/>
          <cell r="Z7"/>
          <cell r="AA7"/>
          <cell r="AB7"/>
          <cell r="AC7"/>
          <cell r="AD7"/>
          <cell r="AE7"/>
          <cell r="AF7"/>
          <cell r="AG7"/>
          <cell r="AH7"/>
          <cell r="AI7"/>
          <cell r="AJ7"/>
          <cell r="AK7"/>
          <cell r="AL7"/>
        </row>
        <row r="8">
          <cell r="A8">
            <v>5</v>
          </cell>
          <cell r="B8" t="str">
            <v>Salespeople: Compensation and Incentive</v>
          </cell>
          <cell r="C8"/>
          <cell r="D8"/>
          <cell r="E8"/>
          <cell r="F8" t="str">
            <v>11</v>
          </cell>
          <cell r="G8"/>
          <cell r="H8">
            <v>41312</v>
          </cell>
          <cell r="I8"/>
          <cell r="J8">
            <v>0.19742042158282319</v>
          </cell>
          <cell r="K8"/>
          <cell r="L8">
            <v>234748</v>
          </cell>
          <cell r="M8"/>
          <cell r="N8">
            <v>0.15250486915328054</v>
          </cell>
          <cell r="O8"/>
          <cell r="P8">
            <v>33577</v>
          </cell>
          <cell r="Q8"/>
          <cell r="R8"/>
          <cell r="S8">
            <v>182170</v>
          </cell>
          <cell r="T8"/>
          <cell r="U8"/>
          <cell r="V8">
            <v>5</v>
          </cell>
          <cell r="W8"/>
          <cell r="X8"/>
          <cell r="Y8"/>
          <cell r="Z8"/>
          <cell r="AA8"/>
          <cell r="AB8"/>
          <cell r="AC8"/>
          <cell r="AD8"/>
          <cell r="AE8"/>
          <cell r="AF8"/>
          <cell r="AG8"/>
          <cell r="AH8"/>
          <cell r="AI8"/>
          <cell r="AJ8"/>
          <cell r="AK8"/>
          <cell r="AL8"/>
        </row>
        <row r="9">
          <cell r="A9">
            <v>6</v>
          </cell>
          <cell r="B9" t="str">
            <v>F &amp;I Managers: Compensation and Incentive</v>
          </cell>
          <cell r="C9"/>
          <cell r="D9"/>
          <cell r="E9"/>
          <cell r="F9" t="str">
            <v>12</v>
          </cell>
          <cell r="G9"/>
          <cell r="H9">
            <v>13828</v>
          </cell>
          <cell r="I9"/>
          <cell r="J9">
            <v>6.6080789834606871E-2</v>
          </cell>
          <cell r="K9"/>
          <cell r="L9">
            <v>61801</v>
          </cell>
          <cell r="M9"/>
          <cell r="N9">
            <v>4.0149238411155329E-2</v>
          </cell>
          <cell r="O9"/>
          <cell r="P9">
            <v>6914</v>
          </cell>
          <cell r="Q9"/>
          <cell r="R9"/>
          <cell r="S9">
            <v>35467</v>
          </cell>
          <cell r="T9"/>
          <cell r="U9"/>
          <cell r="V9">
            <v>6</v>
          </cell>
          <cell r="W9"/>
          <cell r="X9"/>
          <cell r="Y9"/>
          <cell r="Z9"/>
          <cell r="AA9"/>
          <cell r="AB9"/>
          <cell r="AC9"/>
          <cell r="AD9"/>
          <cell r="AE9"/>
          <cell r="AF9"/>
          <cell r="AG9"/>
          <cell r="AH9"/>
          <cell r="AI9"/>
          <cell r="AJ9"/>
          <cell r="AK9"/>
          <cell r="AL9"/>
        </row>
        <row r="10">
          <cell r="A10">
            <v>7</v>
          </cell>
          <cell r="B10" t="str">
            <v>Delivery Expense</v>
          </cell>
          <cell r="C10"/>
          <cell r="D10"/>
          <cell r="E10"/>
          <cell r="F10" t="str">
            <v>13</v>
          </cell>
          <cell r="G10"/>
          <cell r="H10">
            <v>2855</v>
          </cell>
          <cell r="I10"/>
          <cell r="J10">
            <v>1.3643379735160733E-2</v>
          </cell>
          <cell r="K10"/>
          <cell r="L10">
            <v>37445</v>
          </cell>
          <cell r="M10"/>
          <cell r="N10">
            <v>2.4326276796584383E-2</v>
          </cell>
          <cell r="O10"/>
          <cell r="P10">
            <v>1458</v>
          </cell>
          <cell r="Q10"/>
          <cell r="R10"/>
          <cell r="S10">
            <v>19407</v>
          </cell>
          <cell r="T10"/>
          <cell r="U10"/>
          <cell r="V10">
            <v>7</v>
          </cell>
          <cell r="W10"/>
          <cell r="X10"/>
          <cell r="Y10"/>
          <cell r="Z10"/>
          <cell r="AA10"/>
          <cell r="AB10"/>
          <cell r="AC10"/>
          <cell r="AD10"/>
          <cell r="AE10"/>
          <cell r="AF10"/>
          <cell r="AG10"/>
          <cell r="AH10"/>
          <cell r="AI10"/>
          <cell r="AJ10"/>
          <cell r="AK10"/>
          <cell r="AL10"/>
        </row>
        <row r="11">
          <cell r="A11">
            <v>8</v>
          </cell>
          <cell r="B11" t="str">
            <v>Policy Work - Vehicles</v>
          </cell>
          <cell r="C11"/>
          <cell r="D11"/>
          <cell r="E11"/>
          <cell r="F11" t="str">
            <v>14</v>
          </cell>
          <cell r="G11"/>
          <cell r="H11">
            <v>170</v>
          </cell>
          <cell r="I11"/>
          <cell r="J11">
            <v>8.1239038703233789E-4</v>
          </cell>
          <cell r="K11"/>
          <cell r="L11">
            <v>2048</v>
          </cell>
          <cell r="M11"/>
          <cell r="N11">
            <v>1.3304904494433119E-3</v>
          </cell>
          <cell r="O11"/>
          <cell r="P11">
            <v>170</v>
          </cell>
          <cell r="Q11"/>
          <cell r="R11"/>
          <cell r="S11">
            <v>1107</v>
          </cell>
          <cell r="T11"/>
          <cell r="U11"/>
          <cell r="V11">
            <v>8</v>
          </cell>
          <cell r="W11"/>
          <cell r="X11"/>
          <cell r="Y11"/>
          <cell r="Z11"/>
          <cell r="AA11"/>
          <cell r="AB11"/>
          <cell r="AC11"/>
          <cell r="AD11"/>
          <cell r="AE11"/>
          <cell r="AF11"/>
          <cell r="AG11"/>
          <cell r="AH11"/>
          <cell r="AI11"/>
          <cell r="AJ11"/>
          <cell r="AK11"/>
          <cell r="AL11"/>
        </row>
        <row r="12">
          <cell r="A12">
            <v>9</v>
          </cell>
          <cell r="B12" t="str">
            <v>Interest - Floor Planning</v>
          </cell>
          <cell r="C12"/>
          <cell r="D12"/>
          <cell r="E12"/>
          <cell r="F12" t="str">
            <v>15</v>
          </cell>
          <cell r="G12"/>
          <cell r="H12">
            <v>4415</v>
          </cell>
          <cell r="I12"/>
          <cell r="J12">
            <v>2.1098256227928072E-2</v>
          </cell>
          <cell r="K12"/>
          <cell r="L12">
            <v>5587</v>
          </cell>
          <cell r="M12"/>
          <cell r="N12">
            <v>3.6296143266795816E-3</v>
          </cell>
          <cell r="O12"/>
          <cell r="P12">
            <v>3003</v>
          </cell>
          <cell r="Q12"/>
          <cell r="R12"/>
          <cell r="S12">
            <v>-1530</v>
          </cell>
          <cell r="T12"/>
          <cell r="U12"/>
          <cell r="V12">
            <v>9</v>
          </cell>
          <cell r="W12"/>
          <cell r="X12"/>
          <cell r="Y12"/>
          <cell r="Z12"/>
          <cell r="AA12"/>
          <cell r="AB12"/>
          <cell r="AC12"/>
          <cell r="AD12"/>
          <cell r="AE12"/>
          <cell r="AF12"/>
          <cell r="AG12"/>
          <cell r="AH12"/>
          <cell r="AI12"/>
          <cell r="AJ12"/>
          <cell r="AK12"/>
          <cell r="AL12"/>
        </row>
        <row r="13">
          <cell r="A13">
            <v>10</v>
          </cell>
          <cell r="B13" t="str">
            <v>Demonstrator Expense</v>
          </cell>
          <cell r="C13"/>
          <cell r="D13"/>
          <cell r="E13"/>
          <cell r="F13" t="str">
            <v>16</v>
          </cell>
          <cell r="G13"/>
          <cell r="H13">
            <v>0</v>
          </cell>
          <cell r="I13"/>
          <cell r="J13" t="str">
            <v>-</v>
          </cell>
          <cell r="K13"/>
          <cell r="L13">
            <v>0</v>
          </cell>
          <cell r="M13"/>
          <cell r="N13" t="str">
            <v>-</v>
          </cell>
          <cell r="O13"/>
          <cell r="P13">
            <v>0</v>
          </cell>
          <cell r="Q13"/>
          <cell r="R13"/>
          <cell r="S13">
            <v>0</v>
          </cell>
          <cell r="T13"/>
          <cell r="U13"/>
          <cell r="V13">
            <v>10</v>
          </cell>
          <cell r="W13"/>
          <cell r="X13"/>
          <cell r="Y13"/>
          <cell r="Z13"/>
          <cell r="AA13"/>
          <cell r="AB13"/>
          <cell r="AC13"/>
          <cell r="AD13"/>
          <cell r="AE13"/>
          <cell r="AF13"/>
          <cell r="AG13"/>
          <cell r="AH13"/>
          <cell r="AI13"/>
          <cell r="AJ13"/>
          <cell r="AK13"/>
          <cell r="AL13"/>
        </row>
        <row r="14">
          <cell r="A14">
            <v>11</v>
          </cell>
          <cell r="B14" t="str">
            <v>Used Vehicle Maintenance Expense</v>
          </cell>
          <cell r="C14"/>
          <cell r="D14"/>
          <cell r="E14"/>
          <cell r="F14" t="str">
            <v>17</v>
          </cell>
          <cell r="G14"/>
          <cell r="H14">
            <v>0</v>
          </cell>
          <cell r="I14"/>
          <cell r="J14" t="str">
            <v>-</v>
          </cell>
          <cell r="K14"/>
          <cell r="L14">
            <v>0</v>
          </cell>
          <cell r="M14"/>
          <cell r="N14" t="str">
            <v>-</v>
          </cell>
          <cell r="O14"/>
          <cell r="P14"/>
          <cell r="Q14"/>
          <cell r="R14"/>
          <cell r="S14"/>
          <cell r="T14"/>
          <cell r="U14"/>
          <cell r="V14">
            <v>11</v>
          </cell>
          <cell r="W14"/>
          <cell r="X14"/>
          <cell r="Y14"/>
          <cell r="Z14"/>
          <cell r="AA14"/>
          <cell r="AB14"/>
          <cell r="AC14"/>
          <cell r="AD14"/>
          <cell r="AE14"/>
          <cell r="AF14"/>
          <cell r="AG14"/>
          <cell r="AH14"/>
          <cell r="AI14"/>
          <cell r="AJ14"/>
          <cell r="AK14"/>
          <cell r="AL14"/>
        </row>
        <row r="15">
          <cell r="A15">
            <v>12</v>
          </cell>
          <cell r="B15" t="str">
            <v>TOTAL VARIABLE SELLING EXPENSE    (lines 5 to 11 )</v>
          </cell>
          <cell r="C15"/>
          <cell r="D15"/>
          <cell r="E15"/>
          <cell r="F15"/>
          <cell r="G15"/>
          <cell r="H15">
            <v>62580</v>
          </cell>
          <cell r="I15"/>
          <cell r="J15">
            <v>0.29905523776755122</v>
          </cell>
          <cell r="K15"/>
          <cell r="L15">
            <v>341629</v>
          </cell>
          <cell r="M15"/>
          <cell r="N15">
            <v>0.22194048913714315</v>
          </cell>
          <cell r="O15"/>
          <cell r="P15">
            <v>45122</v>
          </cell>
          <cell r="Q15"/>
          <cell r="R15"/>
          <cell r="S15">
            <v>236621</v>
          </cell>
          <cell r="T15"/>
          <cell r="U15"/>
          <cell r="V15">
            <v>12</v>
          </cell>
          <cell r="W15"/>
          <cell r="X15"/>
          <cell r="Y15"/>
          <cell r="Z15"/>
          <cell r="AA15"/>
          <cell r="AB15"/>
          <cell r="AC15"/>
          <cell r="AD15"/>
          <cell r="AE15"/>
          <cell r="AF15"/>
          <cell r="AG15"/>
          <cell r="AH15"/>
          <cell r="AI15"/>
          <cell r="AJ15"/>
          <cell r="AK15"/>
          <cell r="AL15"/>
        </row>
        <row r="16">
          <cell r="A16">
            <v>13</v>
          </cell>
          <cell r="B16" t="str">
            <v>FIXED OVERHEAD EXPENSES</v>
          </cell>
          <cell r="C16"/>
          <cell r="D16"/>
          <cell r="E16"/>
          <cell r="F16"/>
          <cell r="G16"/>
          <cell r="H16"/>
          <cell r="I16"/>
          <cell r="J16"/>
          <cell r="K16"/>
          <cell r="L16"/>
          <cell r="M16"/>
          <cell r="N16"/>
          <cell r="O16"/>
          <cell r="P16"/>
          <cell r="Q16"/>
          <cell r="R16"/>
          <cell r="S16"/>
          <cell r="T16"/>
          <cell r="U16"/>
          <cell r="V16">
            <v>13</v>
          </cell>
          <cell r="W16"/>
          <cell r="X16"/>
          <cell r="Y16"/>
          <cell r="Z16"/>
          <cell r="AA16"/>
          <cell r="AB16"/>
          <cell r="AC16"/>
          <cell r="AD16"/>
          <cell r="AE16"/>
          <cell r="AF16"/>
          <cell r="AG16"/>
          <cell r="AH16"/>
          <cell r="AI16"/>
          <cell r="AJ16"/>
          <cell r="AK16"/>
          <cell r="AL16"/>
        </row>
        <row r="17">
          <cell r="A17">
            <v>14</v>
          </cell>
          <cell r="B17" t="str">
            <v>Salaries - Owners/General Managers</v>
          </cell>
          <cell r="C17"/>
          <cell r="D17"/>
          <cell r="E17"/>
          <cell r="F17" t="str">
            <v>20</v>
          </cell>
          <cell r="G17"/>
          <cell r="H17">
            <v>0</v>
          </cell>
          <cell r="I17"/>
          <cell r="J17" t="str">
            <v>-</v>
          </cell>
          <cell r="K17"/>
          <cell r="L17">
            <v>30550</v>
          </cell>
          <cell r="M17"/>
          <cell r="N17">
            <v>1.9846915639889245E-2</v>
          </cell>
          <cell r="O17"/>
          <cell r="P17">
            <v>0</v>
          </cell>
          <cell r="Q17"/>
          <cell r="R17"/>
          <cell r="S17">
            <v>12220</v>
          </cell>
          <cell r="T17"/>
          <cell r="U17"/>
          <cell r="V17">
            <v>14</v>
          </cell>
          <cell r="W17"/>
          <cell r="X17"/>
          <cell r="Y17"/>
          <cell r="Z17"/>
          <cell r="AA17"/>
          <cell r="AB17"/>
          <cell r="AC17"/>
          <cell r="AD17"/>
          <cell r="AE17"/>
          <cell r="AF17"/>
          <cell r="AG17"/>
          <cell r="AH17"/>
          <cell r="AI17"/>
          <cell r="AJ17"/>
          <cell r="AK17"/>
          <cell r="AL17"/>
        </row>
        <row r="18">
          <cell r="A18">
            <v>15</v>
          </cell>
          <cell r="B18" t="str">
            <v>Salaries - Supervision</v>
          </cell>
          <cell r="C18"/>
          <cell r="D18"/>
          <cell r="E18"/>
          <cell r="F18" t="str">
            <v>21</v>
          </cell>
          <cell r="G18"/>
          <cell r="H18">
            <v>51011</v>
          </cell>
          <cell r="I18"/>
          <cell r="J18">
            <v>0.24376968254650935</v>
          </cell>
          <cell r="K18"/>
          <cell r="L18">
            <v>319104</v>
          </cell>
          <cell r="M18"/>
          <cell r="N18">
            <v>0.20730704315388604</v>
          </cell>
          <cell r="O18"/>
          <cell r="P18">
            <v>18500</v>
          </cell>
          <cell r="Q18"/>
          <cell r="R18"/>
          <cell r="S18">
            <v>128603</v>
          </cell>
          <cell r="T18"/>
          <cell r="U18"/>
          <cell r="V18">
            <v>15</v>
          </cell>
          <cell r="W18"/>
          <cell r="X18"/>
          <cell r="Y18"/>
          <cell r="Z18"/>
          <cell r="AA18"/>
          <cell r="AB18"/>
          <cell r="AC18"/>
          <cell r="AD18"/>
          <cell r="AE18"/>
          <cell r="AF18"/>
          <cell r="AG18"/>
          <cell r="AH18"/>
          <cell r="AI18"/>
          <cell r="AJ18"/>
          <cell r="AK18"/>
          <cell r="AL18"/>
        </row>
        <row r="19">
          <cell r="A19">
            <v>16</v>
          </cell>
          <cell r="B19" t="str">
            <v>Salaries - Clerical</v>
          </cell>
          <cell r="C19"/>
          <cell r="D19"/>
          <cell r="E19"/>
          <cell r="F19" t="str">
            <v>22</v>
          </cell>
          <cell r="G19"/>
          <cell r="H19">
            <v>24317</v>
          </cell>
          <cell r="I19"/>
          <cell r="J19">
            <v>0.11620527671450212</v>
          </cell>
          <cell r="K19"/>
          <cell r="L19">
            <v>132717</v>
          </cell>
          <cell r="M19"/>
          <cell r="N19">
            <v>8.6220068837289068E-2</v>
          </cell>
          <cell r="O19"/>
          <cell r="P19">
            <v>24317</v>
          </cell>
          <cell r="Q19"/>
          <cell r="R19"/>
          <cell r="S19">
            <v>132217</v>
          </cell>
          <cell r="T19"/>
          <cell r="U19"/>
          <cell r="V19">
            <v>16</v>
          </cell>
          <cell r="W19"/>
          <cell r="X19"/>
          <cell r="Y19"/>
          <cell r="Z19"/>
          <cell r="AA19"/>
          <cell r="AB19"/>
          <cell r="AC19"/>
          <cell r="AD19"/>
          <cell r="AE19"/>
          <cell r="AF19"/>
          <cell r="AG19"/>
          <cell r="AH19"/>
          <cell r="AI19"/>
          <cell r="AJ19"/>
          <cell r="AK19"/>
          <cell r="AL19"/>
        </row>
        <row r="20">
          <cell r="A20">
            <v>17</v>
          </cell>
          <cell r="B20" t="str">
            <v>Other Salaries and Wages</v>
          </cell>
          <cell r="C20"/>
          <cell r="D20"/>
          <cell r="E20"/>
          <cell r="F20" t="str">
            <v>23</v>
          </cell>
          <cell r="G20"/>
          <cell r="H20">
            <v>24315</v>
          </cell>
          <cell r="I20"/>
          <cell r="J20">
            <v>0.11619571918053703</v>
          </cell>
          <cell r="K20"/>
          <cell r="L20">
            <v>139363</v>
          </cell>
          <cell r="M20"/>
          <cell r="N20">
            <v>9.0537666262582167E-2</v>
          </cell>
          <cell r="O20"/>
          <cell r="P20">
            <v>486</v>
          </cell>
          <cell r="Q20"/>
          <cell r="R20"/>
          <cell r="S20">
            <v>3251</v>
          </cell>
          <cell r="T20"/>
          <cell r="U20"/>
          <cell r="V20">
            <v>17</v>
          </cell>
          <cell r="W20"/>
          <cell r="X20"/>
          <cell r="Y20"/>
          <cell r="Z20"/>
          <cell r="AA20"/>
          <cell r="AB20"/>
          <cell r="AC20"/>
          <cell r="AD20"/>
          <cell r="AE20"/>
          <cell r="AF20"/>
          <cell r="AG20"/>
          <cell r="AH20"/>
          <cell r="AI20"/>
          <cell r="AJ20"/>
          <cell r="AK20"/>
          <cell r="AL20"/>
        </row>
        <row r="21">
          <cell r="A21">
            <v>18</v>
          </cell>
          <cell r="B21" t="str">
            <v>Leave - Vacation, Sick &amp; Holiday Compensation</v>
          </cell>
          <cell r="C21"/>
          <cell r="D21"/>
          <cell r="E21"/>
          <cell r="F21" t="str">
            <v>24</v>
          </cell>
          <cell r="G21"/>
          <cell r="H21">
            <v>2206</v>
          </cell>
          <cell r="I21"/>
          <cell r="J21">
            <v>1.054195996349022E-2</v>
          </cell>
          <cell r="K21"/>
          <cell r="L21">
            <v>21819</v>
          </cell>
          <cell r="M21"/>
          <cell r="N21">
            <v>1.4174790584181456E-2</v>
          </cell>
          <cell r="O21"/>
          <cell r="P21">
            <v>1320</v>
          </cell>
          <cell r="Q21"/>
          <cell r="R21"/>
          <cell r="S21">
            <v>5551</v>
          </cell>
          <cell r="T21"/>
          <cell r="U21"/>
          <cell r="V21">
            <v>18</v>
          </cell>
          <cell r="W21"/>
          <cell r="X21"/>
          <cell r="Y21"/>
          <cell r="Z21"/>
          <cell r="AA21"/>
          <cell r="AB21"/>
          <cell r="AC21"/>
          <cell r="AD21"/>
          <cell r="AE21"/>
          <cell r="AF21"/>
          <cell r="AG21"/>
          <cell r="AH21"/>
          <cell r="AI21"/>
          <cell r="AJ21"/>
          <cell r="AK21"/>
          <cell r="AL21"/>
        </row>
        <row r="22">
          <cell r="A22">
            <v>19</v>
          </cell>
          <cell r="B22" t="str">
            <v>Employee Benefits</v>
          </cell>
          <cell r="C22"/>
          <cell r="D22"/>
          <cell r="E22"/>
          <cell r="F22" t="str">
            <v>25</v>
          </cell>
          <cell r="G22"/>
          <cell r="H22">
            <v>8250</v>
          </cell>
          <cell r="I22"/>
          <cell r="J22">
            <v>3.9424827605981108E-2</v>
          </cell>
          <cell r="K22"/>
          <cell r="L22">
            <v>25642</v>
          </cell>
          <cell r="M22"/>
          <cell r="N22">
            <v>1.6658416066711621E-2</v>
          </cell>
          <cell r="O22"/>
          <cell r="P22">
            <v>2915</v>
          </cell>
          <cell r="Q22"/>
          <cell r="R22"/>
          <cell r="S22">
            <v>9259</v>
          </cell>
          <cell r="T22"/>
          <cell r="U22"/>
          <cell r="V22">
            <v>19</v>
          </cell>
          <cell r="W22"/>
          <cell r="X22"/>
          <cell r="Y22"/>
          <cell r="Z22"/>
          <cell r="AA22"/>
          <cell r="AB22"/>
          <cell r="AC22"/>
          <cell r="AD22"/>
          <cell r="AE22"/>
          <cell r="AF22"/>
          <cell r="AG22"/>
          <cell r="AH22"/>
          <cell r="AI22"/>
          <cell r="AJ22"/>
          <cell r="AK22"/>
          <cell r="AL22"/>
        </row>
        <row r="23">
          <cell r="A23">
            <v>20</v>
          </cell>
          <cell r="B23" t="str">
            <v>Worker's Compensation</v>
          </cell>
          <cell r="C23"/>
          <cell r="D23"/>
          <cell r="E23"/>
          <cell r="F23" t="str">
            <v>28</v>
          </cell>
          <cell r="G23"/>
          <cell r="H23">
            <v>1969</v>
          </cell>
          <cell r="I23"/>
          <cell r="J23">
            <v>9.4093921886274912E-3</v>
          </cell>
          <cell r="K23"/>
          <cell r="L23">
            <v>9042</v>
          </cell>
          <cell r="M23"/>
          <cell r="N23">
            <v>5.8741673065754035E-3</v>
          </cell>
          <cell r="O23"/>
          <cell r="P23">
            <v>650</v>
          </cell>
          <cell r="Q23"/>
          <cell r="R23"/>
          <cell r="S23">
            <v>3046</v>
          </cell>
          <cell r="T23"/>
          <cell r="U23"/>
          <cell r="V23">
            <v>20</v>
          </cell>
          <cell r="W23"/>
          <cell r="X23"/>
          <cell r="Y23"/>
          <cell r="Z23"/>
          <cell r="AA23"/>
          <cell r="AB23"/>
          <cell r="AC23"/>
          <cell r="AD23"/>
          <cell r="AE23"/>
          <cell r="AF23"/>
          <cell r="AG23"/>
          <cell r="AH23"/>
          <cell r="AI23"/>
          <cell r="AJ23"/>
          <cell r="AK23"/>
          <cell r="AL23"/>
        </row>
        <row r="24">
          <cell r="A24">
            <v>21</v>
          </cell>
          <cell r="B24" t="str">
            <v>Pension &amp; Profit Sharing</v>
          </cell>
          <cell r="C24"/>
          <cell r="D24"/>
          <cell r="E24"/>
          <cell r="F24" t="str">
            <v>26</v>
          </cell>
          <cell r="G24"/>
          <cell r="H24">
            <v>642</v>
          </cell>
          <cell r="I24"/>
          <cell r="J24">
            <v>3.0679684027927114E-3</v>
          </cell>
          <cell r="K24"/>
          <cell r="L24">
            <v>4170</v>
          </cell>
          <cell r="M24"/>
          <cell r="N24">
            <v>2.7090552608293999E-3</v>
          </cell>
          <cell r="O24"/>
          <cell r="P24">
            <v>113</v>
          </cell>
          <cell r="Q24"/>
          <cell r="R24"/>
          <cell r="S24">
            <v>1136</v>
          </cell>
          <cell r="T24"/>
          <cell r="U24"/>
          <cell r="V24">
            <v>21</v>
          </cell>
          <cell r="W24"/>
          <cell r="X24"/>
          <cell r="Y24"/>
          <cell r="Z24"/>
          <cell r="AA24"/>
          <cell r="AB24"/>
          <cell r="AC24"/>
          <cell r="AD24"/>
          <cell r="AE24"/>
          <cell r="AF24"/>
          <cell r="AG24"/>
          <cell r="AH24"/>
          <cell r="AI24"/>
          <cell r="AJ24"/>
          <cell r="AK24"/>
          <cell r="AL24"/>
        </row>
        <row r="25">
          <cell r="A25">
            <v>22</v>
          </cell>
          <cell r="B25" t="str">
            <v>Taxes Payroll</v>
          </cell>
          <cell r="C25"/>
          <cell r="D25"/>
          <cell r="E25"/>
          <cell r="F25" t="str">
            <v>27</v>
          </cell>
          <cell r="G25"/>
          <cell r="H25">
            <v>14753</v>
          </cell>
          <cell r="I25"/>
          <cell r="J25">
            <v>7.0501149293459298E-2</v>
          </cell>
          <cell r="K25"/>
          <cell r="L25">
            <v>92803</v>
          </cell>
          <cell r="M25"/>
          <cell r="N25">
            <v>6.0289797451019374E-2</v>
          </cell>
          <cell r="O25"/>
          <cell r="P25">
            <v>8829</v>
          </cell>
          <cell r="Q25"/>
          <cell r="R25"/>
          <cell r="S25">
            <v>50625</v>
          </cell>
          <cell r="T25"/>
          <cell r="U25"/>
          <cell r="V25">
            <v>22</v>
          </cell>
          <cell r="W25"/>
          <cell r="X25"/>
          <cell r="Y25"/>
          <cell r="Z25"/>
          <cell r="AA25"/>
          <cell r="AB25"/>
          <cell r="AC25"/>
          <cell r="AD25"/>
          <cell r="AE25"/>
          <cell r="AF25"/>
          <cell r="AG25"/>
          <cell r="AH25"/>
          <cell r="AI25"/>
          <cell r="AJ25"/>
          <cell r="AK25"/>
          <cell r="AL25"/>
        </row>
        <row r="26">
          <cell r="A26">
            <v>23</v>
          </cell>
          <cell r="B26" t="str">
            <v>TOTAL SALARIES AND WAGES             (lines 14 to 22 )</v>
          </cell>
          <cell r="C26"/>
          <cell r="D26"/>
          <cell r="E26"/>
          <cell r="F26"/>
          <cell r="G26"/>
          <cell r="H26">
            <v>127463</v>
          </cell>
          <cell r="I26"/>
          <cell r="J26">
            <v>0.60911597589589939</v>
          </cell>
          <cell r="K26"/>
          <cell r="L26">
            <v>775210</v>
          </cell>
          <cell r="M26"/>
          <cell r="N26">
            <v>0.50361792056296373</v>
          </cell>
          <cell r="O26"/>
          <cell r="P26">
            <v>57130</v>
          </cell>
          <cell r="Q26"/>
          <cell r="R26"/>
          <cell r="S26">
            <v>345908</v>
          </cell>
          <cell r="T26"/>
          <cell r="U26"/>
          <cell r="V26">
            <v>23</v>
          </cell>
          <cell r="W26"/>
          <cell r="X26"/>
          <cell r="Y26"/>
          <cell r="Z26"/>
          <cell r="AA26"/>
          <cell r="AB26"/>
          <cell r="AC26"/>
          <cell r="AD26"/>
          <cell r="AE26"/>
          <cell r="AF26"/>
          <cell r="AG26"/>
          <cell r="AH26"/>
          <cell r="AI26"/>
          <cell r="AJ26"/>
          <cell r="AK26"/>
          <cell r="AL26"/>
        </row>
        <row r="27">
          <cell r="A27">
            <v>24</v>
          </cell>
          <cell r="B27" t="str">
            <v>Advertising Expense - Hyundai Print, TV, Other</v>
          </cell>
          <cell r="C27"/>
          <cell r="D27"/>
          <cell r="E27"/>
          <cell r="F27" t="str">
            <v>46</v>
          </cell>
          <cell r="G27"/>
          <cell r="H27">
            <v>1512</v>
          </cell>
          <cell r="I27"/>
          <cell r="J27">
            <v>7.2254956776052646E-3</v>
          </cell>
          <cell r="K27"/>
          <cell r="L27">
            <v>19732</v>
          </cell>
          <cell r="M27"/>
          <cell r="N27">
            <v>1.2818963646687222E-2</v>
          </cell>
          <cell r="O27"/>
          <cell r="P27">
            <v>517</v>
          </cell>
          <cell r="Q27"/>
          <cell r="R27"/>
          <cell r="S27">
            <v>517</v>
          </cell>
          <cell r="T27"/>
          <cell r="U27"/>
          <cell r="V27">
            <v>24</v>
          </cell>
          <cell r="W27"/>
          <cell r="X27"/>
          <cell r="Y27"/>
          <cell r="Z27"/>
          <cell r="AA27"/>
          <cell r="AB27"/>
          <cell r="AC27"/>
          <cell r="AD27"/>
          <cell r="AE27"/>
          <cell r="AF27"/>
          <cell r="AG27"/>
          <cell r="AH27"/>
          <cell r="AI27"/>
          <cell r="AJ27"/>
          <cell r="AK27"/>
          <cell r="AL27"/>
        </row>
        <row r="28">
          <cell r="A28">
            <v>25</v>
          </cell>
          <cell r="B28" t="str">
            <v>Advertising Expense - Hyundai Internet Only</v>
          </cell>
          <cell r="C28"/>
          <cell r="D28"/>
          <cell r="E28"/>
          <cell r="F28" t="str">
            <v>47</v>
          </cell>
          <cell r="G28"/>
          <cell r="H28">
            <v>26329</v>
          </cell>
          <cell r="I28"/>
          <cell r="J28">
            <v>0.12582015588337897</v>
          </cell>
          <cell r="K28"/>
          <cell r="L28">
            <v>85913</v>
          </cell>
          <cell r="M28"/>
          <cell r="N28">
            <v>5.5813684562023076E-2</v>
          </cell>
          <cell r="O28"/>
          <cell r="P28">
            <v>21679</v>
          </cell>
          <cell r="Q28"/>
          <cell r="R28"/>
          <cell r="S28">
            <v>53936</v>
          </cell>
          <cell r="T28"/>
          <cell r="U28"/>
          <cell r="V28">
            <v>25</v>
          </cell>
          <cell r="W28"/>
          <cell r="X28"/>
          <cell r="Y28"/>
          <cell r="Z28"/>
          <cell r="AA28"/>
          <cell r="AB28"/>
          <cell r="AC28"/>
          <cell r="AD28"/>
          <cell r="AE28"/>
          <cell r="AF28"/>
          <cell r="AG28"/>
          <cell r="AH28"/>
          <cell r="AI28"/>
          <cell r="AJ28"/>
          <cell r="AK28"/>
          <cell r="AL28"/>
        </row>
        <row r="29">
          <cell r="A29">
            <v>26</v>
          </cell>
          <cell r="B29" t="str">
            <v>Less Advertising Support from Hyundai</v>
          </cell>
          <cell r="C29"/>
          <cell r="D29"/>
          <cell r="E29"/>
          <cell r="F29" t="str">
            <v>48</v>
          </cell>
          <cell r="G29"/>
          <cell r="H29">
            <v>0</v>
          </cell>
          <cell r="I29"/>
          <cell r="J29" t="str">
            <v>-</v>
          </cell>
          <cell r="K29"/>
          <cell r="L29">
            <v>0</v>
          </cell>
          <cell r="M29"/>
          <cell r="N29" t="str">
            <v>-</v>
          </cell>
          <cell r="O29"/>
          <cell r="P29">
            <v>0</v>
          </cell>
          <cell r="Q29"/>
          <cell r="R29"/>
          <cell r="S29">
            <v>0</v>
          </cell>
          <cell r="T29"/>
          <cell r="U29"/>
          <cell r="V29">
            <v>26</v>
          </cell>
          <cell r="W29"/>
          <cell r="X29"/>
          <cell r="Y29"/>
          <cell r="Z29"/>
          <cell r="AA29"/>
          <cell r="AB29"/>
          <cell r="AC29"/>
          <cell r="AD29"/>
          <cell r="AE29"/>
          <cell r="AF29"/>
          <cell r="AG29"/>
          <cell r="AH29"/>
          <cell r="AI29"/>
          <cell r="AJ29"/>
          <cell r="AK29"/>
          <cell r="AL29"/>
        </row>
        <row r="30">
          <cell r="A30">
            <v>27</v>
          </cell>
          <cell r="B30" t="str">
            <v>Advertising - Other Franchise(s)</v>
          </cell>
          <cell r="C30"/>
          <cell r="D30"/>
          <cell r="E30"/>
          <cell r="F30" t="str">
            <v>49</v>
          </cell>
          <cell r="G30"/>
          <cell r="H30">
            <v>12522</v>
          </cell>
          <cell r="I30"/>
          <cell r="J30">
            <v>5.98397201554055E-2</v>
          </cell>
          <cell r="K30"/>
          <cell r="L30">
            <v>142085</v>
          </cell>
          <cell r="M30"/>
          <cell r="N30">
            <v>9.2306023197828602E-2</v>
          </cell>
          <cell r="O30"/>
          <cell r="P30">
            <v>10530</v>
          </cell>
          <cell r="Q30"/>
          <cell r="R30"/>
          <cell r="S30">
            <v>85224</v>
          </cell>
          <cell r="T30"/>
          <cell r="U30"/>
          <cell r="V30">
            <v>27</v>
          </cell>
          <cell r="W30"/>
          <cell r="X30"/>
          <cell r="Y30"/>
          <cell r="Z30"/>
          <cell r="AA30"/>
          <cell r="AB30"/>
          <cell r="AC30"/>
          <cell r="AD30"/>
          <cell r="AE30"/>
          <cell r="AF30"/>
          <cell r="AG30"/>
          <cell r="AH30"/>
          <cell r="AI30"/>
          <cell r="AJ30"/>
          <cell r="AK30"/>
          <cell r="AL30"/>
        </row>
        <row r="31">
          <cell r="A31">
            <v>28</v>
          </cell>
          <cell r="B31" t="str">
            <v>Training</v>
          </cell>
          <cell r="C31"/>
          <cell r="D31"/>
          <cell r="E31"/>
          <cell r="F31" t="str">
            <v>50</v>
          </cell>
          <cell r="G31"/>
          <cell r="H31">
            <v>368</v>
          </cell>
          <cell r="I31"/>
          <cell r="J31">
            <v>1.7585862495758844E-3</v>
          </cell>
          <cell r="K31"/>
          <cell r="L31">
            <v>6890</v>
          </cell>
          <cell r="M31"/>
          <cell r="N31">
            <v>4.4761128889962984E-3</v>
          </cell>
          <cell r="O31"/>
          <cell r="P31">
            <v>65</v>
          </cell>
          <cell r="Q31"/>
          <cell r="R31"/>
          <cell r="S31">
            <v>3327</v>
          </cell>
          <cell r="T31"/>
          <cell r="U31"/>
          <cell r="V31">
            <v>28</v>
          </cell>
          <cell r="W31"/>
          <cell r="X31"/>
          <cell r="Y31"/>
          <cell r="Z31"/>
          <cell r="AA31"/>
          <cell r="AB31"/>
          <cell r="AC31"/>
          <cell r="AD31"/>
          <cell r="AE31"/>
          <cell r="AF31"/>
          <cell r="AG31"/>
          <cell r="AH31"/>
          <cell r="AI31"/>
          <cell r="AJ31"/>
          <cell r="AK31"/>
          <cell r="AL31"/>
        </row>
        <row r="32">
          <cell r="A32">
            <v>29</v>
          </cell>
          <cell r="B32" t="str">
            <v>Company Vehicle Expense</v>
          </cell>
          <cell r="C32"/>
          <cell r="D32"/>
          <cell r="E32"/>
          <cell r="F32" t="str">
            <v>51</v>
          </cell>
          <cell r="G32"/>
          <cell r="H32">
            <v>-211</v>
          </cell>
          <cell r="I32"/>
          <cell r="J32">
            <v>-1.0083198333166077E-3</v>
          </cell>
          <cell r="K32"/>
          <cell r="L32">
            <v>2900</v>
          </cell>
          <cell r="M32"/>
          <cell r="N32">
            <v>1.8839952653250023E-3</v>
          </cell>
          <cell r="O32"/>
          <cell r="P32">
            <v>0</v>
          </cell>
          <cell r="Q32"/>
          <cell r="R32"/>
          <cell r="S32">
            <v>1516</v>
          </cell>
          <cell r="T32"/>
          <cell r="U32"/>
          <cell r="V32">
            <v>29</v>
          </cell>
          <cell r="W32"/>
          <cell r="X32"/>
          <cell r="Y32"/>
          <cell r="Z32"/>
          <cell r="AA32"/>
          <cell r="AB32"/>
          <cell r="AC32"/>
          <cell r="AD32"/>
          <cell r="AE32"/>
          <cell r="AF32"/>
          <cell r="AG32"/>
          <cell r="AH32"/>
          <cell r="AI32"/>
          <cell r="AJ32"/>
          <cell r="AK32"/>
          <cell r="AL32"/>
        </row>
        <row r="33">
          <cell r="A33">
            <v>30</v>
          </cell>
          <cell r="B33" t="str">
            <v>Stationery, Office Supplies &amp; Postage</v>
          </cell>
          <cell r="C33"/>
          <cell r="D33"/>
          <cell r="E33"/>
          <cell r="F33" t="str">
            <v>60</v>
          </cell>
          <cell r="G33"/>
          <cell r="H33">
            <v>3149</v>
          </cell>
          <cell r="I33"/>
          <cell r="J33">
            <v>1.5048337228028424E-2</v>
          </cell>
          <cell r="K33"/>
          <cell r="L33">
            <v>20549</v>
          </cell>
          <cell r="M33"/>
          <cell r="N33">
            <v>1.3349730588677059E-2</v>
          </cell>
          <cell r="O33"/>
          <cell r="P33">
            <v>1371</v>
          </cell>
          <cell r="Q33"/>
          <cell r="R33"/>
          <cell r="S33">
            <v>7856</v>
          </cell>
          <cell r="T33"/>
          <cell r="U33"/>
          <cell r="V33">
            <v>30</v>
          </cell>
          <cell r="W33"/>
          <cell r="X33"/>
          <cell r="Y33"/>
          <cell r="Z33"/>
          <cell r="AA33"/>
          <cell r="AB33"/>
          <cell r="AC33"/>
          <cell r="AD33"/>
          <cell r="AE33"/>
          <cell r="AF33"/>
          <cell r="AG33"/>
          <cell r="AH33"/>
          <cell r="AI33"/>
          <cell r="AJ33"/>
          <cell r="AK33"/>
          <cell r="AL33"/>
        </row>
        <row r="34">
          <cell r="A34">
            <v>31</v>
          </cell>
          <cell r="B34" t="str">
            <v>Small Tools &amp; Other Supplies</v>
          </cell>
          <cell r="C34"/>
          <cell r="D34"/>
          <cell r="E34"/>
          <cell r="F34" t="str">
            <v>61</v>
          </cell>
          <cell r="G34"/>
          <cell r="H34">
            <v>4098</v>
          </cell>
          <cell r="I34"/>
          <cell r="J34">
            <v>1.9583387094461887E-2</v>
          </cell>
          <cell r="K34"/>
          <cell r="L34">
            <v>7815</v>
          </cell>
          <cell r="M34"/>
          <cell r="N34">
            <v>5.0770424132809975E-3</v>
          </cell>
          <cell r="O34"/>
          <cell r="P34">
            <v>1630</v>
          </cell>
          <cell r="Q34"/>
          <cell r="R34"/>
          <cell r="S34">
            <v>23433</v>
          </cell>
          <cell r="T34"/>
          <cell r="U34"/>
          <cell r="V34">
            <v>31</v>
          </cell>
          <cell r="W34"/>
          <cell r="X34"/>
          <cell r="Y34"/>
          <cell r="Z34"/>
          <cell r="AA34"/>
          <cell r="AB34"/>
          <cell r="AC34"/>
          <cell r="AD34"/>
          <cell r="AE34"/>
          <cell r="AF34"/>
          <cell r="AG34"/>
          <cell r="AH34"/>
          <cell r="AI34"/>
          <cell r="AJ34"/>
          <cell r="AK34"/>
          <cell r="AL34"/>
        </row>
        <row r="35">
          <cell r="A35">
            <v>32</v>
          </cell>
          <cell r="B35" t="str">
            <v>Contributions</v>
          </cell>
          <cell r="C35"/>
          <cell r="D35"/>
          <cell r="E35"/>
          <cell r="F35" t="str">
            <v>66</v>
          </cell>
          <cell r="G35"/>
          <cell r="H35">
            <v>500</v>
          </cell>
          <cell r="I35"/>
          <cell r="J35">
            <v>2.3893834912715821E-3</v>
          </cell>
          <cell r="K35"/>
          <cell r="L35">
            <v>500</v>
          </cell>
          <cell r="M35"/>
          <cell r="N35">
            <v>3.2482676988362106E-4</v>
          </cell>
          <cell r="O35"/>
          <cell r="P35">
            <v>500</v>
          </cell>
          <cell r="Q35"/>
          <cell r="R35"/>
          <cell r="S35">
            <v>500</v>
          </cell>
          <cell r="T35"/>
          <cell r="U35"/>
          <cell r="V35">
            <v>32</v>
          </cell>
          <cell r="W35"/>
          <cell r="X35"/>
          <cell r="Y35"/>
          <cell r="Z35"/>
          <cell r="AA35"/>
          <cell r="AB35"/>
          <cell r="AC35"/>
          <cell r="AD35"/>
          <cell r="AE35"/>
          <cell r="AF35"/>
          <cell r="AG35"/>
          <cell r="AH35"/>
          <cell r="AI35"/>
          <cell r="AJ35"/>
          <cell r="AK35"/>
          <cell r="AL35"/>
        </row>
        <row r="36">
          <cell r="A36">
            <v>33</v>
          </cell>
          <cell r="B36" t="str">
            <v>Policy Work - Service, Parts &amp; Body Shop Depts.</v>
          </cell>
          <cell r="C36"/>
          <cell r="D36"/>
          <cell r="E36"/>
          <cell r="F36" t="str">
            <v>67</v>
          </cell>
          <cell r="G36"/>
          <cell r="H36">
            <v>3901</v>
          </cell>
          <cell r="I36"/>
          <cell r="J36">
            <v>1.8641969998900883E-2</v>
          </cell>
          <cell r="K36"/>
          <cell r="L36">
            <v>31896</v>
          </cell>
          <cell r="M36"/>
          <cell r="N36">
            <v>2.0721349304415954E-2</v>
          </cell>
          <cell r="O36"/>
          <cell r="P36"/>
          <cell r="Q36"/>
          <cell r="R36"/>
          <cell r="S36"/>
          <cell r="T36"/>
          <cell r="U36"/>
          <cell r="V36">
            <v>33</v>
          </cell>
          <cell r="W36"/>
          <cell r="X36"/>
          <cell r="Y36"/>
          <cell r="Z36"/>
          <cell r="AA36"/>
          <cell r="AB36"/>
          <cell r="AC36"/>
          <cell r="AD36"/>
          <cell r="AE36"/>
          <cell r="AF36"/>
          <cell r="AG36"/>
          <cell r="AH36"/>
          <cell r="AI36"/>
          <cell r="AJ36"/>
          <cell r="AK36"/>
          <cell r="AL36"/>
        </row>
        <row r="37">
          <cell r="A37">
            <v>34</v>
          </cell>
          <cell r="B37" t="str">
            <v>Outside Services</v>
          </cell>
          <cell r="C37"/>
          <cell r="D37"/>
          <cell r="E37"/>
          <cell r="F37" t="str">
            <v>68</v>
          </cell>
          <cell r="G37"/>
          <cell r="H37">
            <v>0</v>
          </cell>
          <cell r="I37"/>
          <cell r="J37" t="str">
            <v>-</v>
          </cell>
          <cell r="K37"/>
          <cell r="L37">
            <v>10000</v>
          </cell>
          <cell r="M37"/>
          <cell r="N37">
            <v>6.4965353976724214E-3</v>
          </cell>
          <cell r="O37"/>
          <cell r="P37">
            <v>0</v>
          </cell>
          <cell r="Q37"/>
          <cell r="R37"/>
          <cell r="S37">
            <v>4000</v>
          </cell>
          <cell r="T37"/>
          <cell r="U37"/>
          <cell r="V37">
            <v>34</v>
          </cell>
          <cell r="W37"/>
          <cell r="X37"/>
          <cell r="Y37"/>
          <cell r="Z37"/>
          <cell r="AA37"/>
          <cell r="AB37"/>
          <cell r="AC37"/>
          <cell r="AD37"/>
          <cell r="AE37"/>
          <cell r="AF37"/>
          <cell r="AG37"/>
          <cell r="AH37"/>
          <cell r="AI37"/>
          <cell r="AJ37"/>
          <cell r="AK37"/>
          <cell r="AL37"/>
        </row>
        <row r="38">
          <cell r="A38">
            <v>35</v>
          </cell>
          <cell r="B38" t="str">
            <v>Laundry &amp; Uniforms</v>
          </cell>
          <cell r="C38"/>
          <cell r="D38"/>
          <cell r="E38"/>
          <cell r="F38" t="str">
            <v>69</v>
          </cell>
          <cell r="G38"/>
          <cell r="H38">
            <v>632</v>
          </cell>
          <cell r="I38"/>
          <cell r="J38">
            <v>3.0201807329672797E-3</v>
          </cell>
          <cell r="K38"/>
          <cell r="L38">
            <v>9903</v>
          </cell>
          <cell r="M38"/>
          <cell r="N38">
            <v>6.4335190043149984E-3</v>
          </cell>
          <cell r="O38"/>
          <cell r="P38">
            <v>231</v>
          </cell>
          <cell r="Q38"/>
          <cell r="R38"/>
          <cell r="S38">
            <v>3639</v>
          </cell>
          <cell r="T38"/>
          <cell r="U38"/>
          <cell r="V38">
            <v>35</v>
          </cell>
          <cell r="W38"/>
          <cell r="X38"/>
          <cell r="Y38"/>
          <cell r="Z38"/>
          <cell r="AA38"/>
          <cell r="AB38"/>
          <cell r="AC38"/>
          <cell r="AD38"/>
          <cell r="AE38"/>
          <cell r="AF38"/>
          <cell r="AG38"/>
          <cell r="AH38"/>
          <cell r="AI38"/>
          <cell r="AJ38"/>
          <cell r="AK38"/>
          <cell r="AL38"/>
        </row>
        <row r="39">
          <cell r="A39">
            <v>36</v>
          </cell>
          <cell r="B39" t="str">
            <v>Travel and Entertainment</v>
          </cell>
          <cell r="C39"/>
          <cell r="D39"/>
          <cell r="E39"/>
          <cell r="F39" t="str">
            <v>70</v>
          </cell>
          <cell r="G39"/>
          <cell r="H39">
            <v>1464</v>
          </cell>
          <cell r="I39"/>
          <cell r="J39">
            <v>6.9961148624431927E-3</v>
          </cell>
          <cell r="K39"/>
          <cell r="L39">
            <v>4230</v>
          </cell>
          <cell r="M39"/>
          <cell r="N39">
            <v>2.7480344732154342E-3</v>
          </cell>
          <cell r="O39"/>
          <cell r="P39">
            <v>263</v>
          </cell>
          <cell r="Q39"/>
          <cell r="R39"/>
          <cell r="S39">
            <v>1436</v>
          </cell>
          <cell r="T39"/>
          <cell r="U39"/>
          <cell r="V39">
            <v>36</v>
          </cell>
          <cell r="W39"/>
          <cell r="X39"/>
          <cell r="Y39"/>
          <cell r="Z39"/>
          <cell r="AA39"/>
          <cell r="AB39"/>
          <cell r="AC39"/>
          <cell r="AD39"/>
          <cell r="AE39"/>
          <cell r="AF39"/>
          <cell r="AG39"/>
          <cell r="AH39"/>
          <cell r="AI39"/>
          <cell r="AJ39"/>
          <cell r="AK39"/>
          <cell r="AL39"/>
        </row>
        <row r="40">
          <cell r="A40">
            <v>37</v>
          </cell>
          <cell r="B40" t="str">
            <v>Membership, Dues and Publications</v>
          </cell>
          <cell r="C40"/>
          <cell r="D40"/>
          <cell r="E40"/>
          <cell r="F40" t="str">
            <v>71</v>
          </cell>
          <cell r="G40"/>
          <cell r="H40">
            <v>0</v>
          </cell>
          <cell r="I40"/>
          <cell r="J40" t="str">
            <v>-</v>
          </cell>
          <cell r="K40"/>
          <cell r="L40">
            <v>1251</v>
          </cell>
          <cell r="M40"/>
          <cell r="N40">
            <v>8.1271657824881992E-4</v>
          </cell>
          <cell r="O40"/>
          <cell r="P40">
            <v>0</v>
          </cell>
          <cell r="Q40"/>
          <cell r="R40"/>
          <cell r="S40">
            <v>425</v>
          </cell>
          <cell r="T40"/>
          <cell r="U40"/>
          <cell r="V40">
            <v>37</v>
          </cell>
          <cell r="W40"/>
          <cell r="X40"/>
          <cell r="Y40"/>
          <cell r="Z40"/>
          <cell r="AA40"/>
          <cell r="AB40"/>
          <cell r="AC40"/>
          <cell r="AD40"/>
          <cell r="AE40"/>
          <cell r="AF40"/>
          <cell r="AG40"/>
          <cell r="AH40"/>
          <cell r="AI40"/>
          <cell r="AJ40"/>
          <cell r="AK40"/>
          <cell r="AL40"/>
        </row>
        <row r="41">
          <cell r="A41">
            <v>38</v>
          </cell>
          <cell r="B41" t="str">
            <v>Legal, Accounting and Auditing Expense</v>
          </cell>
          <cell r="C41"/>
          <cell r="D41"/>
          <cell r="E41"/>
          <cell r="F41" t="str">
            <v>72</v>
          </cell>
          <cell r="G41"/>
          <cell r="H41">
            <v>17096</v>
          </cell>
          <cell r="I41"/>
          <cell r="J41">
            <v>8.1697800333557932E-2</v>
          </cell>
          <cell r="K41"/>
          <cell r="L41">
            <v>44278</v>
          </cell>
          <cell r="M41"/>
          <cell r="N41">
            <v>2.8765359433813947E-2</v>
          </cell>
          <cell r="O41"/>
          <cell r="P41">
            <v>5211</v>
          </cell>
          <cell r="Q41"/>
          <cell r="R41"/>
          <cell r="S41">
            <v>18794</v>
          </cell>
          <cell r="T41"/>
          <cell r="U41"/>
          <cell r="V41">
            <v>38</v>
          </cell>
          <cell r="W41"/>
          <cell r="X41"/>
          <cell r="Y41"/>
          <cell r="Z41"/>
          <cell r="AA41"/>
          <cell r="AB41"/>
          <cell r="AC41"/>
          <cell r="AD41"/>
          <cell r="AE41"/>
          <cell r="AF41"/>
          <cell r="AG41"/>
          <cell r="AH41"/>
          <cell r="AI41"/>
          <cell r="AJ41"/>
          <cell r="AK41"/>
          <cell r="AL41"/>
        </row>
        <row r="42">
          <cell r="A42">
            <v>39</v>
          </cell>
          <cell r="B42" t="str">
            <v>Freight, Express and Cartage - Parts Department</v>
          </cell>
          <cell r="C42"/>
          <cell r="D42"/>
          <cell r="E42"/>
          <cell r="F42" t="str">
            <v>73</v>
          </cell>
          <cell r="G42"/>
          <cell r="H42">
            <v>326</v>
          </cell>
          <cell r="I42"/>
          <cell r="J42">
            <v>1.5578780363090716E-3</v>
          </cell>
          <cell r="K42"/>
          <cell r="L42">
            <v>1758</v>
          </cell>
          <cell r="M42"/>
          <cell r="N42">
            <v>1.1420909229108117E-3</v>
          </cell>
          <cell r="O42"/>
          <cell r="P42"/>
          <cell r="Q42"/>
          <cell r="R42"/>
          <cell r="S42"/>
          <cell r="T42"/>
          <cell r="U42"/>
          <cell r="V42">
            <v>39</v>
          </cell>
          <cell r="W42"/>
          <cell r="X42"/>
          <cell r="Y42"/>
          <cell r="Z42"/>
          <cell r="AA42"/>
          <cell r="AB42"/>
          <cell r="AC42"/>
          <cell r="AD42"/>
          <cell r="AE42"/>
          <cell r="AF42"/>
          <cell r="AG42"/>
          <cell r="AH42"/>
          <cell r="AI42"/>
          <cell r="AJ42"/>
          <cell r="AK42"/>
          <cell r="AL42"/>
        </row>
        <row r="43">
          <cell r="A43">
            <v>40</v>
          </cell>
          <cell r="B43" t="str">
            <v xml:space="preserve">Telephone </v>
          </cell>
          <cell r="C43"/>
          <cell r="D43"/>
          <cell r="E43"/>
          <cell r="F43" t="str">
            <v>74</v>
          </cell>
          <cell r="G43"/>
          <cell r="H43">
            <v>1411</v>
          </cell>
          <cell r="I43"/>
          <cell r="J43">
            <v>6.7428402123684049E-3</v>
          </cell>
          <cell r="K43"/>
          <cell r="L43">
            <v>7051</v>
          </cell>
          <cell r="M43"/>
          <cell r="N43">
            <v>4.5807071088988247E-3</v>
          </cell>
          <cell r="O43"/>
          <cell r="P43">
            <v>466</v>
          </cell>
          <cell r="Q43"/>
          <cell r="R43"/>
          <cell r="S43">
            <v>2374</v>
          </cell>
          <cell r="T43"/>
          <cell r="U43"/>
          <cell r="V43">
            <v>40</v>
          </cell>
          <cell r="W43"/>
          <cell r="X43"/>
          <cell r="Y43"/>
          <cell r="Z43"/>
          <cell r="AA43"/>
          <cell r="AB43"/>
          <cell r="AC43"/>
          <cell r="AD43"/>
          <cell r="AE43"/>
          <cell r="AF43"/>
          <cell r="AG43"/>
          <cell r="AH43"/>
          <cell r="AI43"/>
          <cell r="AJ43"/>
          <cell r="AK43"/>
          <cell r="AL43"/>
        </row>
        <row r="44">
          <cell r="A44">
            <v>41</v>
          </cell>
          <cell r="B44" t="str">
            <v>Data Processing</v>
          </cell>
          <cell r="C44"/>
          <cell r="D44"/>
          <cell r="E44"/>
          <cell r="F44" t="str">
            <v>77</v>
          </cell>
          <cell r="G44"/>
          <cell r="H44">
            <v>18259</v>
          </cell>
          <cell r="I44"/>
          <cell r="J44">
            <v>8.7255506334255634E-2</v>
          </cell>
          <cell r="K44"/>
          <cell r="L44">
            <v>85039</v>
          </cell>
          <cell r="M44"/>
          <cell r="N44">
            <v>5.5245887368266501E-2</v>
          </cell>
          <cell r="O44"/>
          <cell r="P44">
            <v>7702</v>
          </cell>
          <cell r="Q44"/>
          <cell r="R44"/>
          <cell r="S44">
            <v>33553</v>
          </cell>
          <cell r="T44"/>
          <cell r="U44"/>
          <cell r="V44">
            <v>41</v>
          </cell>
          <cell r="W44"/>
          <cell r="X44"/>
          <cell r="Y44"/>
          <cell r="Z44"/>
          <cell r="AA44"/>
          <cell r="AB44"/>
          <cell r="AC44"/>
          <cell r="AD44"/>
          <cell r="AE44"/>
          <cell r="AF44"/>
          <cell r="AG44"/>
          <cell r="AH44"/>
          <cell r="AI44"/>
          <cell r="AJ44"/>
          <cell r="AK44"/>
          <cell r="AL44"/>
        </row>
        <row r="45">
          <cell r="A45">
            <v>42</v>
          </cell>
          <cell r="B45" t="str">
            <v>Adjustments for Doubtful Accounts</v>
          </cell>
          <cell r="C45"/>
          <cell r="D45"/>
          <cell r="E45"/>
          <cell r="F45" t="str">
            <v>852</v>
          </cell>
          <cell r="G45"/>
          <cell r="H45">
            <v>0</v>
          </cell>
          <cell r="I45"/>
          <cell r="J45" t="str">
            <v>-</v>
          </cell>
          <cell r="K45"/>
          <cell r="L45">
            <v>0</v>
          </cell>
          <cell r="M45"/>
          <cell r="N45" t="str">
            <v>-</v>
          </cell>
          <cell r="O45"/>
          <cell r="P45">
            <v>0</v>
          </cell>
          <cell r="Q45"/>
          <cell r="R45"/>
          <cell r="S45">
            <v>0</v>
          </cell>
          <cell r="T45"/>
          <cell r="U45"/>
          <cell r="V45">
            <v>42</v>
          </cell>
          <cell r="W45"/>
          <cell r="X45"/>
          <cell r="Y45"/>
          <cell r="Z45"/>
          <cell r="AA45"/>
          <cell r="AB45"/>
          <cell r="AC45"/>
          <cell r="AD45"/>
          <cell r="AE45"/>
          <cell r="AF45"/>
          <cell r="AG45"/>
          <cell r="AH45"/>
          <cell r="AI45"/>
          <cell r="AJ45"/>
          <cell r="AK45"/>
          <cell r="AL45"/>
        </row>
        <row r="46">
          <cell r="A46">
            <v>43</v>
          </cell>
          <cell r="B46" t="str">
            <v>Bad Debts Recovered</v>
          </cell>
          <cell r="C46"/>
          <cell r="D46"/>
          <cell r="E46"/>
          <cell r="F46" t="str">
            <v>802</v>
          </cell>
          <cell r="G46"/>
          <cell r="H46">
            <v>0</v>
          </cell>
          <cell r="I46"/>
          <cell r="J46" t="str">
            <v>-</v>
          </cell>
          <cell r="K46"/>
          <cell r="L46">
            <v>0</v>
          </cell>
          <cell r="M46"/>
          <cell r="N46" t="str">
            <v>-</v>
          </cell>
          <cell r="O46"/>
          <cell r="P46">
            <v>0</v>
          </cell>
          <cell r="Q46"/>
          <cell r="R46"/>
          <cell r="S46">
            <v>0</v>
          </cell>
          <cell r="T46"/>
          <cell r="U46"/>
          <cell r="V46">
            <v>43</v>
          </cell>
          <cell r="W46"/>
          <cell r="X46"/>
          <cell r="Y46"/>
          <cell r="Z46"/>
          <cell r="AA46"/>
          <cell r="AB46"/>
          <cell r="AC46"/>
          <cell r="AD46"/>
          <cell r="AE46"/>
          <cell r="AF46"/>
          <cell r="AG46"/>
          <cell r="AH46"/>
          <cell r="AI46"/>
          <cell r="AJ46"/>
          <cell r="AK46"/>
          <cell r="AL46"/>
        </row>
        <row r="47">
          <cell r="A47">
            <v>44</v>
          </cell>
          <cell r="B47" t="str">
            <v xml:space="preserve"> Miscellaneous</v>
          </cell>
          <cell r="C47"/>
          <cell r="D47"/>
          <cell r="E47"/>
          <cell r="F47" t="str">
            <v>78</v>
          </cell>
          <cell r="G47"/>
          <cell r="H47">
            <v>4890</v>
          </cell>
          <cell r="I47"/>
          <cell r="J47">
            <v>2.3368170544636073E-2</v>
          </cell>
          <cell r="K47"/>
          <cell r="L47">
            <v>22147</v>
          </cell>
          <cell r="M47"/>
          <cell r="N47">
            <v>1.4387876945225111E-2</v>
          </cell>
          <cell r="O47"/>
          <cell r="P47">
            <v>196</v>
          </cell>
          <cell r="Q47"/>
          <cell r="R47"/>
          <cell r="S47">
            <v>6617</v>
          </cell>
          <cell r="T47"/>
          <cell r="U47"/>
          <cell r="V47">
            <v>44</v>
          </cell>
          <cell r="W47"/>
          <cell r="X47"/>
          <cell r="Y47"/>
          <cell r="Z47"/>
          <cell r="AA47"/>
          <cell r="AB47"/>
          <cell r="AC47"/>
          <cell r="AD47"/>
          <cell r="AE47"/>
          <cell r="AF47"/>
          <cell r="AG47"/>
          <cell r="AH47"/>
          <cell r="AI47"/>
          <cell r="AJ47"/>
          <cell r="AK47"/>
          <cell r="AL47"/>
        </row>
        <row r="48">
          <cell r="A48">
            <v>45</v>
          </cell>
          <cell r="B48" t="str">
            <v>TOTAL SEMI-FIXED EXPENSE (lines 24 to 44 )</v>
          </cell>
          <cell r="C48"/>
          <cell r="D48"/>
          <cell r="E48"/>
          <cell r="F48"/>
          <cell r="G48"/>
          <cell r="H48">
            <v>96246</v>
          </cell>
          <cell r="I48"/>
          <cell r="J48">
            <v>0.45993720700184937</v>
          </cell>
          <cell r="K48"/>
          <cell r="L48">
            <v>503937</v>
          </cell>
          <cell r="M48"/>
          <cell r="N48">
            <v>0.32738445586968468</v>
          </cell>
          <cell r="O48"/>
          <cell r="P48">
            <v>50361</v>
          </cell>
          <cell r="Q48"/>
          <cell r="R48"/>
          <cell r="S48">
            <v>247147</v>
          </cell>
          <cell r="T48"/>
          <cell r="U48"/>
          <cell r="V48">
            <v>45</v>
          </cell>
          <cell r="W48"/>
          <cell r="X48"/>
          <cell r="Y48"/>
          <cell r="Z48"/>
          <cell r="AA48"/>
          <cell r="AB48"/>
          <cell r="AC48"/>
          <cell r="AD48"/>
          <cell r="AE48"/>
          <cell r="AF48"/>
          <cell r="AG48"/>
          <cell r="AH48"/>
          <cell r="AI48"/>
          <cell r="AJ48"/>
          <cell r="AK48"/>
          <cell r="AL48"/>
        </row>
        <row r="49">
          <cell r="A49">
            <v>46</v>
          </cell>
          <cell r="B49" t="str">
            <v>Rent</v>
          </cell>
          <cell r="C49"/>
          <cell r="D49"/>
          <cell r="E49"/>
          <cell r="F49" t="str">
            <v>80</v>
          </cell>
          <cell r="G49"/>
          <cell r="H49">
            <v>40000</v>
          </cell>
          <cell r="I49"/>
          <cell r="J49">
            <v>0.19115067930172658</v>
          </cell>
          <cell r="K49"/>
          <cell r="L49">
            <v>218000</v>
          </cell>
          <cell r="M49"/>
          <cell r="N49">
            <v>0.14162447166925879</v>
          </cell>
          <cell r="O49"/>
          <cell r="P49">
            <v>13200</v>
          </cell>
          <cell r="Q49"/>
          <cell r="R49"/>
          <cell r="S49">
            <v>74500</v>
          </cell>
          <cell r="T49"/>
          <cell r="U49"/>
          <cell r="V49">
            <v>46</v>
          </cell>
          <cell r="W49"/>
          <cell r="X49"/>
          <cell r="Y49"/>
          <cell r="Z49"/>
          <cell r="AA49"/>
          <cell r="AB49"/>
          <cell r="AC49"/>
          <cell r="AD49"/>
          <cell r="AE49"/>
          <cell r="AF49"/>
          <cell r="AG49"/>
          <cell r="AH49"/>
          <cell r="AI49"/>
          <cell r="AJ49"/>
          <cell r="AK49"/>
          <cell r="AL49"/>
        </row>
        <row r="50">
          <cell r="A50">
            <v>47</v>
          </cell>
          <cell r="B50" t="str">
            <v>Amortization - Leaseholds</v>
          </cell>
          <cell r="C50"/>
          <cell r="D50"/>
          <cell r="E50"/>
          <cell r="F50" t="str">
            <v>81</v>
          </cell>
          <cell r="G50"/>
          <cell r="H50">
            <v>0</v>
          </cell>
          <cell r="I50"/>
          <cell r="J50" t="str">
            <v>-</v>
          </cell>
          <cell r="K50"/>
          <cell r="L50">
            <v>0</v>
          </cell>
          <cell r="M50"/>
          <cell r="N50" t="str">
            <v>-</v>
          </cell>
          <cell r="O50"/>
          <cell r="P50">
            <v>0</v>
          </cell>
          <cell r="Q50"/>
          <cell r="R50"/>
          <cell r="S50">
            <v>0</v>
          </cell>
          <cell r="T50"/>
          <cell r="U50"/>
          <cell r="V50">
            <v>47</v>
          </cell>
          <cell r="W50"/>
          <cell r="X50"/>
          <cell r="Y50"/>
          <cell r="Z50"/>
          <cell r="AA50"/>
          <cell r="AB50"/>
          <cell r="AC50"/>
          <cell r="AD50"/>
          <cell r="AE50"/>
          <cell r="AF50"/>
          <cell r="AG50"/>
          <cell r="AH50"/>
          <cell r="AI50"/>
          <cell r="AJ50"/>
          <cell r="AK50"/>
          <cell r="AL50"/>
        </row>
        <row r="51">
          <cell r="A51">
            <v>48</v>
          </cell>
          <cell r="B51" t="str">
            <v>Repairs - Real Estate</v>
          </cell>
          <cell r="C51"/>
          <cell r="D51"/>
          <cell r="E51"/>
          <cell r="F51" t="str">
            <v>82</v>
          </cell>
          <cell r="G51"/>
          <cell r="H51">
            <v>1075</v>
          </cell>
          <cell r="I51"/>
          <cell r="J51">
            <v>5.1371745062339016E-3</v>
          </cell>
          <cell r="K51"/>
          <cell r="L51">
            <v>14394</v>
          </cell>
          <cell r="M51"/>
          <cell r="N51">
            <v>9.3511130514096832E-3</v>
          </cell>
          <cell r="O51"/>
          <cell r="P51">
            <v>355</v>
          </cell>
          <cell r="Q51"/>
          <cell r="R51"/>
          <cell r="S51">
            <v>6352</v>
          </cell>
          <cell r="T51"/>
          <cell r="U51"/>
          <cell r="V51">
            <v>48</v>
          </cell>
          <cell r="W51"/>
          <cell r="X51"/>
          <cell r="Y51"/>
          <cell r="Z51"/>
          <cell r="AA51"/>
          <cell r="AB51"/>
          <cell r="AC51"/>
          <cell r="AD51"/>
          <cell r="AE51"/>
          <cell r="AF51"/>
          <cell r="AG51"/>
          <cell r="AH51"/>
          <cell r="AI51"/>
          <cell r="AJ51"/>
          <cell r="AK51"/>
          <cell r="AL51"/>
        </row>
        <row r="52">
          <cell r="A52">
            <v>49</v>
          </cell>
          <cell r="B52" t="str">
            <v>Depreciation - Buildings and Improvements</v>
          </cell>
          <cell r="C52"/>
          <cell r="D52"/>
          <cell r="E52"/>
          <cell r="F52" t="str">
            <v>83</v>
          </cell>
          <cell r="G52"/>
          <cell r="H52">
            <v>0</v>
          </cell>
          <cell r="I52"/>
          <cell r="J52" t="str">
            <v>-</v>
          </cell>
          <cell r="K52"/>
          <cell r="L52">
            <v>0</v>
          </cell>
          <cell r="M52"/>
          <cell r="N52" t="str">
            <v>-</v>
          </cell>
          <cell r="O52"/>
          <cell r="P52">
            <v>0</v>
          </cell>
          <cell r="Q52"/>
          <cell r="R52"/>
          <cell r="S52">
            <v>0</v>
          </cell>
          <cell r="T52"/>
          <cell r="U52"/>
          <cell r="V52">
            <v>49</v>
          </cell>
          <cell r="W52"/>
          <cell r="X52"/>
          <cell r="Y52"/>
          <cell r="Z52"/>
          <cell r="AA52"/>
          <cell r="AB52"/>
          <cell r="AC52"/>
          <cell r="AD52"/>
          <cell r="AE52"/>
          <cell r="AF52"/>
          <cell r="AG52"/>
          <cell r="AH52"/>
          <cell r="AI52"/>
          <cell r="AJ52"/>
          <cell r="AK52"/>
          <cell r="AL52"/>
        </row>
        <row r="53">
          <cell r="A53">
            <v>50</v>
          </cell>
          <cell r="B53" t="str">
            <v>Taxes - Real Estate</v>
          </cell>
          <cell r="C53"/>
          <cell r="D53"/>
          <cell r="E53"/>
          <cell r="F53" t="str">
            <v>84</v>
          </cell>
          <cell r="G53"/>
          <cell r="H53">
            <v>0</v>
          </cell>
          <cell r="I53"/>
          <cell r="J53" t="str">
            <v>-</v>
          </cell>
          <cell r="K53"/>
          <cell r="L53">
            <v>0</v>
          </cell>
          <cell r="M53"/>
          <cell r="N53" t="str">
            <v>-</v>
          </cell>
          <cell r="O53"/>
          <cell r="P53">
            <v>0</v>
          </cell>
          <cell r="Q53"/>
          <cell r="R53"/>
          <cell r="S53">
            <v>0</v>
          </cell>
          <cell r="T53"/>
          <cell r="U53"/>
          <cell r="V53">
            <v>50</v>
          </cell>
          <cell r="W53"/>
          <cell r="X53"/>
          <cell r="Y53"/>
          <cell r="Z53"/>
          <cell r="AA53"/>
          <cell r="AB53"/>
          <cell r="AC53"/>
          <cell r="AD53"/>
          <cell r="AE53"/>
          <cell r="AF53"/>
          <cell r="AG53"/>
          <cell r="AH53"/>
          <cell r="AI53"/>
          <cell r="AJ53"/>
          <cell r="AK53"/>
          <cell r="AL53"/>
        </row>
        <row r="54">
          <cell r="A54">
            <v>51</v>
          </cell>
          <cell r="B54" t="str">
            <v>Insurance - Building and Improvements</v>
          </cell>
          <cell r="C54"/>
          <cell r="D54"/>
          <cell r="E54"/>
          <cell r="F54" t="str">
            <v>85</v>
          </cell>
          <cell r="G54"/>
          <cell r="H54">
            <v>0</v>
          </cell>
          <cell r="I54"/>
          <cell r="J54" t="str">
            <v>-</v>
          </cell>
          <cell r="K54"/>
          <cell r="L54">
            <v>0</v>
          </cell>
          <cell r="M54"/>
          <cell r="N54" t="str">
            <v>-</v>
          </cell>
          <cell r="O54"/>
          <cell r="P54">
            <v>0</v>
          </cell>
          <cell r="Q54"/>
          <cell r="R54"/>
          <cell r="S54">
            <v>0</v>
          </cell>
          <cell r="T54"/>
          <cell r="U54"/>
          <cell r="V54">
            <v>51</v>
          </cell>
          <cell r="W54"/>
          <cell r="X54"/>
          <cell r="Y54"/>
          <cell r="Z54"/>
          <cell r="AA54"/>
          <cell r="AB54"/>
          <cell r="AC54"/>
          <cell r="AD54"/>
          <cell r="AE54"/>
          <cell r="AF54"/>
          <cell r="AG54"/>
          <cell r="AH54"/>
          <cell r="AI54"/>
          <cell r="AJ54"/>
          <cell r="AK54"/>
          <cell r="AL54"/>
        </row>
        <row r="55">
          <cell r="A55">
            <v>52</v>
          </cell>
          <cell r="B55" t="str">
            <v>Interest - Real Estate Mortgage</v>
          </cell>
          <cell r="C55"/>
          <cell r="D55"/>
          <cell r="E55"/>
          <cell r="F55" t="str">
            <v>86</v>
          </cell>
          <cell r="G55"/>
          <cell r="H55">
            <v>0</v>
          </cell>
          <cell r="I55"/>
          <cell r="J55" t="str">
            <v>-</v>
          </cell>
          <cell r="K55"/>
          <cell r="L55">
            <v>0</v>
          </cell>
          <cell r="M55"/>
          <cell r="N55" t="str">
            <v>-</v>
          </cell>
          <cell r="O55"/>
          <cell r="P55">
            <v>0</v>
          </cell>
          <cell r="Q55"/>
          <cell r="R55"/>
          <cell r="S55">
            <v>0</v>
          </cell>
          <cell r="T55"/>
          <cell r="U55"/>
          <cell r="V55">
            <v>52</v>
          </cell>
          <cell r="W55"/>
          <cell r="X55"/>
          <cell r="Y55"/>
          <cell r="Z55"/>
          <cell r="AA55"/>
          <cell r="AB55"/>
          <cell r="AC55"/>
          <cell r="AD55"/>
          <cell r="AE55"/>
          <cell r="AF55"/>
          <cell r="AG55"/>
          <cell r="AH55"/>
          <cell r="AI55"/>
          <cell r="AJ55"/>
          <cell r="AK55"/>
          <cell r="AL55"/>
        </row>
        <row r="56">
          <cell r="A56">
            <v>53</v>
          </cell>
          <cell r="B56" t="str">
            <v>SUB TOTAL - OCCUPANCY EXPENSES (lines 46 to 52 )</v>
          </cell>
          <cell r="C56"/>
          <cell r="D56"/>
          <cell r="E56"/>
          <cell r="F56"/>
          <cell r="G56"/>
          <cell r="H56">
            <v>41075</v>
          </cell>
          <cell r="I56"/>
          <cell r="J56">
            <v>0.19628785380796046</v>
          </cell>
          <cell r="K56"/>
          <cell r="L56">
            <v>232394</v>
          </cell>
          <cell r="M56"/>
          <cell r="N56">
            <v>0.15097558472066847</v>
          </cell>
          <cell r="O56"/>
          <cell r="P56">
            <v>13555</v>
          </cell>
          <cell r="Q56"/>
          <cell r="R56"/>
          <cell r="S56">
            <v>80852</v>
          </cell>
          <cell r="T56"/>
          <cell r="U56"/>
          <cell r="V56">
            <v>53</v>
          </cell>
          <cell r="W56"/>
          <cell r="X56"/>
          <cell r="Y56"/>
          <cell r="Z56"/>
          <cell r="AA56"/>
          <cell r="AB56"/>
          <cell r="AC56"/>
          <cell r="AD56"/>
          <cell r="AE56"/>
          <cell r="AF56"/>
          <cell r="AG56"/>
          <cell r="AH56"/>
          <cell r="AI56"/>
          <cell r="AJ56"/>
          <cell r="AK56"/>
          <cell r="AL56"/>
        </row>
        <row r="57">
          <cell r="A57">
            <v>54</v>
          </cell>
          <cell r="B57" t="str">
            <v>Heat, Light, Power and Water</v>
          </cell>
          <cell r="C57"/>
          <cell r="D57"/>
          <cell r="E57"/>
          <cell r="F57" t="str">
            <v>87</v>
          </cell>
          <cell r="G57"/>
          <cell r="H57">
            <v>4987</v>
          </cell>
          <cell r="I57"/>
          <cell r="J57">
            <v>2.3831710941942759E-2</v>
          </cell>
          <cell r="K57"/>
          <cell r="L57">
            <v>28703</v>
          </cell>
          <cell r="M57"/>
          <cell r="N57">
            <v>1.8647005551939152E-2</v>
          </cell>
          <cell r="O57"/>
          <cell r="P57">
            <v>1646</v>
          </cell>
          <cell r="Q57"/>
          <cell r="R57"/>
          <cell r="S57">
            <v>10327</v>
          </cell>
          <cell r="T57"/>
          <cell r="U57"/>
          <cell r="V57">
            <v>54</v>
          </cell>
          <cell r="W57"/>
          <cell r="X57"/>
          <cell r="Y57"/>
          <cell r="Z57"/>
          <cell r="AA57"/>
          <cell r="AB57"/>
          <cell r="AC57"/>
          <cell r="AD57"/>
          <cell r="AE57"/>
          <cell r="AF57"/>
          <cell r="AG57"/>
          <cell r="AH57"/>
          <cell r="AI57"/>
          <cell r="AJ57"/>
          <cell r="AK57"/>
          <cell r="AL57"/>
        </row>
        <row r="58">
          <cell r="A58">
            <v>55</v>
          </cell>
          <cell r="B58" t="str">
            <v>Insurance - Other than Bldgs. &amp; Improvs.</v>
          </cell>
          <cell r="C58"/>
          <cell r="D58"/>
          <cell r="E58"/>
          <cell r="F58" t="str">
            <v>88</v>
          </cell>
          <cell r="G58"/>
          <cell r="H58">
            <v>5763</v>
          </cell>
          <cell r="I58"/>
          <cell r="J58">
            <v>2.7540034120396257E-2</v>
          </cell>
          <cell r="K58"/>
          <cell r="L58">
            <v>32271</v>
          </cell>
          <cell r="M58"/>
          <cell r="N58">
            <v>2.0964969381828669E-2</v>
          </cell>
          <cell r="O58"/>
          <cell r="P58">
            <v>2977</v>
          </cell>
          <cell r="Q58"/>
          <cell r="R58"/>
          <cell r="S58">
            <v>15669</v>
          </cell>
          <cell r="T58"/>
          <cell r="U58"/>
          <cell r="V58">
            <v>55</v>
          </cell>
          <cell r="W58"/>
          <cell r="X58"/>
          <cell r="Y58"/>
          <cell r="Z58"/>
          <cell r="AA58"/>
          <cell r="AB58"/>
          <cell r="AC58"/>
          <cell r="AD58"/>
          <cell r="AE58"/>
          <cell r="AF58"/>
          <cell r="AG58"/>
          <cell r="AH58"/>
          <cell r="AI58"/>
          <cell r="AJ58"/>
          <cell r="AK58"/>
          <cell r="AL58"/>
        </row>
        <row r="59">
          <cell r="A59">
            <v>56</v>
          </cell>
          <cell r="B59" t="str">
            <v>Taxes - Other than Real Estate, Income &amp; Payroll</v>
          </cell>
          <cell r="C59"/>
          <cell r="D59"/>
          <cell r="E59"/>
          <cell r="F59" t="str">
            <v>89</v>
          </cell>
          <cell r="G59"/>
          <cell r="H59">
            <v>0</v>
          </cell>
          <cell r="I59"/>
          <cell r="J59" t="str">
            <v>-</v>
          </cell>
          <cell r="K59"/>
          <cell r="L59">
            <v>23877</v>
          </cell>
          <cell r="M59"/>
          <cell r="N59">
            <v>1.5511777569022441E-2</v>
          </cell>
          <cell r="O59"/>
          <cell r="P59">
            <v>0</v>
          </cell>
          <cell r="Q59"/>
          <cell r="R59"/>
          <cell r="S59">
            <v>14279</v>
          </cell>
          <cell r="T59"/>
          <cell r="U59"/>
          <cell r="V59">
            <v>56</v>
          </cell>
          <cell r="W59"/>
          <cell r="X59"/>
          <cell r="Y59"/>
          <cell r="Z59"/>
          <cell r="AA59"/>
          <cell r="AB59"/>
          <cell r="AC59"/>
          <cell r="AD59"/>
          <cell r="AE59"/>
          <cell r="AF59"/>
          <cell r="AG59"/>
          <cell r="AH59"/>
          <cell r="AI59"/>
          <cell r="AJ59"/>
          <cell r="AK59"/>
          <cell r="AL59"/>
        </row>
        <row r="60">
          <cell r="A60">
            <v>57</v>
          </cell>
          <cell r="B60" t="str">
            <v>Repairs - Equipment</v>
          </cell>
          <cell r="C60"/>
          <cell r="D60"/>
          <cell r="E60"/>
          <cell r="F60" t="str">
            <v>90</v>
          </cell>
          <cell r="G60"/>
          <cell r="H60">
            <v>255</v>
          </cell>
          <cell r="I60"/>
          <cell r="J60">
            <v>1.2185855805485069E-3</v>
          </cell>
          <cell r="K60"/>
          <cell r="L60">
            <v>3633</v>
          </cell>
          <cell r="M60"/>
          <cell r="N60">
            <v>2.3601913099743905E-3</v>
          </cell>
          <cell r="O60"/>
          <cell r="P60">
            <v>0</v>
          </cell>
          <cell r="Q60"/>
          <cell r="R60"/>
          <cell r="S60">
            <v>1729</v>
          </cell>
          <cell r="T60"/>
          <cell r="U60"/>
          <cell r="V60">
            <v>57</v>
          </cell>
          <cell r="W60"/>
          <cell r="X60"/>
          <cell r="Y60"/>
          <cell r="Z60"/>
          <cell r="AA60"/>
          <cell r="AB60"/>
          <cell r="AC60"/>
          <cell r="AD60"/>
          <cell r="AE60"/>
          <cell r="AF60"/>
          <cell r="AG60"/>
          <cell r="AH60"/>
          <cell r="AI60"/>
          <cell r="AJ60"/>
          <cell r="AK60"/>
          <cell r="AL60"/>
        </row>
        <row r="61">
          <cell r="A61">
            <v>58</v>
          </cell>
          <cell r="B61" t="str">
            <v>Depreciation - Other than Bldgs. &amp; Improvs.</v>
          </cell>
          <cell r="C61"/>
          <cell r="D61"/>
          <cell r="E61"/>
          <cell r="F61" t="str">
            <v>91</v>
          </cell>
          <cell r="G61"/>
          <cell r="H61">
            <v>0</v>
          </cell>
          <cell r="I61"/>
          <cell r="J61" t="str">
            <v>-</v>
          </cell>
          <cell r="K61"/>
          <cell r="L61">
            <v>2282</v>
          </cell>
          <cell r="M61"/>
          <cell r="N61">
            <v>1.4825093777488464E-3</v>
          </cell>
          <cell r="O61"/>
          <cell r="P61">
            <v>0</v>
          </cell>
          <cell r="Q61"/>
          <cell r="R61"/>
          <cell r="S61">
            <v>1141</v>
          </cell>
          <cell r="T61"/>
          <cell r="U61"/>
          <cell r="V61">
            <v>58</v>
          </cell>
          <cell r="W61"/>
          <cell r="X61"/>
          <cell r="Y61"/>
          <cell r="Z61"/>
          <cell r="AA61"/>
          <cell r="AB61"/>
          <cell r="AC61"/>
          <cell r="AD61"/>
          <cell r="AE61"/>
          <cell r="AF61"/>
          <cell r="AG61"/>
          <cell r="AH61"/>
          <cell r="AI61"/>
          <cell r="AJ61"/>
          <cell r="AK61"/>
          <cell r="AL61"/>
        </row>
        <row r="62">
          <cell r="A62">
            <v>59</v>
          </cell>
          <cell r="B62" t="str">
            <v>Equipment Rental</v>
          </cell>
          <cell r="C62"/>
          <cell r="D62"/>
          <cell r="E62"/>
          <cell r="F62" t="str">
            <v>92</v>
          </cell>
          <cell r="G62"/>
          <cell r="H62">
            <v>0</v>
          </cell>
          <cell r="I62"/>
          <cell r="J62" t="str">
            <v>-</v>
          </cell>
          <cell r="K62"/>
          <cell r="L62">
            <v>38</v>
          </cell>
          <cell r="M62"/>
          <cell r="N62">
            <v>2.46868345111552E-5</v>
          </cell>
          <cell r="O62"/>
          <cell r="P62">
            <v>0</v>
          </cell>
          <cell r="Q62"/>
          <cell r="R62"/>
          <cell r="S62">
            <v>38</v>
          </cell>
          <cell r="T62"/>
          <cell r="U62"/>
          <cell r="V62">
            <v>59</v>
          </cell>
          <cell r="W62"/>
          <cell r="X62"/>
          <cell r="Y62"/>
          <cell r="Z62"/>
          <cell r="AA62"/>
          <cell r="AB62"/>
          <cell r="AC62"/>
          <cell r="AD62"/>
          <cell r="AE62"/>
          <cell r="AF62"/>
          <cell r="AG62"/>
          <cell r="AH62"/>
          <cell r="AI62"/>
          <cell r="AJ62"/>
          <cell r="AK62"/>
          <cell r="AL62"/>
        </row>
        <row r="63">
          <cell r="A63">
            <v>60</v>
          </cell>
          <cell r="B63" t="str">
            <v>TOTAL FIXED EXPENSE (lines 53 to 59 )</v>
          </cell>
          <cell r="C63"/>
          <cell r="D63"/>
          <cell r="E63"/>
          <cell r="F63"/>
          <cell r="G63"/>
          <cell r="H63">
            <v>52080</v>
          </cell>
          <cell r="I63"/>
          <cell r="J63">
            <v>0.248878184450848</v>
          </cell>
          <cell r="K63"/>
          <cell r="L63">
            <v>323198</v>
          </cell>
          <cell r="M63"/>
          <cell r="N63">
            <v>0.20996672474569311</v>
          </cell>
          <cell r="O63"/>
          <cell r="P63">
            <v>18178</v>
          </cell>
          <cell r="Q63"/>
          <cell r="R63"/>
          <cell r="S63">
            <v>124035</v>
          </cell>
          <cell r="T63"/>
          <cell r="U63"/>
          <cell r="V63">
            <v>60</v>
          </cell>
          <cell r="W63"/>
          <cell r="X63"/>
          <cell r="Y63"/>
          <cell r="Z63"/>
          <cell r="AA63"/>
          <cell r="AB63"/>
          <cell r="AC63"/>
          <cell r="AD63"/>
          <cell r="AE63"/>
          <cell r="AF63"/>
          <cell r="AG63"/>
          <cell r="AH63"/>
          <cell r="AI63"/>
          <cell r="AJ63"/>
          <cell r="AK63"/>
          <cell r="AL63"/>
        </row>
        <row r="64">
          <cell r="A64">
            <v>61</v>
          </cell>
          <cell r="B64" t="str">
            <v>TOTAL FIXED OVERHEAD EXPENSE   (lines 23+45+ 60)</v>
          </cell>
          <cell r="C64"/>
          <cell r="D64"/>
          <cell r="E64"/>
          <cell r="F64"/>
          <cell r="G64"/>
          <cell r="H64">
            <v>275789</v>
          </cell>
          <cell r="I64"/>
          <cell r="J64">
            <v>1.3179313673485966</v>
          </cell>
          <cell r="K64"/>
          <cell r="L64">
            <v>1602345</v>
          </cell>
          <cell r="M64"/>
          <cell r="N64">
            <v>1.0409691011783415</v>
          </cell>
          <cell r="O64"/>
          <cell r="P64">
            <v>125669</v>
          </cell>
          <cell r="Q64"/>
          <cell r="R64"/>
          <cell r="S64">
            <v>717090</v>
          </cell>
          <cell r="T64"/>
          <cell r="U64"/>
          <cell r="V64">
            <v>61</v>
          </cell>
          <cell r="W64"/>
          <cell r="X64"/>
          <cell r="Y64"/>
          <cell r="Z64"/>
          <cell r="AA64"/>
          <cell r="AB64"/>
          <cell r="AC64"/>
          <cell r="AD64"/>
          <cell r="AE64"/>
          <cell r="AF64"/>
          <cell r="AG64"/>
          <cell r="AH64"/>
          <cell r="AI64"/>
          <cell r="AJ64"/>
          <cell r="AK64"/>
          <cell r="AL64"/>
        </row>
        <row r="65">
          <cell r="A65">
            <v>62</v>
          </cell>
          <cell r="B65" t="str">
            <v>TOTAL EXPENSES (lines 12+ 61)</v>
          </cell>
          <cell r="C65"/>
          <cell r="D65"/>
          <cell r="E65"/>
          <cell r="F65"/>
          <cell r="G65"/>
          <cell r="H65">
            <v>338369</v>
          </cell>
          <cell r="I65"/>
          <cell r="J65">
            <v>1.6169866051161479</v>
          </cell>
          <cell r="K65"/>
          <cell r="L65">
            <v>1943974</v>
          </cell>
          <cell r="M65"/>
          <cell r="N65">
            <v>1.2629095903154848</v>
          </cell>
          <cell r="O65"/>
          <cell r="P65">
            <v>170791</v>
          </cell>
          <cell r="Q65"/>
          <cell r="R65"/>
          <cell r="S65">
            <v>953711</v>
          </cell>
          <cell r="T65"/>
          <cell r="U65"/>
          <cell r="V65">
            <v>62</v>
          </cell>
          <cell r="W65"/>
          <cell r="X65"/>
          <cell r="Y65"/>
          <cell r="Z65"/>
          <cell r="AA65"/>
          <cell r="AB65"/>
          <cell r="AC65"/>
          <cell r="AD65"/>
          <cell r="AE65"/>
          <cell r="AF65"/>
          <cell r="AG65"/>
          <cell r="AH65"/>
          <cell r="AI65"/>
          <cell r="AJ65"/>
          <cell r="AK65"/>
          <cell r="AL65"/>
        </row>
        <row r="66">
          <cell r="A66">
            <v>63</v>
          </cell>
          <cell r="B66" t="str">
            <v>DEP PROFIT OR LOSS</v>
          </cell>
          <cell r="C66"/>
          <cell r="D66"/>
          <cell r="E66"/>
          <cell r="F66"/>
          <cell r="G66"/>
          <cell r="H66"/>
          <cell r="I66"/>
          <cell r="J66"/>
          <cell r="K66"/>
          <cell r="L66"/>
          <cell r="M66"/>
          <cell r="N66"/>
          <cell r="O66"/>
          <cell r="P66">
            <v>-80024</v>
          </cell>
          <cell r="Q66"/>
          <cell r="R66"/>
          <cell r="S66">
            <v>-409236</v>
          </cell>
          <cell r="T66"/>
          <cell r="U66"/>
          <cell r="V66">
            <v>63</v>
          </cell>
          <cell r="W66"/>
          <cell r="X66"/>
          <cell r="Y66"/>
          <cell r="Z66"/>
          <cell r="AA66"/>
          <cell r="AB66"/>
          <cell r="AC66"/>
          <cell r="AD66"/>
          <cell r="AE66"/>
          <cell r="AF66"/>
          <cell r="AG66"/>
          <cell r="AH66"/>
          <cell r="AI66"/>
          <cell r="AJ66"/>
          <cell r="AK66"/>
          <cell r="AL66"/>
        </row>
        <row r="67">
          <cell r="A67">
            <v>64</v>
          </cell>
          <cell r="B67" t="str">
            <v>OPERATING PROFIT OR LOSS      (line 2 minus line 62)</v>
          </cell>
          <cell r="C67"/>
          <cell r="D67"/>
          <cell r="E67"/>
          <cell r="F67"/>
          <cell r="G67"/>
          <cell r="H67">
            <v>-129110</v>
          </cell>
          <cell r="I67"/>
          <cell r="J67"/>
          <cell r="K67"/>
          <cell r="L67">
            <v>-404692</v>
          </cell>
          <cell r="M67"/>
          <cell r="N67"/>
          <cell r="O67"/>
          <cell r="P67" t="str">
            <v>INVENTORY ANALYSIS</v>
          </cell>
          <cell r="Q67"/>
          <cell r="R67"/>
          <cell r="S67"/>
          <cell r="T67"/>
          <cell r="U67"/>
          <cell r="V67">
            <v>64</v>
          </cell>
          <cell r="W67"/>
          <cell r="X67"/>
          <cell r="Y67"/>
          <cell r="Z67"/>
          <cell r="AA67"/>
          <cell r="AB67"/>
          <cell r="AC67"/>
          <cell r="AD67"/>
          <cell r="AE67"/>
          <cell r="AF67"/>
          <cell r="AG67"/>
          <cell r="AH67"/>
          <cell r="AI67"/>
          <cell r="AJ67"/>
          <cell r="AK67"/>
          <cell r="AL67"/>
        </row>
        <row r="68">
          <cell r="A68">
            <v>65</v>
          </cell>
          <cell r="B68" t="str">
            <v>Net Additions and Deductions     (page 3 - lines 71 &amp; 79)</v>
          </cell>
          <cell r="C68"/>
          <cell r="D68"/>
          <cell r="E68"/>
          <cell r="F68"/>
          <cell r="G68"/>
          <cell r="H68">
            <v>101508</v>
          </cell>
          <cell r="I68"/>
          <cell r="J68"/>
          <cell r="K68"/>
          <cell r="L68">
            <v>590407</v>
          </cell>
          <cell r="M68"/>
          <cell r="N68"/>
          <cell r="O68"/>
          <cell r="P68"/>
          <cell r="Q68"/>
          <cell r="R68" t="str">
            <v>UNITS</v>
          </cell>
          <cell r="S68"/>
          <cell r="T68" t="str">
            <v>Amt After LIFO adj.</v>
          </cell>
          <cell r="U68"/>
          <cell r="V68">
            <v>65</v>
          </cell>
          <cell r="W68"/>
          <cell r="X68"/>
          <cell r="Y68"/>
          <cell r="Z68"/>
          <cell r="AA68"/>
          <cell r="AB68"/>
          <cell r="AC68"/>
          <cell r="AD68"/>
          <cell r="AE68"/>
          <cell r="AF68"/>
          <cell r="AG68"/>
          <cell r="AH68"/>
          <cell r="AI68"/>
          <cell r="AJ68"/>
          <cell r="AK68"/>
          <cell r="AL68"/>
        </row>
        <row r="69">
          <cell r="A69">
            <v>66</v>
          </cell>
          <cell r="B69" t="str">
            <v>NET PROFIT OR (LOSS)             Before Bonuses &amp; Income Taxes</v>
          </cell>
          <cell r="C69"/>
          <cell r="D69"/>
          <cell r="E69"/>
          <cell r="F69"/>
          <cell r="G69"/>
          <cell r="H69">
            <v>-27602</v>
          </cell>
          <cell r="I69"/>
          <cell r="J69"/>
          <cell r="K69"/>
          <cell r="L69">
            <v>185715</v>
          </cell>
          <cell r="M69"/>
          <cell r="N69"/>
          <cell r="O69"/>
          <cell r="P69" t="str">
            <v>New Demos</v>
          </cell>
          <cell r="Q69"/>
          <cell r="R69">
            <v>0</v>
          </cell>
          <cell r="S69"/>
          <cell r="T69">
            <v>0</v>
          </cell>
          <cell r="U69"/>
          <cell r="V69">
            <v>66</v>
          </cell>
          <cell r="W69"/>
          <cell r="X69"/>
          <cell r="Y69"/>
          <cell r="Z69"/>
          <cell r="AA69"/>
          <cell r="AB69"/>
          <cell r="AC69"/>
          <cell r="AD69"/>
          <cell r="AE69"/>
          <cell r="AF69"/>
          <cell r="AG69"/>
          <cell r="AH69"/>
          <cell r="AI69"/>
          <cell r="AJ69"/>
          <cell r="AK69"/>
          <cell r="AL69"/>
        </row>
        <row r="70">
          <cell r="A70">
            <v>67</v>
          </cell>
          <cell r="B70" t="str">
            <v>Bonuses-Employees</v>
          </cell>
          <cell r="C70"/>
          <cell r="D70"/>
          <cell r="E70"/>
          <cell r="F70" t="str">
            <v>97</v>
          </cell>
          <cell r="G70"/>
          <cell r="H70">
            <v>0</v>
          </cell>
          <cell r="I70"/>
          <cell r="J70"/>
          <cell r="K70"/>
          <cell r="L70">
            <v>0</v>
          </cell>
          <cell r="M70"/>
          <cell r="N70"/>
          <cell r="O70"/>
          <cell r="P70" t="str">
            <v>New Vehicles</v>
          </cell>
          <cell r="Q70"/>
          <cell r="R70">
            <v>0</v>
          </cell>
          <cell r="S70"/>
          <cell r="T70">
            <v>0</v>
          </cell>
          <cell r="U70"/>
          <cell r="V70">
            <v>67</v>
          </cell>
          <cell r="W70"/>
          <cell r="X70"/>
          <cell r="Y70"/>
          <cell r="Z70"/>
          <cell r="AA70"/>
          <cell r="AB70"/>
          <cell r="AC70"/>
          <cell r="AD70"/>
          <cell r="AE70"/>
          <cell r="AF70"/>
          <cell r="AG70"/>
          <cell r="AH70"/>
          <cell r="AI70"/>
          <cell r="AJ70"/>
          <cell r="AK70"/>
          <cell r="AL70"/>
        </row>
        <row r="71">
          <cell r="A71">
            <v>68</v>
          </cell>
          <cell r="B71" t="str">
            <v>Bonuses - Owners</v>
          </cell>
          <cell r="C71"/>
          <cell r="D71"/>
          <cell r="E71"/>
          <cell r="F71" t="str">
            <v>98</v>
          </cell>
          <cell r="G71"/>
          <cell r="H71">
            <v>-18000</v>
          </cell>
          <cell r="I71"/>
          <cell r="J71"/>
          <cell r="K71"/>
          <cell r="L71">
            <v>-135768</v>
          </cell>
          <cell r="M71"/>
          <cell r="N71"/>
          <cell r="O71"/>
          <cell r="P71" t="str">
            <v>Used Vehicles</v>
          </cell>
          <cell r="Q71"/>
          <cell r="R71">
            <v>0</v>
          </cell>
          <cell r="S71"/>
          <cell r="T71">
            <v>0</v>
          </cell>
          <cell r="U71"/>
          <cell r="V71">
            <v>68</v>
          </cell>
          <cell r="W71"/>
          <cell r="X71"/>
          <cell r="Y71"/>
          <cell r="Z71"/>
          <cell r="AA71"/>
          <cell r="AB71"/>
          <cell r="AC71"/>
          <cell r="AD71"/>
          <cell r="AE71"/>
          <cell r="AF71"/>
          <cell r="AG71"/>
          <cell r="AH71"/>
          <cell r="AI71"/>
          <cell r="AJ71"/>
          <cell r="AK71"/>
          <cell r="AL71"/>
        </row>
        <row r="72">
          <cell r="A72">
            <v>69</v>
          </cell>
          <cell r="B72" t="str">
            <v>NET PROFIT OR (LOSS) -before bonuses and income taxes</v>
          </cell>
          <cell r="C72"/>
          <cell r="D72"/>
          <cell r="E72"/>
          <cell r="F72"/>
          <cell r="G72"/>
          <cell r="H72">
            <v>-45602</v>
          </cell>
          <cell r="I72"/>
          <cell r="J72"/>
          <cell r="K72"/>
          <cell r="L72">
            <v>49947</v>
          </cell>
          <cell r="M72"/>
          <cell r="N72"/>
          <cell r="O72"/>
          <cell r="P72" t="str">
            <v>Parts &amp; Access</v>
          </cell>
          <cell r="Q72"/>
          <cell r="R72"/>
          <cell r="S72"/>
          <cell r="T72">
            <v>0</v>
          </cell>
          <cell r="U72"/>
          <cell r="V72">
            <v>69</v>
          </cell>
          <cell r="W72"/>
          <cell r="X72"/>
          <cell r="Y72"/>
          <cell r="Z72"/>
          <cell r="AA72"/>
          <cell r="AB72"/>
          <cell r="AC72"/>
          <cell r="AD72"/>
          <cell r="AE72"/>
          <cell r="AF72"/>
          <cell r="AG72"/>
          <cell r="AH72"/>
          <cell r="AI72"/>
          <cell r="AJ72"/>
          <cell r="AK72"/>
          <cell r="AL72"/>
        </row>
        <row r="73">
          <cell r="A73">
            <v>70</v>
          </cell>
          <cell r="B73" t="str">
            <v>Income Taxes</v>
          </cell>
          <cell r="C73"/>
          <cell r="D73"/>
          <cell r="E73"/>
          <cell r="F73" t="str">
            <v>99</v>
          </cell>
          <cell r="G73"/>
          <cell r="H73">
            <v>0</v>
          </cell>
          <cell r="I73"/>
          <cell r="J73"/>
          <cell r="K73"/>
          <cell r="L73">
            <v>0</v>
          </cell>
          <cell r="M73"/>
          <cell r="N73"/>
          <cell r="O73"/>
          <cell r="P73" t="str">
            <v>TOTAL</v>
          </cell>
          <cell r="Q73"/>
          <cell r="R73"/>
          <cell r="S73"/>
          <cell r="T73">
            <v>0</v>
          </cell>
          <cell r="U73"/>
          <cell r="V73">
            <v>70</v>
          </cell>
          <cell r="W73"/>
          <cell r="X73"/>
          <cell r="Y73"/>
          <cell r="Z73"/>
          <cell r="AA73"/>
          <cell r="AB73"/>
          <cell r="AC73"/>
          <cell r="AD73"/>
          <cell r="AE73"/>
          <cell r="AF73"/>
          <cell r="AG73"/>
          <cell r="AH73"/>
          <cell r="AI73"/>
          <cell r="AJ73"/>
          <cell r="AK73"/>
          <cell r="AL73"/>
        </row>
        <row r="74">
          <cell r="A74">
            <v>71</v>
          </cell>
          <cell r="B74" t="str">
            <v>NET PROFIT OR (LOSS)    -after bonuses and income taxes</v>
          </cell>
          <cell r="C74"/>
          <cell r="D74"/>
          <cell r="E74"/>
          <cell r="F74"/>
          <cell r="G74"/>
          <cell r="H74">
            <v>-45602</v>
          </cell>
          <cell r="I74"/>
          <cell r="J74"/>
          <cell r="K74"/>
          <cell r="L74">
            <v>49947</v>
          </cell>
          <cell r="M74"/>
          <cell r="N74"/>
          <cell r="O74"/>
          <cell r="P74"/>
          <cell r="Q74"/>
          <cell r="R74"/>
          <cell r="S74"/>
          <cell r="T74"/>
          <cell r="U74"/>
          <cell r="V74">
            <v>71</v>
          </cell>
          <cell r="W74"/>
          <cell r="X74"/>
          <cell r="Y74"/>
          <cell r="Z74"/>
          <cell r="AA74"/>
          <cell r="AB74"/>
          <cell r="AC74"/>
          <cell r="AD74"/>
          <cell r="AE74"/>
          <cell r="AF74"/>
          <cell r="AG74"/>
          <cell r="AH74"/>
          <cell r="AI74"/>
          <cell r="AJ74"/>
          <cell r="AK74"/>
          <cell r="AL74"/>
        </row>
        <row r="75">
          <cell r="A75">
            <v>72</v>
          </cell>
          <cell r="B75" t="str">
            <v>DEPARTMENTAL OP. SUMMARY</v>
          </cell>
          <cell r="C75"/>
          <cell r="D75"/>
          <cell r="E75" t="str">
            <v>MONTH</v>
          </cell>
          <cell r="F75"/>
          <cell r="G75" t="str">
            <v>AVERAGE MONTH</v>
          </cell>
          <cell r="H75"/>
          <cell r="I75" t="str">
            <v>% CHANGE</v>
          </cell>
          <cell r="J75"/>
          <cell r="K75"/>
          <cell r="L75" t="str">
            <v>DEPARTMENTAL OP. SUMMARY</v>
          </cell>
          <cell r="M75"/>
          <cell r="N75"/>
          <cell r="O75"/>
          <cell r="P75" t="str">
            <v>MONTH</v>
          </cell>
          <cell r="Q75"/>
          <cell r="R75" t="str">
            <v>AVERAGE MONTH</v>
          </cell>
          <cell r="S75"/>
          <cell r="T75" t="str">
            <v>% CHANGE</v>
          </cell>
          <cell r="U75"/>
          <cell r="V75">
            <v>72</v>
          </cell>
          <cell r="W75"/>
          <cell r="X75"/>
          <cell r="Y75"/>
          <cell r="Z75"/>
          <cell r="AA75"/>
          <cell r="AB75"/>
          <cell r="AC75"/>
          <cell r="AD75"/>
          <cell r="AE75"/>
          <cell r="AF75"/>
          <cell r="AG75"/>
          <cell r="AH75"/>
          <cell r="AI75"/>
          <cell r="AJ75"/>
          <cell r="AK75"/>
          <cell r="AL75"/>
        </row>
        <row r="76">
          <cell r="A76">
            <v>73</v>
          </cell>
          <cell r="B76" t="str">
            <v>New Veh. Dept. G. P. PNVS</v>
          </cell>
          <cell r="C76"/>
          <cell r="D76"/>
          <cell r="E76">
            <v>1973.195652173913</v>
          </cell>
          <cell r="F76"/>
          <cell r="G76">
            <v>1756.3709677419354</v>
          </cell>
          <cell r="H76"/>
          <cell r="I76">
            <v>0.10988504064110273</v>
          </cell>
          <cell r="J76"/>
          <cell r="K76"/>
          <cell r="L76" t="str">
            <v>Service Dept. Gross</v>
          </cell>
          <cell r="M76"/>
          <cell r="N76"/>
          <cell r="O76"/>
          <cell r="P76">
            <v>67918</v>
          </cell>
          <cell r="Q76"/>
          <cell r="R76">
            <v>42590.583333333336</v>
          </cell>
          <cell r="S76"/>
          <cell r="T76">
            <v>-0.37291169743906866</v>
          </cell>
          <cell r="U76"/>
          <cell r="V76">
            <v>73</v>
          </cell>
          <cell r="W76"/>
          <cell r="X76"/>
          <cell r="Y76"/>
          <cell r="Z76"/>
          <cell r="AA76"/>
          <cell r="AB76"/>
          <cell r="AC76"/>
          <cell r="AD76"/>
          <cell r="AE76"/>
          <cell r="AF76"/>
          <cell r="AG76"/>
          <cell r="AH76"/>
          <cell r="AI76"/>
          <cell r="AJ76"/>
          <cell r="AK76"/>
          <cell r="AL76"/>
        </row>
        <row r="77">
          <cell r="A77">
            <v>74</v>
          </cell>
          <cell r="B77" t="str">
            <v>New Veh. Dept. Expense PNVS</v>
          </cell>
          <cell r="C77"/>
          <cell r="D77"/>
          <cell r="E77">
            <v>-1739.6521739130435</v>
          </cell>
          <cell r="F77"/>
          <cell r="G77">
            <v>-1320.116129032258</v>
          </cell>
          <cell r="H77"/>
          <cell r="I77">
            <v>0.24116087754318871</v>
          </cell>
          <cell r="J77"/>
          <cell r="K77"/>
          <cell r="L77" t="str">
            <v>Service Dept. Expense</v>
          </cell>
          <cell r="M77"/>
          <cell r="N77"/>
          <cell r="O77"/>
          <cell r="P77">
            <v>69051</v>
          </cell>
          <cell r="Q77"/>
          <cell r="R77">
            <v>31160</v>
          </cell>
          <cell r="S77"/>
          <cell r="T77">
            <v>-0.54873933759105586</v>
          </cell>
          <cell r="U77"/>
          <cell r="V77">
            <v>74</v>
          </cell>
          <cell r="W77"/>
          <cell r="X77"/>
          <cell r="Y77"/>
          <cell r="Z77"/>
          <cell r="AA77"/>
          <cell r="AB77"/>
          <cell r="AC77"/>
          <cell r="AD77"/>
          <cell r="AE77"/>
          <cell r="AF77"/>
          <cell r="AG77"/>
          <cell r="AH77"/>
          <cell r="AI77"/>
          <cell r="AJ77"/>
          <cell r="AK77"/>
          <cell r="AL77"/>
        </row>
        <row r="78">
          <cell r="A78">
            <v>75</v>
          </cell>
          <cell r="B78" t="str">
            <v>New Veh. Dept. Profit PNVS</v>
          </cell>
          <cell r="C78"/>
          <cell r="D78"/>
          <cell r="E78" t="e">
            <v>#REF!</v>
          </cell>
          <cell r="F78"/>
          <cell r="G78" t="e">
            <v>#REF!</v>
          </cell>
          <cell r="H78"/>
          <cell r="I78" t="e">
            <v>#REF!</v>
          </cell>
          <cell r="J78"/>
          <cell r="K78"/>
          <cell r="L78" t="str">
            <v>Service Dept. Operating Profit</v>
          </cell>
          <cell r="M78"/>
          <cell r="N78"/>
          <cell r="O78"/>
          <cell r="P78">
            <v>-1133</v>
          </cell>
          <cell r="Q78"/>
          <cell r="R78">
            <v>479927</v>
          </cell>
          <cell r="S78"/>
          <cell r="T78">
            <v>424.58958517210942</v>
          </cell>
          <cell r="U78"/>
          <cell r="V78">
            <v>75</v>
          </cell>
          <cell r="W78"/>
          <cell r="X78"/>
          <cell r="Y78"/>
          <cell r="Z78"/>
          <cell r="AA78"/>
          <cell r="AB78"/>
          <cell r="AC78"/>
          <cell r="AD78"/>
          <cell r="AE78"/>
          <cell r="AF78"/>
          <cell r="AG78"/>
          <cell r="AH78"/>
          <cell r="AI78"/>
          <cell r="AJ78"/>
          <cell r="AK78"/>
          <cell r="AL78"/>
        </row>
        <row r="79">
          <cell r="A79">
            <v>76</v>
          </cell>
          <cell r="B79" t="str">
            <v>Used Veh. Dept. G. P. PUVS</v>
          </cell>
          <cell r="C79"/>
          <cell r="D79"/>
          <cell r="E79">
            <v>452.9</v>
          </cell>
          <cell r="F79"/>
          <cell r="G79">
            <v>970.4453125</v>
          </cell>
          <cell r="H79"/>
          <cell r="I79">
            <v>-1.1427363932435417</v>
          </cell>
          <cell r="J79"/>
          <cell r="K79"/>
          <cell r="L79" t="str">
            <v>Parts Dept. Gross</v>
          </cell>
          <cell r="M79"/>
          <cell r="N79"/>
          <cell r="O79"/>
          <cell r="P79">
            <v>32458</v>
          </cell>
          <cell r="Q79"/>
          <cell r="R79">
            <v>19607.166666666668</v>
          </cell>
          <cell r="S79"/>
          <cell r="T79">
            <v>0.39592190933924865</v>
          </cell>
          <cell r="U79"/>
          <cell r="V79">
            <v>76</v>
          </cell>
          <cell r="W79"/>
          <cell r="X79"/>
          <cell r="Y79"/>
          <cell r="Z79"/>
          <cell r="AA79"/>
          <cell r="AB79"/>
          <cell r="AC79"/>
          <cell r="AD79"/>
          <cell r="AE79"/>
          <cell r="AF79"/>
          <cell r="AG79"/>
          <cell r="AH79"/>
          <cell r="AI79"/>
          <cell r="AJ79"/>
          <cell r="AK79"/>
          <cell r="AL79"/>
        </row>
        <row r="80">
          <cell r="A80">
            <v>77</v>
          </cell>
          <cell r="B80" t="str">
            <v>Used Veh. Dept. Expense PUVS</v>
          </cell>
          <cell r="C80"/>
          <cell r="D80"/>
          <cell r="E80">
            <v>-1334.5</v>
          </cell>
          <cell r="F80"/>
          <cell r="G80">
            <v>0</v>
          </cell>
          <cell r="H80"/>
          <cell r="I80">
            <v>1</v>
          </cell>
          <cell r="J80"/>
          <cell r="K80"/>
          <cell r="L80" t="str">
            <v>Parts Dept. Expense</v>
          </cell>
          <cell r="M80"/>
          <cell r="N80"/>
          <cell r="O80"/>
          <cell r="P80">
            <v>27212</v>
          </cell>
          <cell r="Q80"/>
          <cell r="R80">
            <v>14523.75</v>
          </cell>
          <cell r="S80"/>
          <cell r="T80">
            <v>-0.46627407026311923</v>
          </cell>
          <cell r="U80"/>
          <cell r="V80">
            <v>77</v>
          </cell>
          <cell r="W80"/>
          <cell r="X80"/>
          <cell r="Y80"/>
          <cell r="Z80"/>
          <cell r="AA80"/>
          <cell r="AB80"/>
          <cell r="AC80"/>
          <cell r="AD80"/>
          <cell r="AE80"/>
          <cell r="AF80"/>
          <cell r="AG80"/>
          <cell r="AH80"/>
          <cell r="AI80"/>
          <cell r="AJ80"/>
          <cell r="AK80"/>
          <cell r="AL80"/>
        </row>
        <row r="81">
          <cell r="A81">
            <v>78</v>
          </cell>
          <cell r="B81" t="str">
            <v>Used Veh. Dept. Profit PUVS</v>
          </cell>
          <cell r="C81"/>
          <cell r="D81"/>
          <cell r="E81">
            <v>1787.4</v>
          </cell>
          <cell r="F81"/>
          <cell r="G81">
            <v>1726.7890625</v>
          </cell>
          <cell r="H81"/>
          <cell r="I81">
            <v>3.3910113852523266E-2</v>
          </cell>
          <cell r="J81"/>
          <cell r="K81"/>
          <cell r="L81" t="str">
            <v>Parts Dept. Operating Profit</v>
          </cell>
          <cell r="M81"/>
          <cell r="N81"/>
          <cell r="O81"/>
          <cell r="P81">
            <v>5246</v>
          </cell>
          <cell r="Q81"/>
          <cell r="R81">
            <v>220762.25</v>
          </cell>
          <cell r="S81"/>
          <cell r="T81">
            <v>-41.082014868471219</v>
          </cell>
          <cell r="U81"/>
          <cell r="V81">
            <v>78</v>
          </cell>
          <cell r="W81"/>
          <cell r="X81"/>
          <cell r="Y81"/>
          <cell r="Z81"/>
          <cell r="AA81"/>
          <cell r="AB81"/>
          <cell r="AC81"/>
          <cell r="AD81"/>
          <cell r="AE81"/>
          <cell r="AF81"/>
          <cell r="AG81"/>
          <cell r="AH81"/>
          <cell r="AI81"/>
          <cell r="AJ81"/>
          <cell r="AK81"/>
          <cell r="AL81"/>
        </row>
        <row r="82">
          <cell r="A82">
            <v>79</v>
          </cell>
          <cell r="B82" t="str">
            <v>Advertising Expense PNVS</v>
          </cell>
          <cell r="C82"/>
          <cell r="D82"/>
          <cell r="E82">
            <v>745.91304347826087</v>
          </cell>
          <cell r="F82"/>
          <cell r="G82">
            <v>791.91612903225814</v>
          </cell>
          <cell r="H82"/>
          <cell r="I82">
            <v>-6.1673523416993302E-2</v>
          </cell>
          <cell r="J82"/>
          <cell r="K82"/>
          <cell r="L82" t="str">
            <v>Service &amp; Parts Absorption</v>
          </cell>
          <cell r="M82"/>
          <cell r="N82"/>
          <cell r="O82"/>
          <cell r="P82" t="e">
            <v>#REF!</v>
          </cell>
          <cell r="Q82"/>
          <cell r="R82" t="e">
            <v>#REF!</v>
          </cell>
          <cell r="S82"/>
          <cell r="T82" t="e">
            <v>#REF!</v>
          </cell>
          <cell r="U82"/>
          <cell r="V82">
            <v>79</v>
          </cell>
          <cell r="W82"/>
          <cell r="X82"/>
          <cell r="Y82"/>
          <cell r="Z82"/>
          <cell r="AA82"/>
          <cell r="AB82"/>
          <cell r="AC82"/>
          <cell r="AD82"/>
          <cell r="AE82"/>
          <cell r="AF82"/>
          <cell r="AG82"/>
          <cell r="AH82"/>
          <cell r="AI82"/>
          <cell r="AJ82"/>
          <cell r="AK82"/>
          <cell r="AL82"/>
        </row>
        <row r="83">
          <cell r="A83">
            <v>80</v>
          </cell>
          <cell r="B83" t="str">
            <v>New Veh. Inv. Days Supply</v>
          </cell>
          <cell r="C83"/>
          <cell r="D83" t="str">
            <v>HYNDAI ONLY</v>
          </cell>
          <cell r="E83">
            <v>133</v>
          </cell>
          <cell r="F83"/>
          <cell r="G83">
            <v>239.39999999999998</v>
          </cell>
          <cell r="H83"/>
          <cell r="I83">
            <v>-0.79999999999999982</v>
          </cell>
          <cell r="J83"/>
          <cell r="K83"/>
          <cell r="L83" t="str">
            <v>Number of Customer Contacts</v>
          </cell>
          <cell r="M83"/>
          <cell r="N83"/>
          <cell r="O83" t="str">
            <v>HYUNDAI ONLY</v>
          </cell>
          <cell r="P83">
            <v>435</v>
          </cell>
          <cell r="Q83"/>
          <cell r="R83">
            <v>250.25</v>
          </cell>
          <cell r="S83"/>
          <cell r="T83">
            <v>0.42471264367816092</v>
          </cell>
          <cell r="U83"/>
          <cell r="V83">
            <v>80</v>
          </cell>
          <cell r="W83"/>
          <cell r="X83"/>
          <cell r="Y83"/>
          <cell r="Z83"/>
          <cell r="AA83"/>
          <cell r="AB83"/>
          <cell r="AC83"/>
          <cell r="AD83"/>
          <cell r="AE83"/>
          <cell r="AF83"/>
          <cell r="AG83"/>
          <cell r="AH83"/>
          <cell r="AI83"/>
          <cell r="AJ83"/>
          <cell r="AK83"/>
          <cell r="AL83"/>
        </row>
        <row r="84">
          <cell r="A84">
            <v>81</v>
          </cell>
          <cell r="B84" t="str">
            <v>Avg. Sales Per Salesperson</v>
          </cell>
          <cell r="C84"/>
          <cell r="D84"/>
          <cell r="E84">
            <v>7.5</v>
          </cell>
          <cell r="F84"/>
          <cell r="G84">
            <v>4.166666666666667</v>
          </cell>
          <cell r="H84"/>
          <cell r="I84">
            <v>0.44444444444444442</v>
          </cell>
          <cell r="J84"/>
          <cell r="K84"/>
          <cell r="L84" t="str">
            <v>Labor Hours Per Customer R.O.</v>
          </cell>
          <cell r="M84"/>
          <cell r="N84"/>
          <cell r="O84"/>
          <cell r="P84">
            <v>105.41189931350115</v>
          </cell>
          <cell r="Q84"/>
          <cell r="R84">
            <v>99.157323008254679</v>
          </cell>
          <cell r="S84"/>
          <cell r="T84">
            <v>5.9334632484374442E-2</v>
          </cell>
          <cell r="U84"/>
          <cell r="V84">
            <v>81</v>
          </cell>
          <cell r="W84"/>
          <cell r="X84"/>
          <cell r="Y84"/>
          <cell r="Z84"/>
          <cell r="AA84"/>
          <cell r="AB84"/>
          <cell r="AC84"/>
          <cell r="AD84"/>
          <cell r="AE84"/>
          <cell r="AF84"/>
          <cell r="AG84"/>
          <cell r="AH84"/>
          <cell r="AI84"/>
          <cell r="AJ84"/>
          <cell r="AK84"/>
          <cell r="AL84"/>
        </row>
        <row r="85">
          <cell r="A85">
            <v>82</v>
          </cell>
          <cell r="B85" t="str">
            <v>Number of Hyundai New Vehicle UPS</v>
          </cell>
          <cell r="C85"/>
          <cell r="D85"/>
          <cell r="E85">
            <v>0</v>
          </cell>
          <cell r="F85"/>
          <cell r="G85">
            <v>0</v>
          </cell>
          <cell r="H85"/>
          <cell r="I85" t="str">
            <v>-</v>
          </cell>
          <cell r="J85"/>
          <cell r="K85"/>
          <cell r="L85" t="str">
            <v>Labor Hours Per Warranty R.O.</v>
          </cell>
          <cell r="M85"/>
          <cell r="N85"/>
          <cell r="O85"/>
          <cell r="P85">
            <v>96.30185391354857</v>
          </cell>
          <cell r="Q85"/>
          <cell r="R85">
            <v>83.319269377494152</v>
          </cell>
          <cell r="S85"/>
          <cell r="T85">
            <v>0.13481136664003429</v>
          </cell>
          <cell r="U85"/>
          <cell r="V85">
            <v>82</v>
          </cell>
          <cell r="W85"/>
          <cell r="X85"/>
          <cell r="Y85"/>
          <cell r="Z85"/>
          <cell r="AA85"/>
          <cell r="AB85"/>
          <cell r="AC85"/>
          <cell r="AD85"/>
          <cell r="AE85"/>
          <cell r="AF85"/>
          <cell r="AG85"/>
          <cell r="AH85"/>
          <cell r="AI85"/>
          <cell r="AJ85"/>
          <cell r="AK85"/>
          <cell r="AL85"/>
        </row>
        <row r="86">
          <cell r="A86">
            <v>83</v>
          </cell>
          <cell r="B86" t="str">
            <v>New Veh. Closing Ratio</v>
          </cell>
          <cell r="C86"/>
          <cell r="D86"/>
          <cell r="E86">
            <v>0</v>
          </cell>
          <cell r="F86"/>
          <cell r="G86">
            <v>0</v>
          </cell>
          <cell r="H86"/>
          <cell r="I86" t="str">
            <v>-</v>
          </cell>
          <cell r="J86"/>
          <cell r="K86"/>
          <cell r="L86" t="str">
            <v>Parts Inv. Months Supply</v>
          </cell>
          <cell r="M86"/>
          <cell r="N86"/>
          <cell r="O86"/>
          <cell r="P86">
            <v>1.2527731009210656</v>
          </cell>
          <cell r="Q86"/>
          <cell r="R86">
            <v>2.7810736533528768</v>
          </cell>
          <cell r="S86"/>
          <cell r="T86">
            <v>-1.2199340417735438</v>
          </cell>
          <cell r="U86"/>
          <cell r="V86">
            <v>83</v>
          </cell>
          <cell r="W86"/>
          <cell r="X86"/>
          <cell r="Y86"/>
          <cell r="Z86"/>
          <cell r="AA86"/>
          <cell r="AB86"/>
          <cell r="AC86"/>
          <cell r="AD86"/>
          <cell r="AE86"/>
          <cell r="AF86"/>
          <cell r="AG86"/>
          <cell r="AH86"/>
          <cell r="AI86"/>
          <cell r="AJ86"/>
          <cell r="AK86"/>
          <cell r="AL86"/>
        </row>
        <row r="87">
          <cell r="A87"/>
          <cell r="B87"/>
          <cell r="C87"/>
          <cell r="D87"/>
          <cell r="E87"/>
          <cell r="F87"/>
          <cell r="G87"/>
          <cell r="H87"/>
          <cell r="I87"/>
          <cell r="J87"/>
          <cell r="K87"/>
          <cell r="L87"/>
          <cell r="M87"/>
          <cell r="N87"/>
          <cell r="O87"/>
          <cell r="T87" t="str">
            <v>Ver</v>
          </cell>
          <cell r="U87" t="str">
            <v>1.3-18</v>
          </cell>
          <cell r="V87"/>
          <cell r="W87"/>
          <cell r="X87"/>
          <cell r="Y87"/>
          <cell r="Z87"/>
          <cell r="AA87"/>
          <cell r="AB87"/>
          <cell r="AC87"/>
          <cell r="AD87"/>
          <cell r="AE87"/>
          <cell r="AF87"/>
          <cell r="AG87"/>
          <cell r="AH87"/>
          <cell r="AI87"/>
          <cell r="AJ87"/>
          <cell r="AK87"/>
          <cell r="AL87"/>
        </row>
      </sheetData>
      <sheetData sheetId="2" refreshError="1">
        <row r="1">
          <cell r="A1"/>
          <cell r="B1" t="str">
            <v xml:space="preserve">DEPARTMENTAL INCOME AND DIRECT EXPENSE                                           </v>
          </cell>
          <cell r="C1"/>
          <cell r="D1"/>
          <cell r="E1"/>
          <cell r="F1"/>
          <cell r="G1"/>
          <cell r="H1"/>
          <cell r="I1"/>
          <cell r="J1"/>
          <cell r="K1" t="str">
            <v>OMIT CENTS</v>
          </cell>
          <cell r="L1"/>
          <cell r="M1"/>
          <cell r="N1"/>
          <cell r="O1"/>
          <cell r="P1"/>
          <cell r="Q1"/>
          <cell r="R1"/>
          <cell r="S1"/>
          <cell r="T1" t="str">
            <v>PAGE 3</v>
          </cell>
          <cell r="U1"/>
          <cell r="V1"/>
          <cell r="W1"/>
        </row>
        <row r="2">
          <cell r="A2" t="str">
            <v>LINE NO</v>
          </cell>
          <cell r="B2" t="str">
            <v>NAME OF ACCOUNT</v>
          </cell>
          <cell r="C2"/>
          <cell r="D2"/>
          <cell r="E2" t="str">
            <v>ACCT NO</v>
          </cell>
          <cell r="F2" t="str">
            <v>B - USED VEHICLE DEPT.</v>
          </cell>
          <cell r="G2"/>
          <cell r="H2"/>
          <cell r="I2"/>
          <cell r="J2" t="str">
            <v>C - SERVICE DEPT.</v>
          </cell>
          <cell r="K2"/>
          <cell r="L2"/>
          <cell r="M2"/>
          <cell r="N2" t="str">
            <v>D-PARTS &amp; ACCESS.DEPT.</v>
          </cell>
          <cell r="O2"/>
          <cell r="P2"/>
          <cell r="Q2"/>
          <cell r="R2" t="str">
            <v>E - BODY SHOP DEPT</v>
          </cell>
          <cell r="S2"/>
          <cell r="T2"/>
          <cell r="U2"/>
          <cell r="V2" t="str">
            <v>LINE NO</v>
          </cell>
          <cell r="W2"/>
          <cell r="X2" t="str">
            <v>Month</v>
          </cell>
        </row>
        <row r="3">
          <cell r="A3"/>
          <cell r="B3"/>
          <cell r="C3"/>
          <cell r="D3"/>
          <cell r="E3"/>
          <cell r="F3" t="str">
            <v>MONTH</v>
          </cell>
          <cell r="G3"/>
          <cell r="H3" t="str">
            <v>YEAR TO DATE</v>
          </cell>
          <cell r="I3"/>
          <cell r="J3" t="str">
            <v>MONTH</v>
          </cell>
          <cell r="K3"/>
          <cell r="L3" t="str">
            <v>YEAR TO DATE</v>
          </cell>
          <cell r="M3"/>
          <cell r="N3" t="str">
            <v>MONTH</v>
          </cell>
          <cell r="O3"/>
          <cell r="P3" t="str">
            <v>YEAR TO DATE</v>
          </cell>
          <cell r="Q3"/>
          <cell r="R3" t="str">
            <v>MONTH</v>
          </cell>
          <cell r="S3"/>
          <cell r="T3" t="str">
            <v>YEAR TO DATE</v>
          </cell>
          <cell r="U3"/>
          <cell r="V3"/>
          <cell r="W3"/>
        </row>
        <row r="4">
          <cell r="A4">
            <v>1</v>
          </cell>
          <cell r="B4" t="str">
            <v>NET SALES (From Page 5)</v>
          </cell>
          <cell r="C4"/>
          <cell r="D4"/>
          <cell r="E4"/>
          <cell r="F4">
            <v>744647</v>
          </cell>
          <cell r="G4"/>
          <cell r="H4">
            <v>4704240</v>
          </cell>
          <cell r="I4"/>
          <cell r="J4">
            <v>105158</v>
          </cell>
          <cell r="K4"/>
          <cell r="L4">
            <v>758201</v>
          </cell>
          <cell r="M4"/>
          <cell r="N4">
            <v>107991</v>
          </cell>
          <cell r="O4"/>
          <cell r="P4">
            <v>748746</v>
          </cell>
          <cell r="Q4"/>
          <cell r="R4">
            <v>0</v>
          </cell>
          <cell r="S4"/>
          <cell r="T4">
            <v>0</v>
          </cell>
          <cell r="U4"/>
          <cell r="V4">
            <v>1</v>
          </cell>
          <cell r="W4"/>
          <cell r="X4"/>
        </row>
        <row r="5">
          <cell r="A5">
            <v>2</v>
          </cell>
          <cell r="B5" t="str">
            <v>GROSS PROFIT (From Page 5)</v>
          </cell>
          <cell r="C5"/>
          <cell r="D5"/>
          <cell r="E5"/>
          <cell r="F5">
            <v>18116</v>
          </cell>
          <cell r="G5"/>
          <cell r="H5">
            <v>248434</v>
          </cell>
          <cell r="I5"/>
          <cell r="J5">
            <v>67918</v>
          </cell>
          <cell r="K5"/>
          <cell r="L5">
            <v>511087</v>
          </cell>
          <cell r="M5"/>
          <cell r="N5">
            <v>32458</v>
          </cell>
          <cell r="O5"/>
          <cell r="P5">
            <v>235286</v>
          </cell>
          <cell r="Q5"/>
          <cell r="R5">
            <v>0</v>
          </cell>
          <cell r="S5"/>
          <cell r="T5">
            <v>0</v>
          </cell>
          <cell r="U5"/>
          <cell r="V5">
            <v>2</v>
          </cell>
          <cell r="W5"/>
        </row>
        <row r="6">
          <cell r="A6">
            <v>3</v>
          </cell>
          <cell r="B6" t="str">
            <v>GROSS PROFIT PER CENT OF SALES</v>
          </cell>
          <cell r="C6"/>
          <cell r="D6"/>
          <cell r="E6"/>
          <cell r="F6">
            <v>2.4328305895276552E-2</v>
          </cell>
          <cell r="G6"/>
          <cell r="H6">
            <v>5.2810655918915698E-2</v>
          </cell>
          <cell r="I6"/>
          <cell r="J6">
            <v>0.64586622035413377</v>
          </cell>
          <cell r="K6"/>
          <cell r="L6">
            <v>0.6740785095245192</v>
          </cell>
          <cell r="M6"/>
          <cell r="N6">
            <v>0.30056208387736016</v>
          </cell>
          <cell r="O6"/>
          <cell r="P6">
            <v>0.31424007607386217</v>
          </cell>
          <cell r="Q6"/>
          <cell r="R6" t="str">
            <v>-</v>
          </cell>
          <cell r="S6"/>
          <cell r="T6" t="str">
            <v>-</v>
          </cell>
          <cell r="U6"/>
          <cell r="V6">
            <v>3</v>
          </cell>
          <cell r="W6"/>
        </row>
        <row r="7">
          <cell r="A7">
            <v>4</v>
          </cell>
          <cell r="B7" t="str">
            <v>VARIABLE SELLING EXPENSES</v>
          </cell>
          <cell r="C7"/>
          <cell r="D7"/>
          <cell r="E7"/>
          <cell r="F7"/>
          <cell r="G7"/>
          <cell r="H7"/>
          <cell r="I7"/>
          <cell r="J7"/>
          <cell r="K7"/>
          <cell r="L7"/>
          <cell r="M7"/>
          <cell r="N7"/>
          <cell r="O7"/>
          <cell r="P7"/>
          <cell r="Q7"/>
          <cell r="R7"/>
          <cell r="S7"/>
          <cell r="T7"/>
          <cell r="U7"/>
          <cell r="V7">
            <v>4</v>
          </cell>
          <cell r="W7"/>
        </row>
        <row r="8">
          <cell r="A8">
            <v>5</v>
          </cell>
          <cell r="B8" t="str">
            <v>Salespeople: Commission and Incentive</v>
          </cell>
          <cell r="C8"/>
          <cell r="D8"/>
          <cell r="E8">
            <v>11</v>
          </cell>
          <cell r="F8">
            <v>7735</v>
          </cell>
          <cell r="G8"/>
          <cell r="H8">
            <v>52578</v>
          </cell>
          <cell r="I8"/>
          <cell r="J8">
            <v>0</v>
          </cell>
          <cell r="K8"/>
          <cell r="L8">
            <v>0</v>
          </cell>
          <cell r="M8"/>
          <cell r="N8">
            <v>0</v>
          </cell>
          <cell r="O8"/>
          <cell r="P8">
            <v>0</v>
          </cell>
          <cell r="Q8"/>
          <cell r="R8">
            <v>0</v>
          </cell>
          <cell r="S8"/>
          <cell r="T8">
            <v>0</v>
          </cell>
          <cell r="U8"/>
          <cell r="V8">
            <v>5</v>
          </cell>
          <cell r="W8"/>
        </row>
        <row r="9">
          <cell r="A9">
            <v>6</v>
          </cell>
          <cell r="B9" t="str">
            <v>F &amp; I Managers: Compensation and Incentives</v>
          </cell>
          <cell r="C9"/>
          <cell r="D9"/>
          <cell r="E9">
            <v>12</v>
          </cell>
          <cell r="F9">
            <v>6914</v>
          </cell>
          <cell r="G9"/>
          <cell r="H9">
            <v>26334</v>
          </cell>
          <cell r="I9"/>
          <cell r="J9"/>
          <cell r="K9" t="str">
            <v>HOURLY  LABOR RATES CHARGED</v>
          </cell>
          <cell r="L9"/>
          <cell r="M9"/>
          <cell r="N9" t="str">
            <v>CUSTOMER</v>
          </cell>
          <cell r="O9"/>
          <cell r="P9" t="str">
            <v>WARRANTY</v>
          </cell>
          <cell r="Q9"/>
          <cell r="R9" t="str">
            <v>INTERNAL</v>
          </cell>
          <cell r="S9"/>
          <cell r="T9"/>
          <cell r="U9"/>
          <cell r="V9">
            <v>6</v>
          </cell>
          <cell r="W9"/>
        </row>
        <row r="10">
          <cell r="A10">
            <v>7</v>
          </cell>
          <cell r="B10" t="str">
            <v>Delivery Expense</v>
          </cell>
          <cell r="C10"/>
          <cell r="D10"/>
          <cell r="E10">
            <v>13</v>
          </cell>
          <cell r="F10">
            <v>1397</v>
          </cell>
          <cell r="G10"/>
          <cell r="H10">
            <v>18038</v>
          </cell>
          <cell r="I10"/>
          <cell r="J10"/>
          <cell r="K10"/>
          <cell r="L10"/>
          <cell r="M10" t="str">
            <v>MECH.</v>
          </cell>
          <cell r="N10">
            <v>115</v>
          </cell>
          <cell r="O10"/>
          <cell r="P10">
            <v>113.2</v>
          </cell>
          <cell r="Q10"/>
          <cell r="R10">
            <v>115</v>
          </cell>
          <cell r="S10"/>
          <cell r="T10"/>
          <cell r="U10"/>
          <cell r="V10">
            <v>7</v>
          </cell>
          <cell r="W10"/>
        </row>
        <row r="11">
          <cell r="A11">
            <v>8</v>
          </cell>
          <cell r="B11" t="str">
            <v>Policy Work - Vehicles</v>
          </cell>
          <cell r="C11"/>
          <cell r="D11"/>
          <cell r="E11">
            <v>14</v>
          </cell>
          <cell r="F11">
            <v>0</v>
          </cell>
          <cell r="G11"/>
          <cell r="H11">
            <v>941</v>
          </cell>
          <cell r="I11"/>
          <cell r="J11"/>
          <cell r="K11"/>
          <cell r="L11"/>
          <cell r="M11" t="str">
            <v>BODY</v>
          </cell>
          <cell r="N11">
            <v>0</v>
          </cell>
          <cell r="O11"/>
          <cell r="P11">
            <v>0</v>
          </cell>
          <cell r="Q11"/>
          <cell r="R11">
            <v>0</v>
          </cell>
          <cell r="S11"/>
          <cell r="T11"/>
          <cell r="U11"/>
          <cell r="V11">
            <v>8</v>
          </cell>
          <cell r="W11"/>
        </row>
        <row r="12">
          <cell r="A12">
            <v>9</v>
          </cell>
          <cell r="B12" t="str">
            <v>Interest - Floor Planning</v>
          </cell>
          <cell r="C12"/>
          <cell r="D12"/>
          <cell r="E12">
            <v>15</v>
          </cell>
          <cell r="F12">
            <v>1412</v>
          </cell>
          <cell r="G12"/>
          <cell r="H12">
            <v>7117</v>
          </cell>
          <cell r="I12"/>
          <cell r="J12"/>
          <cell r="K12"/>
          <cell r="L12"/>
          <cell r="M12"/>
          <cell r="N12"/>
          <cell r="O12"/>
          <cell r="P12"/>
          <cell r="Q12"/>
          <cell r="R12"/>
          <cell r="S12"/>
          <cell r="T12"/>
          <cell r="U12"/>
          <cell r="V12">
            <v>9</v>
          </cell>
          <cell r="W12"/>
        </row>
        <row r="13">
          <cell r="A13">
            <v>10</v>
          </cell>
          <cell r="B13" t="str">
            <v>Demonstrator Expense</v>
          </cell>
          <cell r="C13"/>
          <cell r="D13"/>
          <cell r="E13">
            <v>16</v>
          </cell>
          <cell r="F13">
            <v>0</v>
          </cell>
          <cell r="G13"/>
          <cell r="H13">
            <v>0</v>
          </cell>
          <cell r="I13"/>
          <cell r="J13"/>
          <cell r="K13"/>
          <cell r="L13"/>
          <cell r="M13"/>
          <cell r="N13"/>
          <cell r="O13"/>
          <cell r="P13"/>
          <cell r="Q13"/>
          <cell r="R13"/>
          <cell r="S13"/>
          <cell r="T13"/>
          <cell r="U13"/>
          <cell r="V13">
            <v>10</v>
          </cell>
          <cell r="W13"/>
        </row>
        <row r="14">
          <cell r="A14">
            <v>11</v>
          </cell>
          <cell r="B14" t="str">
            <v>Used Vehicle Maintenance Expense</v>
          </cell>
          <cell r="C14"/>
          <cell r="D14"/>
          <cell r="E14">
            <v>17</v>
          </cell>
          <cell r="F14">
            <v>0</v>
          </cell>
          <cell r="G14"/>
          <cell r="H14">
            <v>0</v>
          </cell>
          <cell r="I14"/>
          <cell r="J14"/>
          <cell r="K14"/>
          <cell r="L14"/>
          <cell r="M14"/>
          <cell r="N14"/>
          <cell r="O14"/>
          <cell r="P14"/>
          <cell r="Q14"/>
          <cell r="R14"/>
          <cell r="S14"/>
          <cell r="T14"/>
          <cell r="U14"/>
          <cell r="V14">
            <v>11</v>
          </cell>
          <cell r="W14"/>
        </row>
        <row r="15">
          <cell r="A15">
            <v>12</v>
          </cell>
          <cell r="B15" t="str">
            <v>TOTAL VARIABLE SELLING EXP. Lines 5-11 incl</v>
          </cell>
          <cell r="C15"/>
          <cell r="D15"/>
          <cell r="E15"/>
          <cell r="F15">
            <v>17458</v>
          </cell>
          <cell r="G15"/>
          <cell r="H15">
            <v>105008</v>
          </cell>
          <cell r="I15"/>
          <cell r="J15">
            <v>0</v>
          </cell>
          <cell r="K15"/>
          <cell r="L15">
            <v>0</v>
          </cell>
          <cell r="M15"/>
          <cell r="N15">
            <v>0</v>
          </cell>
          <cell r="O15"/>
          <cell r="P15">
            <v>0</v>
          </cell>
          <cell r="Q15"/>
          <cell r="R15">
            <v>0</v>
          </cell>
          <cell r="S15"/>
          <cell r="T15">
            <v>0</v>
          </cell>
          <cell r="U15"/>
          <cell r="V15">
            <v>12</v>
          </cell>
          <cell r="W15"/>
        </row>
        <row r="16">
          <cell r="A16">
            <v>13</v>
          </cell>
          <cell r="B16" t="str">
            <v>FIXED OVERHEAD EXPENSES</v>
          </cell>
          <cell r="C16"/>
          <cell r="D16"/>
          <cell r="E16"/>
          <cell r="F16"/>
          <cell r="G16"/>
          <cell r="H16"/>
          <cell r="I16"/>
          <cell r="J16"/>
          <cell r="K16"/>
          <cell r="L16"/>
          <cell r="M16"/>
          <cell r="N16"/>
          <cell r="O16"/>
          <cell r="P16"/>
          <cell r="Q16"/>
          <cell r="R16"/>
          <cell r="S16"/>
          <cell r="T16"/>
          <cell r="U16"/>
          <cell r="V16">
            <v>13</v>
          </cell>
          <cell r="W16"/>
        </row>
        <row r="17">
          <cell r="A17">
            <v>14</v>
          </cell>
          <cell r="B17" t="str">
            <v>Salaries - Owners/General Managers</v>
          </cell>
          <cell r="C17"/>
          <cell r="D17"/>
          <cell r="E17">
            <v>20</v>
          </cell>
          <cell r="F17">
            <v>0</v>
          </cell>
          <cell r="G17"/>
          <cell r="H17">
            <v>9165</v>
          </cell>
          <cell r="I17"/>
          <cell r="J17">
            <v>0</v>
          </cell>
          <cell r="K17"/>
          <cell r="L17">
            <v>6110</v>
          </cell>
          <cell r="M17"/>
          <cell r="N17">
            <v>0</v>
          </cell>
          <cell r="O17"/>
          <cell r="P17">
            <v>3055</v>
          </cell>
          <cell r="Q17"/>
          <cell r="R17">
            <v>0</v>
          </cell>
          <cell r="S17"/>
          <cell r="T17">
            <v>0</v>
          </cell>
          <cell r="U17"/>
          <cell r="V17">
            <v>14</v>
          </cell>
          <cell r="W17"/>
        </row>
        <row r="18">
          <cell r="A18">
            <v>15</v>
          </cell>
          <cell r="B18" t="str">
            <v>Salaries - Supervision</v>
          </cell>
          <cell r="C18"/>
          <cell r="D18"/>
          <cell r="E18">
            <v>21</v>
          </cell>
          <cell r="F18">
            <v>18500</v>
          </cell>
          <cell r="G18"/>
          <cell r="H18">
            <v>98289</v>
          </cell>
          <cell r="I18"/>
          <cell r="J18">
            <v>8497</v>
          </cell>
          <cell r="K18"/>
          <cell r="L18">
            <v>52844</v>
          </cell>
          <cell r="M18"/>
          <cell r="N18">
            <v>5514</v>
          </cell>
          <cell r="O18"/>
          <cell r="P18">
            <v>39368</v>
          </cell>
          <cell r="Q18"/>
          <cell r="R18">
            <v>0</v>
          </cell>
          <cell r="S18"/>
          <cell r="T18">
            <v>0</v>
          </cell>
          <cell r="U18"/>
          <cell r="V18">
            <v>15</v>
          </cell>
          <cell r="W18"/>
        </row>
        <row r="19">
          <cell r="A19">
            <v>16</v>
          </cell>
          <cell r="B19" t="str">
            <v>Salaries - Clerical</v>
          </cell>
          <cell r="C19"/>
          <cell r="D19"/>
          <cell r="E19">
            <v>22</v>
          </cell>
          <cell r="F19">
            <v>0</v>
          </cell>
          <cell r="G19"/>
          <cell r="H19">
            <v>0</v>
          </cell>
          <cell r="I19"/>
          <cell r="J19">
            <v>0</v>
          </cell>
          <cell r="K19"/>
          <cell r="L19">
            <v>500</v>
          </cell>
          <cell r="M19"/>
          <cell r="N19">
            <v>0</v>
          </cell>
          <cell r="O19"/>
          <cell r="P19">
            <v>0</v>
          </cell>
          <cell r="Q19"/>
          <cell r="R19">
            <v>0</v>
          </cell>
          <cell r="S19"/>
          <cell r="T19">
            <v>0</v>
          </cell>
          <cell r="U19"/>
          <cell r="V19">
            <v>16</v>
          </cell>
          <cell r="W19"/>
        </row>
        <row r="20">
          <cell r="A20">
            <v>17</v>
          </cell>
          <cell r="B20" t="str">
            <v>Other Salaries and Wages</v>
          </cell>
          <cell r="C20"/>
          <cell r="D20"/>
          <cell r="E20">
            <v>23</v>
          </cell>
          <cell r="F20">
            <v>486</v>
          </cell>
          <cell r="G20"/>
          <cell r="H20">
            <v>2837</v>
          </cell>
          <cell r="I20"/>
          <cell r="J20">
            <v>16862</v>
          </cell>
          <cell r="K20"/>
          <cell r="L20">
            <v>95249</v>
          </cell>
          <cell r="M20"/>
          <cell r="N20">
            <v>6481</v>
          </cell>
          <cell r="O20"/>
          <cell r="P20">
            <v>38026</v>
          </cell>
          <cell r="Q20"/>
          <cell r="R20">
            <v>0</v>
          </cell>
          <cell r="S20"/>
          <cell r="T20">
            <v>0</v>
          </cell>
          <cell r="U20"/>
          <cell r="V20">
            <v>17</v>
          </cell>
          <cell r="W20"/>
        </row>
        <row r="21">
          <cell r="A21">
            <v>18</v>
          </cell>
          <cell r="B21" t="str">
            <v>Leave - Vacation, Sick &amp; Holiday Compensation</v>
          </cell>
          <cell r="C21"/>
          <cell r="D21"/>
          <cell r="E21">
            <v>24</v>
          </cell>
          <cell r="F21">
            <v>0</v>
          </cell>
          <cell r="G21"/>
          <cell r="H21">
            <v>299</v>
          </cell>
          <cell r="I21"/>
          <cell r="J21">
            <v>710</v>
          </cell>
          <cell r="K21"/>
          <cell r="L21">
            <v>13961</v>
          </cell>
          <cell r="M21"/>
          <cell r="N21">
            <v>176</v>
          </cell>
          <cell r="O21"/>
          <cell r="P21">
            <v>2008</v>
          </cell>
          <cell r="Q21"/>
          <cell r="R21">
            <v>0</v>
          </cell>
          <cell r="S21"/>
          <cell r="T21">
            <v>0</v>
          </cell>
          <cell r="U21"/>
          <cell r="V21">
            <v>18</v>
          </cell>
          <cell r="W21"/>
        </row>
        <row r="22">
          <cell r="A22">
            <v>19</v>
          </cell>
          <cell r="B22" t="str">
            <v>Employee Benefits</v>
          </cell>
          <cell r="C22"/>
          <cell r="D22"/>
          <cell r="E22">
            <v>25</v>
          </cell>
          <cell r="F22">
            <v>1492</v>
          </cell>
          <cell r="G22"/>
          <cell r="H22">
            <v>6745</v>
          </cell>
          <cell r="I22"/>
          <cell r="J22">
            <v>2914</v>
          </cell>
          <cell r="K22"/>
          <cell r="L22">
            <v>6408</v>
          </cell>
          <cell r="M22"/>
          <cell r="N22">
            <v>929</v>
          </cell>
          <cell r="O22"/>
          <cell r="P22">
            <v>3230</v>
          </cell>
          <cell r="Q22"/>
          <cell r="R22">
            <v>0</v>
          </cell>
          <cell r="S22"/>
          <cell r="T22">
            <v>0</v>
          </cell>
          <cell r="U22"/>
          <cell r="V22">
            <v>19</v>
          </cell>
          <cell r="W22"/>
        </row>
        <row r="23">
          <cell r="A23">
            <v>20</v>
          </cell>
          <cell r="B23" t="str">
            <v>Worker's Compensation</v>
          </cell>
          <cell r="C23"/>
          <cell r="D23"/>
          <cell r="E23">
            <v>28</v>
          </cell>
          <cell r="F23">
            <v>394</v>
          </cell>
          <cell r="G23"/>
          <cell r="H23">
            <v>2124</v>
          </cell>
          <cell r="I23"/>
          <cell r="J23">
            <v>649</v>
          </cell>
          <cell r="K23"/>
          <cell r="L23">
            <v>2575</v>
          </cell>
          <cell r="M23"/>
          <cell r="N23">
            <v>276</v>
          </cell>
          <cell r="O23"/>
          <cell r="P23">
            <v>1297</v>
          </cell>
          <cell r="Q23"/>
          <cell r="R23">
            <v>0</v>
          </cell>
          <cell r="S23"/>
          <cell r="T23">
            <v>0</v>
          </cell>
          <cell r="U23"/>
          <cell r="V23">
            <v>20</v>
          </cell>
          <cell r="W23"/>
        </row>
        <row r="24">
          <cell r="A24">
            <v>21</v>
          </cell>
          <cell r="B24" t="str">
            <v>Pension &amp; Profit Sharing</v>
          </cell>
          <cell r="C24"/>
          <cell r="D24"/>
          <cell r="E24">
            <v>26</v>
          </cell>
          <cell r="F24">
            <v>0</v>
          </cell>
          <cell r="G24"/>
          <cell r="H24">
            <v>138</v>
          </cell>
          <cell r="I24"/>
          <cell r="J24">
            <v>345</v>
          </cell>
          <cell r="K24"/>
          <cell r="L24">
            <v>1786</v>
          </cell>
          <cell r="M24"/>
          <cell r="N24">
            <v>184</v>
          </cell>
          <cell r="O24"/>
          <cell r="P24">
            <v>1110</v>
          </cell>
          <cell r="Q24"/>
          <cell r="R24">
            <v>0</v>
          </cell>
          <cell r="S24"/>
          <cell r="T24">
            <v>0</v>
          </cell>
          <cell r="U24"/>
          <cell r="V24">
            <v>21</v>
          </cell>
          <cell r="W24"/>
        </row>
        <row r="25">
          <cell r="A25">
            <v>22</v>
          </cell>
          <cell r="B25" t="str">
            <v>Taxes Payroll</v>
          </cell>
          <cell r="C25"/>
          <cell r="D25"/>
          <cell r="E25">
            <v>27</v>
          </cell>
          <cell r="F25">
            <v>1436</v>
          </cell>
          <cell r="G25"/>
          <cell r="H25">
            <v>8513</v>
          </cell>
          <cell r="I25"/>
          <cell r="J25">
            <v>3524</v>
          </cell>
          <cell r="K25"/>
          <cell r="L25">
            <v>27563</v>
          </cell>
          <cell r="M25"/>
          <cell r="N25">
            <v>964</v>
          </cell>
          <cell r="O25"/>
          <cell r="P25">
            <v>6102</v>
          </cell>
          <cell r="Q25"/>
          <cell r="R25">
            <v>0</v>
          </cell>
          <cell r="S25"/>
          <cell r="T25">
            <v>0</v>
          </cell>
          <cell r="U25"/>
          <cell r="V25">
            <v>22</v>
          </cell>
          <cell r="W25"/>
        </row>
        <row r="26">
          <cell r="A26">
            <v>23</v>
          </cell>
          <cell r="B26" t="str">
            <v>TOTAL SALARIES &amp; WAGES (lines 14 to 22 )</v>
          </cell>
          <cell r="C26"/>
          <cell r="D26"/>
          <cell r="E26"/>
          <cell r="F26">
            <v>22308</v>
          </cell>
          <cell r="G26"/>
          <cell r="H26">
            <v>128110</v>
          </cell>
          <cell r="I26"/>
          <cell r="J26">
            <v>33501</v>
          </cell>
          <cell r="K26"/>
          <cell r="L26">
            <v>206996</v>
          </cell>
          <cell r="M26"/>
          <cell r="N26">
            <v>14524</v>
          </cell>
          <cell r="O26"/>
          <cell r="P26">
            <v>94196</v>
          </cell>
          <cell r="Q26"/>
          <cell r="R26">
            <v>0</v>
          </cell>
          <cell r="S26"/>
          <cell r="T26">
            <v>0</v>
          </cell>
          <cell r="U26"/>
          <cell r="V26">
            <v>23</v>
          </cell>
          <cell r="W26"/>
        </row>
        <row r="27">
          <cell r="A27">
            <v>24</v>
          </cell>
          <cell r="B27" t="str">
            <v>Advertising Expense - Hyundai Print, TV, Other</v>
          </cell>
          <cell r="C27"/>
          <cell r="D27"/>
          <cell r="E27">
            <v>46</v>
          </cell>
          <cell r="F27">
            <v>95</v>
          </cell>
          <cell r="G27"/>
          <cell r="H27">
            <v>95</v>
          </cell>
          <cell r="I27"/>
          <cell r="J27">
            <v>654</v>
          </cell>
          <cell r="K27"/>
          <cell r="L27">
            <v>14825</v>
          </cell>
          <cell r="M27"/>
          <cell r="N27">
            <v>246</v>
          </cell>
          <cell r="O27"/>
          <cell r="P27">
            <v>4295</v>
          </cell>
          <cell r="Q27"/>
          <cell r="R27">
            <v>0</v>
          </cell>
          <cell r="S27"/>
          <cell r="T27">
            <v>0</v>
          </cell>
          <cell r="U27"/>
          <cell r="V27">
            <v>24</v>
          </cell>
          <cell r="W27"/>
        </row>
        <row r="28">
          <cell r="A28">
            <v>25</v>
          </cell>
          <cell r="B28" t="str">
            <v>Advertising Expense - Hyundai Internet Only</v>
          </cell>
          <cell r="C28"/>
          <cell r="D28"/>
          <cell r="E28">
            <v>47</v>
          </cell>
          <cell r="F28">
            <v>4650</v>
          </cell>
          <cell r="G28"/>
          <cell r="H28">
            <v>31977</v>
          </cell>
          <cell r="I28"/>
          <cell r="J28">
            <v>0</v>
          </cell>
          <cell r="K28"/>
          <cell r="L28">
            <v>0</v>
          </cell>
          <cell r="M28"/>
          <cell r="N28">
            <v>0</v>
          </cell>
          <cell r="O28"/>
          <cell r="P28">
            <v>0</v>
          </cell>
          <cell r="Q28"/>
          <cell r="R28">
            <v>0</v>
          </cell>
          <cell r="S28"/>
          <cell r="T28">
            <v>0</v>
          </cell>
          <cell r="U28"/>
          <cell r="V28">
            <v>25</v>
          </cell>
          <cell r="W28"/>
        </row>
        <row r="29">
          <cell r="A29">
            <v>26</v>
          </cell>
          <cell r="B29" t="str">
            <v>Less Advertising Support from Hyundai</v>
          </cell>
          <cell r="C29"/>
          <cell r="D29"/>
          <cell r="E29">
            <v>48</v>
          </cell>
          <cell r="F29"/>
          <cell r="G29"/>
          <cell r="H29"/>
          <cell r="I29"/>
          <cell r="J29"/>
          <cell r="K29"/>
          <cell r="L29"/>
          <cell r="M29"/>
          <cell r="N29"/>
          <cell r="O29"/>
          <cell r="P29"/>
          <cell r="Q29"/>
          <cell r="R29"/>
          <cell r="S29"/>
          <cell r="T29"/>
          <cell r="U29"/>
          <cell r="V29">
            <v>26</v>
          </cell>
          <cell r="W29"/>
        </row>
        <row r="30">
          <cell r="A30">
            <v>27</v>
          </cell>
          <cell r="B30" t="str">
            <v>Advertising - Other Franchise(s)</v>
          </cell>
          <cell r="C30"/>
          <cell r="D30"/>
          <cell r="E30">
            <v>49</v>
          </cell>
          <cell r="F30">
            <v>1534</v>
          </cell>
          <cell r="G30"/>
          <cell r="H30">
            <v>44309</v>
          </cell>
          <cell r="I30"/>
          <cell r="J30">
            <v>458</v>
          </cell>
          <cell r="K30"/>
          <cell r="L30">
            <v>8281</v>
          </cell>
          <cell r="M30"/>
          <cell r="N30">
            <v>181</v>
          </cell>
          <cell r="O30"/>
          <cell r="P30">
            <v>4271</v>
          </cell>
          <cell r="Q30"/>
          <cell r="R30">
            <v>0</v>
          </cell>
          <cell r="S30"/>
          <cell r="T30">
            <v>0</v>
          </cell>
          <cell r="U30"/>
          <cell r="V30">
            <v>27</v>
          </cell>
          <cell r="W30"/>
        </row>
        <row r="31">
          <cell r="A31">
            <v>28</v>
          </cell>
          <cell r="B31" t="str">
            <v>Training</v>
          </cell>
          <cell r="C31"/>
          <cell r="D31"/>
          <cell r="E31">
            <v>50</v>
          </cell>
          <cell r="F31">
            <v>0</v>
          </cell>
          <cell r="G31"/>
          <cell r="H31">
            <v>240</v>
          </cell>
          <cell r="I31"/>
          <cell r="J31">
            <v>303</v>
          </cell>
          <cell r="K31"/>
          <cell r="L31">
            <v>3243</v>
          </cell>
          <cell r="M31"/>
          <cell r="N31">
            <v>0</v>
          </cell>
          <cell r="O31"/>
          <cell r="P31">
            <v>80</v>
          </cell>
          <cell r="Q31"/>
          <cell r="R31">
            <v>0</v>
          </cell>
          <cell r="S31"/>
          <cell r="T31">
            <v>0</v>
          </cell>
          <cell r="U31"/>
          <cell r="V31">
            <v>28</v>
          </cell>
          <cell r="W31"/>
        </row>
        <row r="32">
          <cell r="A32">
            <v>29</v>
          </cell>
          <cell r="B32" t="str">
            <v>Company Vehicle Expense</v>
          </cell>
          <cell r="C32"/>
          <cell r="D32"/>
          <cell r="E32">
            <v>51</v>
          </cell>
          <cell r="F32">
            <v>0</v>
          </cell>
          <cell r="G32"/>
          <cell r="H32">
            <v>0</v>
          </cell>
          <cell r="I32"/>
          <cell r="J32">
            <v>-532</v>
          </cell>
          <cell r="K32"/>
          <cell r="L32">
            <v>831</v>
          </cell>
          <cell r="M32"/>
          <cell r="N32">
            <v>321</v>
          </cell>
          <cell r="O32"/>
          <cell r="P32">
            <v>553</v>
          </cell>
          <cell r="Q32"/>
          <cell r="R32">
            <v>0</v>
          </cell>
          <cell r="S32"/>
          <cell r="T32">
            <v>0</v>
          </cell>
          <cell r="U32"/>
          <cell r="V32">
            <v>29</v>
          </cell>
          <cell r="W32"/>
        </row>
        <row r="33">
          <cell r="A33">
            <v>30</v>
          </cell>
          <cell r="B33" t="str">
            <v>Stationery, Office Supplies &amp; Postage</v>
          </cell>
          <cell r="C33"/>
          <cell r="D33"/>
          <cell r="E33">
            <v>60</v>
          </cell>
          <cell r="F33">
            <v>1178</v>
          </cell>
          <cell r="G33"/>
          <cell r="H33">
            <v>5460</v>
          </cell>
          <cell r="I33"/>
          <cell r="J33">
            <v>576</v>
          </cell>
          <cell r="K33"/>
          <cell r="L33">
            <v>5455</v>
          </cell>
          <cell r="M33"/>
          <cell r="N33">
            <v>24</v>
          </cell>
          <cell r="O33"/>
          <cell r="P33">
            <v>1778</v>
          </cell>
          <cell r="Q33"/>
          <cell r="R33">
            <v>0</v>
          </cell>
          <cell r="S33"/>
          <cell r="T33">
            <v>0</v>
          </cell>
          <cell r="U33"/>
          <cell r="V33">
            <v>30</v>
          </cell>
          <cell r="W33"/>
        </row>
        <row r="34">
          <cell r="A34">
            <v>31</v>
          </cell>
          <cell r="B34" t="str">
            <v>Small Tools &amp; Other Supplies</v>
          </cell>
          <cell r="C34"/>
          <cell r="D34"/>
          <cell r="E34">
            <v>61</v>
          </cell>
          <cell r="F34">
            <v>758</v>
          </cell>
          <cell r="G34"/>
          <cell r="H34">
            <v>2997</v>
          </cell>
          <cell r="I34"/>
          <cell r="J34">
            <v>1484</v>
          </cell>
          <cell r="K34"/>
          <cell r="L34">
            <v>-21044</v>
          </cell>
          <cell r="M34"/>
          <cell r="N34">
            <v>226</v>
          </cell>
          <cell r="O34"/>
          <cell r="P34">
            <v>2429</v>
          </cell>
          <cell r="Q34"/>
          <cell r="R34">
            <v>0</v>
          </cell>
          <cell r="S34"/>
          <cell r="T34">
            <v>0</v>
          </cell>
          <cell r="U34"/>
          <cell r="V34">
            <v>31</v>
          </cell>
          <cell r="W34"/>
        </row>
        <row r="35">
          <cell r="A35">
            <v>32</v>
          </cell>
          <cell r="B35" t="str">
            <v>Contributions</v>
          </cell>
          <cell r="C35"/>
          <cell r="D35"/>
          <cell r="E35">
            <v>66</v>
          </cell>
          <cell r="F35">
            <v>0</v>
          </cell>
          <cell r="G35"/>
          <cell r="H35">
            <v>0</v>
          </cell>
          <cell r="I35"/>
          <cell r="J35">
            <v>0</v>
          </cell>
          <cell r="K35"/>
          <cell r="L35">
            <v>0</v>
          </cell>
          <cell r="M35"/>
          <cell r="N35">
            <v>0</v>
          </cell>
          <cell r="O35"/>
          <cell r="P35">
            <v>0</v>
          </cell>
          <cell r="Q35"/>
          <cell r="R35">
            <v>0</v>
          </cell>
          <cell r="S35"/>
          <cell r="T35">
            <v>0</v>
          </cell>
          <cell r="U35"/>
          <cell r="V35">
            <v>32</v>
          </cell>
          <cell r="W35"/>
        </row>
        <row r="36">
          <cell r="A36">
            <v>33</v>
          </cell>
          <cell r="B36" t="str">
            <v>Policy Work - Service, Parts &amp; Body Shop Depts</v>
          </cell>
          <cell r="C36"/>
          <cell r="D36"/>
          <cell r="E36">
            <v>67</v>
          </cell>
          <cell r="F36"/>
          <cell r="G36"/>
          <cell r="H36"/>
          <cell r="I36"/>
          <cell r="J36">
            <v>3901</v>
          </cell>
          <cell r="K36"/>
          <cell r="L36">
            <v>31896</v>
          </cell>
          <cell r="M36"/>
          <cell r="N36">
            <v>0</v>
          </cell>
          <cell r="O36"/>
          <cell r="P36">
            <v>0</v>
          </cell>
          <cell r="Q36"/>
          <cell r="R36">
            <v>0</v>
          </cell>
          <cell r="S36"/>
          <cell r="T36">
            <v>0</v>
          </cell>
          <cell r="U36"/>
          <cell r="V36">
            <v>33</v>
          </cell>
          <cell r="W36"/>
        </row>
        <row r="37">
          <cell r="A37">
            <v>34</v>
          </cell>
          <cell r="B37" t="str">
            <v>Outside Services</v>
          </cell>
          <cell r="C37"/>
          <cell r="D37"/>
          <cell r="E37">
            <v>68</v>
          </cell>
          <cell r="F37">
            <v>0</v>
          </cell>
          <cell r="G37"/>
          <cell r="H37">
            <v>2000</v>
          </cell>
          <cell r="I37"/>
          <cell r="J37">
            <v>0</v>
          </cell>
          <cell r="K37"/>
          <cell r="L37">
            <v>2000</v>
          </cell>
          <cell r="M37"/>
          <cell r="N37">
            <v>0</v>
          </cell>
          <cell r="O37"/>
          <cell r="P37">
            <v>2000</v>
          </cell>
          <cell r="Q37"/>
          <cell r="R37">
            <v>0</v>
          </cell>
          <cell r="S37"/>
          <cell r="T37">
            <v>0</v>
          </cell>
          <cell r="U37"/>
          <cell r="V37">
            <v>34</v>
          </cell>
          <cell r="W37"/>
        </row>
        <row r="38">
          <cell r="A38">
            <v>35</v>
          </cell>
          <cell r="B38" t="str">
            <v>Laundry &amp; Uniforms</v>
          </cell>
          <cell r="C38"/>
          <cell r="D38"/>
          <cell r="E38">
            <v>69</v>
          </cell>
          <cell r="F38">
            <v>28</v>
          </cell>
          <cell r="G38"/>
          <cell r="H38">
            <v>128</v>
          </cell>
          <cell r="I38"/>
          <cell r="J38">
            <v>185</v>
          </cell>
          <cell r="K38"/>
          <cell r="L38">
            <v>2929</v>
          </cell>
          <cell r="M38"/>
          <cell r="N38">
            <v>188</v>
          </cell>
          <cell r="O38"/>
          <cell r="P38">
            <v>3207</v>
          </cell>
          <cell r="Q38"/>
          <cell r="R38">
            <v>0</v>
          </cell>
          <cell r="S38"/>
          <cell r="T38">
            <v>0</v>
          </cell>
          <cell r="U38"/>
          <cell r="V38">
            <v>35</v>
          </cell>
          <cell r="W38"/>
        </row>
        <row r="39">
          <cell r="A39">
            <v>36</v>
          </cell>
          <cell r="B39" t="str">
            <v>Travel and Entertainment</v>
          </cell>
          <cell r="C39"/>
          <cell r="D39"/>
          <cell r="E39">
            <v>70</v>
          </cell>
          <cell r="F39">
            <v>180</v>
          </cell>
          <cell r="G39"/>
          <cell r="H39">
            <v>980</v>
          </cell>
          <cell r="I39"/>
          <cell r="J39">
            <v>525</v>
          </cell>
          <cell r="K39"/>
          <cell r="L39">
            <v>1002</v>
          </cell>
          <cell r="M39"/>
          <cell r="N39">
            <v>496</v>
          </cell>
          <cell r="O39"/>
          <cell r="P39">
            <v>812</v>
          </cell>
          <cell r="Q39"/>
          <cell r="R39">
            <v>0</v>
          </cell>
          <cell r="S39"/>
          <cell r="T39">
            <v>0</v>
          </cell>
          <cell r="U39"/>
          <cell r="V39">
            <v>36</v>
          </cell>
          <cell r="W39"/>
        </row>
        <row r="40">
          <cell r="A40">
            <v>37</v>
          </cell>
          <cell r="B40" t="str">
            <v>Membership, Dues and Publications</v>
          </cell>
          <cell r="C40"/>
          <cell r="D40"/>
          <cell r="E40">
            <v>71</v>
          </cell>
          <cell r="F40">
            <v>0</v>
          </cell>
          <cell r="G40"/>
          <cell r="H40">
            <v>312</v>
          </cell>
          <cell r="I40"/>
          <cell r="J40">
            <v>0</v>
          </cell>
          <cell r="K40"/>
          <cell r="L40">
            <v>346</v>
          </cell>
          <cell r="M40"/>
          <cell r="N40">
            <v>0</v>
          </cell>
          <cell r="O40"/>
          <cell r="P40">
            <v>168</v>
          </cell>
          <cell r="Q40"/>
          <cell r="R40">
            <v>0</v>
          </cell>
          <cell r="S40"/>
          <cell r="T40">
            <v>0</v>
          </cell>
          <cell r="U40"/>
          <cell r="V40">
            <v>37</v>
          </cell>
          <cell r="W40"/>
        </row>
        <row r="41">
          <cell r="A41">
            <v>38</v>
          </cell>
          <cell r="B41" t="str">
            <v>Legal, Accounting and Auditing Expense</v>
          </cell>
          <cell r="C41"/>
          <cell r="D41"/>
          <cell r="E41">
            <v>72</v>
          </cell>
          <cell r="F41">
            <v>8109</v>
          </cell>
          <cell r="G41"/>
          <cell r="H41">
            <v>18840</v>
          </cell>
          <cell r="I41"/>
          <cell r="J41">
            <v>3100</v>
          </cell>
          <cell r="K41"/>
          <cell r="L41">
            <v>5671</v>
          </cell>
          <cell r="M41"/>
          <cell r="N41">
            <v>676</v>
          </cell>
          <cell r="O41"/>
          <cell r="P41">
            <v>973</v>
          </cell>
          <cell r="Q41"/>
          <cell r="R41">
            <v>0</v>
          </cell>
          <cell r="S41"/>
          <cell r="T41">
            <v>0</v>
          </cell>
          <cell r="U41"/>
          <cell r="V41">
            <v>38</v>
          </cell>
          <cell r="W41"/>
        </row>
        <row r="42">
          <cell r="A42">
            <v>39</v>
          </cell>
          <cell r="B42" t="str">
            <v>Freight, Express and Cartage - Parts Department</v>
          </cell>
          <cell r="C42"/>
          <cell r="D42"/>
          <cell r="E42">
            <v>73</v>
          </cell>
          <cell r="F42"/>
          <cell r="G42"/>
          <cell r="H42"/>
          <cell r="I42"/>
          <cell r="J42"/>
          <cell r="K42"/>
          <cell r="L42"/>
          <cell r="M42"/>
          <cell r="N42">
            <v>326</v>
          </cell>
          <cell r="O42"/>
          <cell r="P42">
            <v>1758</v>
          </cell>
          <cell r="Q42"/>
          <cell r="R42"/>
          <cell r="S42"/>
          <cell r="T42"/>
          <cell r="U42"/>
          <cell r="V42">
            <v>39</v>
          </cell>
          <cell r="W42"/>
        </row>
        <row r="43">
          <cell r="A43">
            <v>40</v>
          </cell>
          <cell r="B43" t="str">
            <v xml:space="preserve">Telephone </v>
          </cell>
          <cell r="C43"/>
          <cell r="D43"/>
          <cell r="E43">
            <v>74</v>
          </cell>
          <cell r="F43">
            <v>282</v>
          </cell>
          <cell r="G43"/>
          <cell r="H43">
            <v>1719</v>
          </cell>
          <cell r="I43"/>
          <cell r="J43">
            <v>465</v>
          </cell>
          <cell r="K43"/>
          <cell r="L43">
            <v>1856</v>
          </cell>
          <cell r="M43"/>
          <cell r="N43">
            <v>198</v>
          </cell>
          <cell r="O43"/>
          <cell r="P43">
            <v>1102</v>
          </cell>
          <cell r="Q43"/>
          <cell r="R43">
            <v>0</v>
          </cell>
          <cell r="S43"/>
          <cell r="T43">
            <v>0</v>
          </cell>
          <cell r="U43"/>
          <cell r="V43">
            <v>40</v>
          </cell>
          <cell r="W43"/>
        </row>
        <row r="44">
          <cell r="A44">
            <v>41</v>
          </cell>
          <cell r="B44" t="str">
            <v>Data Processing</v>
          </cell>
          <cell r="C44"/>
          <cell r="D44"/>
          <cell r="E44">
            <v>77</v>
          </cell>
          <cell r="F44">
            <v>4330</v>
          </cell>
          <cell r="G44"/>
          <cell r="H44">
            <v>19172</v>
          </cell>
          <cell r="I44"/>
          <cell r="J44">
            <v>4281</v>
          </cell>
          <cell r="K44"/>
          <cell r="L44">
            <v>21470</v>
          </cell>
          <cell r="M44"/>
          <cell r="N44">
            <v>1946</v>
          </cell>
          <cell r="O44"/>
          <cell r="P44">
            <v>10844</v>
          </cell>
          <cell r="Q44"/>
          <cell r="R44">
            <v>0</v>
          </cell>
          <cell r="S44"/>
          <cell r="T44">
            <v>0</v>
          </cell>
          <cell r="U44"/>
          <cell r="V44">
            <v>41</v>
          </cell>
          <cell r="W44"/>
        </row>
        <row r="45">
          <cell r="A45">
            <v>42</v>
          </cell>
          <cell r="B45" t="str">
            <v>Adjustments for Doubtful Accounts</v>
          </cell>
          <cell r="C45"/>
          <cell r="D45"/>
          <cell r="E45">
            <v>852</v>
          </cell>
          <cell r="F45">
            <v>0</v>
          </cell>
          <cell r="G45"/>
          <cell r="H45">
            <v>0</v>
          </cell>
          <cell r="I45"/>
          <cell r="J45">
            <v>0</v>
          </cell>
          <cell r="K45"/>
          <cell r="L45">
            <v>0</v>
          </cell>
          <cell r="M45"/>
          <cell r="N45">
            <v>0</v>
          </cell>
          <cell r="O45"/>
          <cell r="P45">
            <v>0</v>
          </cell>
          <cell r="Q45"/>
          <cell r="R45">
            <v>0</v>
          </cell>
          <cell r="S45"/>
          <cell r="T45">
            <v>0</v>
          </cell>
          <cell r="U45"/>
          <cell r="V45">
            <v>42</v>
          </cell>
          <cell r="W45"/>
        </row>
        <row r="46">
          <cell r="A46">
            <v>43</v>
          </cell>
          <cell r="B46" t="str">
            <v>Bad Debts Recovered</v>
          </cell>
          <cell r="C46"/>
          <cell r="D46"/>
          <cell r="E46">
            <v>802</v>
          </cell>
          <cell r="F46">
            <v>0</v>
          </cell>
          <cell r="G46"/>
          <cell r="H46">
            <v>0</v>
          </cell>
          <cell r="I46"/>
          <cell r="J46">
            <v>0</v>
          </cell>
          <cell r="K46"/>
          <cell r="L46">
            <v>0</v>
          </cell>
          <cell r="M46"/>
          <cell r="N46">
            <v>0</v>
          </cell>
          <cell r="O46"/>
          <cell r="P46">
            <v>0</v>
          </cell>
          <cell r="Q46"/>
          <cell r="R46">
            <v>0</v>
          </cell>
          <cell r="S46"/>
          <cell r="T46">
            <v>0</v>
          </cell>
          <cell r="U46"/>
          <cell r="V46">
            <v>43</v>
          </cell>
          <cell r="W46"/>
        </row>
        <row r="47">
          <cell r="A47">
            <v>44</v>
          </cell>
          <cell r="B47" t="str">
            <v>Miscellaneous</v>
          </cell>
          <cell r="C47"/>
          <cell r="D47"/>
          <cell r="E47">
            <v>78</v>
          </cell>
          <cell r="F47">
            <v>446</v>
          </cell>
          <cell r="G47"/>
          <cell r="H47">
            <v>1592</v>
          </cell>
          <cell r="I47"/>
          <cell r="J47">
            <v>3389</v>
          </cell>
          <cell r="K47"/>
          <cell r="L47">
            <v>10953</v>
          </cell>
          <cell r="M47"/>
          <cell r="N47">
            <v>859</v>
          </cell>
          <cell r="O47"/>
          <cell r="P47">
            <v>2985</v>
          </cell>
          <cell r="Q47"/>
          <cell r="R47">
            <v>0</v>
          </cell>
          <cell r="S47"/>
          <cell r="T47">
            <v>0</v>
          </cell>
          <cell r="U47"/>
          <cell r="V47">
            <v>44</v>
          </cell>
          <cell r="W47"/>
        </row>
        <row r="48">
          <cell r="A48">
            <v>45</v>
          </cell>
          <cell r="B48" t="str">
            <v>TOTAL SEMI-FIXED EXPENSE (lines 24 to 44 )</v>
          </cell>
          <cell r="C48"/>
          <cell r="D48"/>
          <cell r="E48"/>
          <cell r="F48">
            <v>21590</v>
          </cell>
          <cell r="G48"/>
          <cell r="H48">
            <v>129821</v>
          </cell>
          <cell r="I48"/>
          <cell r="J48">
            <v>18789</v>
          </cell>
          <cell r="K48"/>
          <cell r="L48">
            <v>89714</v>
          </cell>
          <cell r="M48"/>
          <cell r="N48">
            <v>5687</v>
          </cell>
          <cell r="O48"/>
          <cell r="P48">
            <v>37255</v>
          </cell>
          <cell r="Q48"/>
          <cell r="R48">
            <v>0</v>
          </cell>
          <cell r="S48"/>
          <cell r="T48">
            <v>0</v>
          </cell>
          <cell r="U48"/>
          <cell r="V48">
            <v>45</v>
          </cell>
          <cell r="W48"/>
        </row>
        <row r="49">
          <cell r="A49">
            <v>46</v>
          </cell>
          <cell r="B49" t="str">
            <v>Rent</v>
          </cell>
          <cell r="C49"/>
          <cell r="D49"/>
          <cell r="E49">
            <v>80</v>
          </cell>
          <cell r="F49">
            <v>8000</v>
          </cell>
          <cell r="G49"/>
          <cell r="H49">
            <v>56400</v>
          </cell>
          <cell r="I49"/>
          <cell r="J49">
            <v>13200</v>
          </cell>
          <cell r="K49"/>
          <cell r="L49">
            <v>55300</v>
          </cell>
          <cell r="M49"/>
          <cell r="N49">
            <v>5600</v>
          </cell>
          <cell r="O49"/>
          <cell r="P49">
            <v>31800</v>
          </cell>
          <cell r="Q49"/>
          <cell r="R49">
            <v>0</v>
          </cell>
          <cell r="S49"/>
          <cell r="T49">
            <v>0</v>
          </cell>
          <cell r="U49"/>
          <cell r="V49">
            <v>46</v>
          </cell>
          <cell r="W49"/>
        </row>
        <row r="50">
          <cell r="A50">
            <v>47</v>
          </cell>
          <cell r="B50" t="str">
            <v>Amortization - Leaseholds</v>
          </cell>
          <cell r="C50"/>
          <cell r="D50"/>
          <cell r="E50">
            <v>81</v>
          </cell>
          <cell r="F50">
            <v>0</v>
          </cell>
          <cell r="G50"/>
          <cell r="H50">
            <v>0</v>
          </cell>
          <cell r="I50"/>
          <cell r="J50">
            <v>0</v>
          </cell>
          <cell r="K50"/>
          <cell r="L50">
            <v>0</v>
          </cell>
          <cell r="M50"/>
          <cell r="N50">
            <v>0</v>
          </cell>
          <cell r="O50"/>
          <cell r="P50">
            <v>0</v>
          </cell>
          <cell r="Q50"/>
          <cell r="R50">
            <v>0</v>
          </cell>
          <cell r="S50"/>
          <cell r="T50">
            <v>0</v>
          </cell>
          <cell r="U50"/>
          <cell r="V50">
            <v>47</v>
          </cell>
          <cell r="W50"/>
        </row>
        <row r="51">
          <cell r="A51">
            <v>48</v>
          </cell>
          <cell r="B51" t="str">
            <v>Repairs - Real Estate</v>
          </cell>
          <cell r="C51"/>
          <cell r="D51"/>
          <cell r="E51">
            <v>82</v>
          </cell>
          <cell r="F51">
            <v>215</v>
          </cell>
          <cell r="G51"/>
          <cell r="H51">
            <v>2528</v>
          </cell>
          <cell r="I51"/>
          <cell r="J51">
            <v>355</v>
          </cell>
          <cell r="K51"/>
          <cell r="L51">
            <v>4142</v>
          </cell>
          <cell r="M51"/>
          <cell r="N51">
            <v>150</v>
          </cell>
          <cell r="O51"/>
          <cell r="P51">
            <v>1372</v>
          </cell>
          <cell r="Q51"/>
          <cell r="R51">
            <v>0</v>
          </cell>
          <cell r="S51"/>
          <cell r="T51">
            <v>0</v>
          </cell>
          <cell r="U51"/>
          <cell r="V51">
            <v>48</v>
          </cell>
          <cell r="W51"/>
        </row>
        <row r="52">
          <cell r="A52">
            <v>49</v>
          </cell>
          <cell r="B52" t="str">
            <v>Depreciation - Buildings and Improvements</v>
          </cell>
          <cell r="C52"/>
          <cell r="D52"/>
          <cell r="E52">
            <v>83</v>
          </cell>
          <cell r="F52">
            <v>0</v>
          </cell>
          <cell r="G52"/>
          <cell r="H52">
            <v>0</v>
          </cell>
          <cell r="I52"/>
          <cell r="J52">
            <v>0</v>
          </cell>
          <cell r="K52"/>
          <cell r="L52">
            <v>0</v>
          </cell>
          <cell r="M52"/>
          <cell r="N52">
            <v>0</v>
          </cell>
          <cell r="O52"/>
          <cell r="P52">
            <v>0</v>
          </cell>
          <cell r="Q52"/>
          <cell r="R52">
            <v>0</v>
          </cell>
          <cell r="S52"/>
          <cell r="T52">
            <v>0</v>
          </cell>
          <cell r="U52"/>
          <cell r="V52">
            <v>49</v>
          </cell>
          <cell r="W52"/>
        </row>
        <row r="53">
          <cell r="A53">
            <v>50</v>
          </cell>
          <cell r="B53" t="str">
            <v>Taxes - Real Estate</v>
          </cell>
          <cell r="C53"/>
          <cell r="D53"/>
          <cell r="E53">
            <v>84</v>
          </cell>
          <cell r="F53">
            <v>0</v>
          </cell>
          <cell r="G53"/>
          <cell r="H53">
            <v>0</v>
          </cell>
          <cell r="I53"/>
          <cell r="J53">
            <v>0</v>
          </cell>
          <cell r="K53"/>
          <cell r="L53">
            <v>0</v>
          </cell>
          <cell r="M53"/>
          <cell r="N53">
            <v>0</v>
          </cell>
          <cell r="O53"/>
          <cell r="P53">
            <v>0</v>
          </cell>
          <cell r="Q53"/>
          <cell r="R53">
            <v>0</v>
          </cell>
          <cell r="S53"/>
          <cell r="T53">
            <v>0</v>
          </cell>
          <cell r="U53"/>
          <cell r="V53">
            <v>50</v>
          </cell>
          <cell r="W53"/>
        </row>
        <row r="54">
          <cell r="A54">
            <v>51</v>
          </cell>
          <cell r="B54" t="str">
            <v>Insurance - Building and Improvements</v>
          </cell>
          <cell r="C54"/>
          <cell r="D54"/>
          <cell r="E54">
            <v>85</v>
          </cell>
          <cell r="F54">
            <v>0</v>
          </cell>
          <cell r="G54"/>
          <cell r="H54">
            <v>0</v>
          </cell>
          <cell r="I54"/>
          <cell r="J54">
            <v>0</v>
          </cell>
          <cell r="K54"/>
          <cell r="L54">
            <v>0</v>
          </cell>
          <cell r="M54"/>
          <cell r="N54">
            <v>0</v>
          </cell>
          <cell r="O54"/>
          <cell r="P54">
            <v>0</v>
          </cell>
          <cell r="Q54"/>
          <cell r="R54">
            <v>0</v>
          </cell>
          <cell r="S54"/>
          <cell r="T54">
            <v>0</v>
          </cell>
          <cell r="U54"/>
          <cell r="V54">
            <v>51</v>
          </cell>
          <cell r="W54"/>
        </row>
        <row r="55">
          <cell r="A55">
            <v>52</v>
          </cell>
          <cell r="B55" t="str">
            <v>Interest - Real Estate Mortgage</v>
          </cell>
          <cell r="C55"/>
          <cell r="D55"/>
          <cell r="E55">
            <v>86</v>
          </cell>
          <cell r="F55">
            <v>0</v>
          </cell>
          <cell r="G55"/>
          <cell r="H55">
            <v>0</v>
          </cell>
          <cell r="I55"/>
          <cell r="J55">
            <v>0</v>
          </cell>
          <cell r="K55"/>
          <cell r="L55">
            <v>0</v>
          </cell>
          <cell r="M55"/>
          <cell r="N55">
            <v>0</v>
          </cell>
          <cell r="O55"/>
          <cell r="P55">
            <v>0</v>
          </cell>
          <cell r="Q55"/>
          <cell r="R55">
            <v>0</v>
          </cell>
          <cell r="S55"/>
          <cell r="T55">
            <v>0</v>
          </cell>
          <cell r="U55"/>
          <cell r="V55">
            <v>52</v>
          </cell>
          <cell r="W55"/>
        </row>
        <row r="56">
          <cell r="A56">
            <v>53</v>
          </cell>
          <cell r="B56" t="str">
            <v>SUB TOTAL - OCCUPANCY EXPENSES (lines 46 to 52)</v>
          </cell>
          <cell r="C56"/>
          <cell r="D56"/>
          <cell r="E56"/>
          <cell r="F56">
            <v>8215</v>
          </cell>
          <cell r="G56"/>
          <cell r="H56">
            <v>58928</v>
          </cell>
          <cell r="I56"/>
          <cell r="J56">
            <v>13555</v>
          </cell>
          <cell r="K56"/>
          <cell r="L56">
            <v>59442</v>
          </cell>
          <cell r="M56"/>
          <cell r="N56">
            <v>5750</v>
          </cell>
          <cell r="O56"/>
          <cell r="P56">
            <v>33172</v>
          </cell>
          <cell r="Q56"/>
          <cell r="R56">
            <v>0</v>
          </cell>
          <cell r="S56"/>
          <cell r="T56">
            <v>0</v>
          </cell>
          <cell r="U56"/>
          <cell r="V56">
            <v>53</v>
          </cell>
          <cell r="W56"/>
        </row>
        <row r="57">
          <cell r="A57">
            <v>54</v>
          </cell>
          <cell r="B57" t="str">
            <v>Heat, Light, Power and Water</v>
          </cell>
          <cell r="C57"/>
          <cell r="D57"/>
          <cell r="E57">
            <v>87</v>
          </cell>
          <cell r="F57">
            <v>997</v>
          </cell>
          <cell r="G57"/>
          <cell r="H57">
            <v>7570</v>
          </cell>
          <cell r="I57"/>
          <cell r="J57">
            <v>1646</v>
          </cell>
          <cell r="K57"/>
          <cell r="L57">
            <v>6720</v>
          </cell>
          <cell r="M57"/>
          <cell r="N57">
            <v>698</v>
          </cell>
          <cell r="O57"/>
          <cell r="P57">
            <v>4086</v>
          </cell>
          <cell r="Q57"/>
          <cell r="R57">
            <v>0</v>
          </cell>
          <cell r="S57"/>
          <cell r="T57">
            <v>0</v>
          </cell>
          <cell r="U57"/>
          <cell r="V57">
            <v>54</v>
          </cell>
          <cell r="W57"/>
        </row>
        <row r="58">
          <cell r="A58">
            <v>55</v>
          </cell>
          <cell r="B58" t="str">
            <v>Insurance - Other than Bldgs. &amp; Improvs.</v>
          </cell>
          <cell r="C58"/>
          <cell r="D58"/>
          <cell r="E58">
            <v>88</v>
          </cell>
          <cell r="F58">
            <v>928</v>
          </cell>
          <cell r="G58"/>
          <cell r="H58">
            <v>6874</v>
          </cell>
          <cell r="I58"/>
          <cell r="J58">
            <v>1305</v>
          </cell>
          <cell r="K58"/>
          <cell r="L58">
            <v>6288</v>
          </cell>
          <cell r="M58"/>
          <cell r="N58">
            <v>553</v>
          </cell>
          <cell r="O58"/>
          <cell r="P58">
            <v>3440</v>
          </cell>
          <cell r="Q58"/>
          <cell r="R58">
            <v>0</v>
          </cell>
          <cell r="S58"/>
          <cell r="T58">
            <v>0</v>
          </cell>
          <cell r="U58"/>
          <cell r="V58">
            <v>55</v>
          </cell>
          <cell r="W58"/>
        </row>
        <row r="59">
          <cell r="A59">
            <v>56</v>
          </cell>
          <cell r="B59" t="str">
            <v>Taxes - Other than Real Estate, Income &amp; Payroll</v>
          </cell>
          <cell r="C59"/>
          <cell r="D59"/>
          <cell r="E59">
            <v>89</v>
          </cell>
          <cell r="F59">
            <v>0</v>
          </cell>
          <cell r="G59"/>
          <cell r="H59">
            <v>4351</v>
          </cell>
          <cell r="I59"/>
          <cell r="J59">
            <v>0</v>
          </cell>
          <cell r="K59"/>
          <cell r="L59">
            <v>3226</v>
          </cell>
          <cell r="M59"/>
          <cell r="N59">
            <v>0</v>
          </cell>
          <cell r="O59"/>
          <cell r="P59">
            <v>2021</v>
          </cell>
          <cell r="Q59"/>
          <cell r="R59">
            <v>0</v>
          </cell>
          <cell r="S59"/>
          <cell r="T59">
            <v>0</v>
          </cell>
          <cell r="U59"/>
          <cell r="V59">
            <v>56</v>
          </cell>
          <cell r="W59"/>
        </row>
        <row r="60">
          <cell r="A60">
            <v>57</v>
          </cell>
          <cell r="B60" t="str">
            <v>Repairs - Equipment</v>
          </cell>
          <cell r="C60"/>
          <cell r="D60"/>
          <cell r="E60">
            <v>90</v>
          </cell>
          <cell r="F60">
            <v>0</v>
          </cell>
          <cell r="G60"/>
          <cell r="H60">
            <v>255</v>
          </cell>
          <cell r="I60"/>
          <cell r="J60">
            <v>255</v>
          </cell>
          <cell r="K60"/>
          <cell r="L60">
            <v>1534</v>
          </cell>
          <cell r="M60"/>
          <cell r="N60">
            <v>0</v>
          </cell>
          <cell r="O60"/>
          <cell r="P60">
            <v>115</v>
          </cell>
          <cell r="Q60"/>
          <cell r="R60">
            <v>0</v>
          </cell>
          <cell r="S60"/>
          <cell r="T60">
            <v>0</v>
          </cell>
          <cell r="U60"/>
          <cell r="V60">
            <v>57</v>
          </cell>
          <cell r="W60"/>
        </row>
        <row r="61">
          <cell r="A61">
            <v>58</v>
          </cell>
          <cell r="B61" t="str">
            <v>Depreciation - Other than Bldgs. &amp; Improvs.</v>
          </cell>
          <cell r="C61"/>
          <cell r="D61"/>
          <cell r="E61">
            <v>91</v>
          </cell>
          <cell r="F61">
            <v>0</v>
          </cell>
          <cell r="G61"/>
          <cell r="H61">
            <v>1141</v>
          </cell>
          <cell r="I61"/>
          <cell r="J61">
            <v>0</v>
          </cell>
          <cell r="K61"/>
          <cell r="L61">
            <v>0</v>
          </cell>
          <cell r="M61"/>
          <cell r="N61">
            <v>0</v>
          </cell>
          <cell r="O61"/>
          <cell r="P61">
            <v>0</v>
          </cell>
          <cell r="Q61"/>
          <cell r="R61">
            <v>0</v>
          </cell>
          <cell r="S61"/>
          <cell r="T61">
            <v>0</v>
          </cell>
          <cell r="U61"/>
          <cell r="V61">
            <v>58</v>
          </cell>
          <cell r="W61"/>
        </row>
        <row r="62">
          <cell r="A62">
            <v>59</v>
          </cell>
          <cell r="B62" t="str">
            <v>Equipment Rental</v>
          </cell>
          <cell r="C62"/>
          <cell r="D62"/>
          <cell r="E62">
            <v>92</v>
          </cell>
          <cell r="F62">
            <v>0</v>
          </cell>
          <cell r="G62"/>
          <cell r="H62">
            <v>0</v>
          </cell>
          <cell r="I62"/>
          <cell r="J62">
            <v>0</v>
          </cell>
          <cell r="K62"/>
          <cell r="L62">
            <v>0</v>
          </cell>
          <cell r="M62"/>
          <cell r="N62">
            <v>0</v>
          </cell>
          <cell r="O62"/>
          <cell r="P62">
            <v>0</v>
          </cell>
          <cell r="Q62"/>
          <cell r="R62">
            <v>0</v>
          </cell>
          <cell r="S62"/>
          <cell r="T62">
            <v>0</v>
          </cell>
          <cell r="U62"/>
          <cell r="V62">
            <v>59</v>
          </cell>
          <cell r="W62"/>
        </row>
        <row r="63">
          <cell r="A63">
            <v>60</v>
          </cell>
          <cell r="B63" t="str">
            <v>TOTAL FIXED EXPENSE  (lines 53 to 59 )</v>
          </cell>
          <cell r="C63"/>
          <cell r="D63"/>
          <cell r="E63"/>
          <cell r="F63">
            <v>10140</v>
          </cell>
          <cell r="G63"/>
          <cell r="H63">
            <v>79119</v>
          </cell>
          <cell r="I63"/>
          <cell r="J63">
            <v>16761</v>
          </cell>
          <cell r="K63"/>
          <cell r="L63">
            <v>77210</v>
          </cell>
          <cell r="M63"/>
          <cell r="N63">
            <v>7001</v>
          </cell>
          <cell r="O63"/>
          <cell r="P63">
            <v>42834</v>
          </cell>
          <cell r="Q63"/>
          <cell r="R63">
            <v>0</v>
          </cell>
          <cell r="S63"/>
          <cell r="T63">
            <v>0</v>
          </cell>
          <cell r="U63"/>
          <cell r="V63">
            <v>60</v>
          </cell>
          <cell r="W63"/>
        </row>
        <row r="64">
          <cell r="A64">
            <v>61</v>
          </cell>
          <cell r="B64" t="str">
            <v>TOTAL FIXED OVERHEAD EXPENSE (lines 23+45+60)</v>
          </cell>
          <cell r="C64"/>
          <cell r="D64"/>
          <cell r="E64"/>
          <cell r="F64">
            <v>54038</v>
          </cell>
          <cell r="G64"/>
          <cell r="H64">
            <v>337050</v>
          </cell>
          <cell r="I64"/>
          <cell r="J64">
            <v>69051</v>
          </cell>
          <cell r="K64"/>
          <cell r="L64">
            <v>373920</v>
          </cell>
          <cell r="M64"/>
          <cell r="N64">
            <v>27212</v>
          </cell>
          <cell r="O64"/>
          <cell r="P64">
            <v>174285</v>
          </cell>
          <cell r="Q64"/>
          <cell r="R64">
            <v>0</v>
          </cell>
          <cell r="S64"/>
          <cell r="T64">
            <v>0</v>
          </cell>
          <cell r="U64"/>
          <cell r="V64">
            <v>61</v>
          </cell>
          <cell r="W64"/>
        </row>
        <row r="65">
          <cell r="A65">
            <v>62</v>
          </cell>
          <cell r="B65" t="str">
            <v>TOTAL EXPENSES    (lines 12 + 61)</v>
          </cell>
          <cell r="C65"/>
          <cell r="D65"/>
          <cell r="E65"/>
          <cell r="F65">
            <v>71496</v>
          </cell>
          <cell r="G65"/>
          <cell r="H65">
            <v>442058</v>
          </cell>
          <cell r="I65"/>
          <cell r="J65">
            <v>69051</v>
          </cell>
          <cell r="K65"/>
          <cell r="L65">
            <v>373920</v>
          </cell>
          <cell r="M65"/>
          <cell r="N65">
            <v>27212</v>
          </cell>
          <cell r="O65"/>
          <cell r="P65">
            <v>174285</v>
          </cell>
          <cell r="Q65"/>
          <cell r="R65">
            <v>0</v>
          </cell>
          <cell r="S65"/>
          <cell r="T65">
            <v>0</v>
          </cell>
          <cell r="U65"/>
          <cell r="V65">
            <v>62</v>
          </cell>
          <cell r="W65"/>
        </row>
        <row r="66">
          <cell r="A66">
            <v>63</v>
          </cell>
          <cell r="B66" t="str">
            <v>DEPARTMENTAL PROFIT OR (LOSS)</v>
          </cell>
          <cell r="C66"/>
          <cell r="D66"/>
          <cell r="E66"/>
          <cell r="F66">
            <v>-53380</v>
          </cell>
          <cell r="G66"/>
          <cell r="H66">
            <v>-193624</v>
          </cell>
          <cell r="I66"/>
          <cell r="J66">
            <v>-1133</v>
          </cell>
          <cell r="K66"/>
          <cell r="L66">
            <v>137167</v>
          </cell>
          <cell r="M66"/>
          <cell r="N66">
            <v>5246</v>
          </cell>
          <cell r="O66"/>
          <cell r="P66">
            <v>61001</v>
          </cell>
          <cell r="Q66"/>
          <cell r="R66">
            <v>0</v>
          </cell>
          <cell r="S66"/>
          <cell r="T66">
            <v>0</v>
          </cell>
          <cell r="U66"/>
          <cell r="V66">
            <v>63</v>
          </cell>
          <cell r="W66"/>
        </row>
        <row r="67">
          <cell r="A67">
            <v>64</v>
          </cell>
          <cell r="B67" t="str">
            <v>ADDITIONS TO INCOME</v>
          </cell>
          <cell r="C67"/>
          <cell r="D67"/>
          <cell r="E67"/>
          <cell r="F67"/>
          <cell r="G67"/>
          <cell r="H67"/>
          <cell r="I67"/>
          <cell r="J67"/>
          <cell r="K67" t="str">
            <v>PERSONNEL SUMMARY</v>
          </cell>
          <cell r="L67"/>
          <cell r="M67"/>
          <cell r="N67"/>
          <cell r="O67"/>
          <cell r="P67"/>
          <cell r="Q67"/>
          <cell r="R67"/>
          <cell r="S67"/>
          <cell r="T67"/>
          <cell r="U67"/>
          <cell r="V67">
            <v>64</v>
          </cell>
          <cell r="W67"/>
        </row>
        <row r="68">
          <cell r="A68">
            <v>65</v>
          </cell>
          <cell r="B68" t="str">
            <v>ACCOUNT</v>
          </cell>
          <cell r="C68"/>
          <cell r="D68" t="str">
            <v>ACCT. NO</v>
          </cell>
          <cell r="E68" t="str">
            <v>MONTH</v>
          </cell>
          <cell r="F68"/>
          <cell r="G68" t="str">
            <v>YEAR TO DATE</v>
          </cell>
          <cell r="H68"/>
          <cell r="I68"/>
          <cell r="J68"/>
          <cell r="K68"/>
          <cell r="L68"/>
          <cell r="M68" t="str">
            <v>NEW HYUNDAI</v>
          </cell>
          <cell r="N68" t="str">
            <v>NEW OTHER</v>
          </cell>
          <cell r="O68" t="str">
            <v>NEW COMBINED</v>
          </cell>
          <cell r="P68" t="str">
            <v>USED</v>
          </cell>
          <cell r="Q68" t="str">
            <v>SERV.</v>
          </cell>
          <cell r="R68" t="str">
            <v>PARTS</v>
          </cell>
          <cell r="S68" t="str">
            <v>BODY SHOP</v>
          </cell>
          <cell r="T68" t="str">
            <v>ADM</v>
          </cell>
          <cell r="U68" t="str">
            <v>TOT</v>
          </cell>
          <cell r="V68">
            <v>65</v>
          </cell>
          <cell r="W68"/>
        </row>
        <row r="69">
          <cell r="A69"/>
          <cell r="B69"/>
          <cell r="C69"/>
          <cell r="D69"/>
          <cell r="E69"/>
          <cell r="F69"/>
          <cell r="G69"/>
          <cell r="H69"/>
          <cell r="I69"/>
          <cell r="J69"/>
          <cell r="K69"/>
          <cell r="L69"/>
          <cell r="M69"/>
          <cell r="N69"/>
          <cell r="O69"/>
          <cell r="P69"/>
          <cell r="Q69"/>
          <cell r="R69"/>
          <cell r="S69"/>
          <cell r="T69"/>
          <cell r="U69"/>
          <cell r="V69"/>
          <cell r="W69"/>
        </row>
        <row r="70">
          <cell r="A70">
            <v>66</v>
          </cell>
          <cell r="B70" t="str">
            <v>Cash Discount Earned</v>
          </cell>
          <cell r="C70"/>
          <cell r="D70">
            <v>800</v>
          </cell>
          <cell r="E70">
            <v>0</v>
          </cell>
          <cell r="F70"/>
          <cell r="G70">
            <v>7</v>
          </cell>
          <cell r="H70"/>
          <cell r="I70"/>
          <cell r="J70"/>
          <cell r="K70" t="str">
            <v>Owners</v>
          </cell>
          <cell r="L70"/>
          <cell r="M70">
            <v>1</v>
          </cell>
          <cell r="N70">
            <v>0</v>
          </cell>
          <cell r="O70">
            <v>0</v>
          </cell>
          <cell r="P70">
            <v>1</v>
          </cell>
          <cell r="Q70">
            <v>0</v>
          </cell>
          <cell r="R70">
            <v>0</v>
          </cell>
          <cell r="S70">
            <v>0</v>
          </cell>
          <cell r="T70">
            <v>1</v>
          </cell>
          <cell r="U70">
            <v>3</v>
          </cell>
          <cell r="V70">
            <v>66</v>
          </cell>
          <cell r="W70"/>
        </row>
        <row r="71">
          <cell r="A71">
            <v>67</v>
          </cell>
          <cell r="B71" t="str">
            <v>Interest Earned</v>
          </cell>
          <cell r="C71"/>
          <cell r="D71">
            <v>801</v>
          </cell>
          <cell r="E71">
            <v>0</v>
          </cell>
          <cell r="F71"/>
          <cell r="G71">
            <v>0</v>
          </cell>
          <cell r="H71"/>
          <cell r="I71"/>
          <cell r="J71"/>
          <cell r="K71" t="str">
            <v>Management</v>
          </cell>
          <cell r="L71"/>
          <cell r="M71">
            <v>2</v>
          </cell>
          <cell r="N71">
            <v>1</v>
          </cell>
          <cell r="O71">
            <v>0</v>
          </cell>
          <cell r="P71">
            <v>1</v>
          </cell>
          <cell r="Q71">
            <v>1</v>
          </cell>
          <cell r="R71">
            <v>1</v>
          </cell>
          <cell r="S71">
            <v>0</v>
          </cell>
          <cell r="T71">
            <v>1</v>
          </cell>
          <cell r="U71">
            <v>7</v>
          </cell>
          <cell r="V71">
            <v>67</v>
          </cell>
          <cell r="W71"/>
        </row>
        <row r="72">
          <cell r="A72">
            <v>68</v>
          </cell>
          <cell r="B72" t="str">
            <v>Capitol Assets, Gains</v>
          </cell>
          <cell r="C72"/>
          <cell r="D72">
            <v>803</v>
          </cell>
          <cell r="E72">
            <v>0</v>
          </cell>
          <cell r="F72"/>
          <cell r="G72">
            <v>0</v>
          </cell>
          <cell r="H72"/>
          <cell r="I72"/>
          <cell r="J72"/>
          <cell r="K72" t="str">
            <v>Salespeople</v>
          </cell>
          <cell r="L72"/>
          <cell r="M72">
            <v>4</v>
          </cell>
          <cell r="N72">
            <v>4</v>
          </cell>
          <cell r="O72">
            <v>0</v>
          </cell>
          <cell r="P72">
            <v>4</v>
          </cell>
          <cell r="Q72"/>
          <cell r="R72">
            <v>2</v>
          </cell>
          <cell r="S72"/>
          <cell r="T72"/>
          <cell r="U72">
            <v>14</v>
          </cell>
          <cell r="V72">
            <v>68</v>
          </cell>
          <cell r="W72"/>
        </row>
        <row r="73">
          <cell r="A73">
            <v>69</v>
          </cell>
          <cell r="B73" t="str">
            <v>Other Income</v>
          </cell>
          <cell r="C73"/>
          <cell r="D73">
            <v>805</v>
          </cell>
          <cell r="E73">
            <v>135879</v>
          </cell>
          <cell r="F73"/>
          <cell r="G73">
            <v>752837</v>
          </cell>
          <cell r="H73"/>
          <cell r="I73"/>
          <cell r="J73"/>
          <cell r="K73" t="str">
            <v>Technicians</v>
          </cell>
          <cell r="L73"/>
          <cell r="M73"/>
          <cell r="N73"/>
          <cell r="O73"/>
          <cell r="P73"/>
          <cell r="Q73">
            <v>7</v>
          </cell>
          <cell r="R73"/>
          <cell r="S73">
            <v>0</v>
          </cell>
          <cell r="T73"/>
          <cell r="U73">
            <v>7</v>
          </cell>
          <cell r="V73">
            <v>69</v>
          </cell>
          <cell r="W73"/>
        </row>
        <row r="74">
          <cell r="A74">
            <v>70</v>
          </cell>
          <cell r="B74" t="str">
            <v>Lease and Rental Units Income</v>
          </cell>
          <cell r="C74"/>
          <cell r="D74">
            <v>809</v>
          </cell>
          <cell r="E74">
            <v>0</v>
          </cell>
          <cell r="F74"/>
          <cell r="G74">
            <v>0</v>
          </cell>
          <cell r="H74"/>
          <cell r="I74"/>
          <cell r="J74"/>
          <cell r="K74" t="str">
            <v>Service Advisors</v>
          </cell>
          <cell r="L74"/>
          <cell r="M74"/>
          <cell r="N74"/>
          <cell r="O74"/>
          <cell r="P74"/>
          <cell r="Q74">
            <v>3</v>
          </cell>
          <cell r="R74"/>
          <cell r="S74">
            <v>0</v>
          </cell>
          <cell r="T74"/>
          <cell r="U74">
            <v>3</v>
          </cell>
          <cell r="V74">
            <v>70</v>
          </cell>
          <cell r="W74"/>
        </row>
        <row r="75">
          <cell r="A75">
            <v>71</v>
          </cell>
          <cell r="B75" t="str">
            <v>TOTAL</v>
          </cell>
          <cell r="C75"/>
          <cell r="D75"/>
          <cell r="E75">
            <v>135879</v>
          </cell>
          <cell r="F75"/>
          <cell r="G75">
            <v>752844</v>
          </cell>
          <cell r="H75"/>
          <cell r="I75"/>
          <cell r="J75"/>
          <cell r="K75" t="str">
            <v>Clerical</v>
          </cell>
          <cell r="L75"/>
          <cell r="M75">
            <v>1</v>
          </cell>
          <cell r="N75">
            <v>0</v>
          </cell>
          <cell r="O75">
            <v>0</v>
          </cell>
          <cell r="P75">
            <v>1</v>
          </cell>
          <cell r="Q75">
            <v>1</v>
          </cell>
          <cell r="R75">
            <v>0</v>
          </cell>
          <cell r="S75">
            <v>0</v>
          </cell>
          <cell r="T75">
            <v>0</v>
          </cell>
          <cell r="U75">
            <v>3</v>
          </cell>
          <cell r="V75">
            <v>71</v>
          </cell>
          <cell r="W75"/>
        </row>
        <row r="76">
          <cell r="A76">
            <v>72</v>
          </cell>
          <cell r="B76" t="str">
            <v>DEDUCTIONS FROM  INCOME</v>
          </cell>
          <cell r="C76"/>
          <cell r="D76"/>
          <cell r="E76"/>
          <cell r="F76"/>
          <cell r="G76"/>
          <cell r="H76"/>
          <cell r="I76"/>
          <cell r="J76"/>
          <cell r="K76" t="str">
            <v>Other</v>
          </cell>
          <cell r="L76"/>
          <cell r="M76">
            <v>0</v>
          </cell>
          <cell r="N76">
            <v>0</v>
          </cell>
          <cell r="O76">
            <v>1</v>
          </cell>
          <cell r="P76">
            <v>0</v>
          </cell>
          <cell r="Q76">
            <v>1</v>
          </cell>
          <cell r="R76">
            <v>0</v>
          </cell>
          <cell r="S76">
            <v>0</v>
          </cell>
          <cell r="T76">
            <v>0</v>
          </cell>
          <cell r="U76">
            <v>2</v>
          </cell>
          <cell r="V76">
            <v>72</v>
          </cell>
          <cell r="W76"/>
        </row>
        <row r="77">
          <cell r="A77">
            <v>73</v>
          </cell>
          <cell r="B77" t="str">
            <v>Interest Expense</v>
          </cell>
          <cell r="C77"/>
          <cell r="D77">
            <v>851</v>
          </cell>
          <cell r="E77">
            <v>25000</v>
          </cell>
          <cell r="F77"/>
          <cell r="G77">
            <v>150000</v>
          </cell>
          <cell r="H77"/>
          <cell r="I77"/>
          <cell r="J77"/>
          <cell r="K77" t="str">
            <v>TOTAL</v>
          </cell>
          <cell r="L77"/>
          <cell r="M77">
            <v>8</v>
          </cell>
          <cell r="N77">
            <v>5</v>
          </cell>
          <cell r="O77">
            <v>1</v>
          </cell>
          <cell r="P77">
            <v>7</v>
          </cell>
          <cell r="Q77">
            <v>13</v>
          </cell>
          <cell r="R77">
            <v>3</v>
          </cell>
          <cell r="S77">
            <v>0</v>
          </cell>
          <cell r="T77">
            <v>2</v>
          </cell>
          <cell r="U77">
            <v>39</v>
          </cell>
          <cell r="V77">
            <v>73</v>
          </cell>
          <cell r="W77"/>
        </row>
        <row r="78">
          <cell r="A78">
            <v>74</v>
          </cell>
          <cell r="B78" t="str">
            <v>Capitol Assets, Losses</v>
          </cell>
          <cell r="C78"/>
          <cell r="D78">
            <v>853</v>
          </cell>
          <cell r="E78">
            <v>0</v>
          </cell>
          <cell r="F78"/>
          <cell r="G78">
            <v>0</v>
          </cell>
          <cell r="H78"/>
          <cell r="I78"/>
          <cell r="J78"/>
          <cell r="K78" t="str">
            <v>CASH MANAGEMENT</v>
          </cell>
          <cell r="L78"/>
          <cell r="M78"/>
          <cell r="N78"/>
          <cell r="O78"/>
          <cell r="P78" t="str">
            <v>TOTAL</v>
          </cell>
          <cell r="Q78"/>
          <cell r="R78" t="str">
            <v>OVER AGED</v>
          </cell>
          <cell r="S78"/>
          <cell r="T78" t="str">
            <v>% OF TOTAL</v>
          </cell>
          <cell r="U78"/>
          <cell r="V78">
            <v>74</v>
          </cell>
          <cell r="W78"/>
        </row>
        <row r="79">
          <cell r="A79">
            <v>75</v>
          </cell>
          <cell r="B79" t="str">
            <v>Other Deductions</v>
          </cell>
          <cell r="C79"/>
          <cell r="D79">
            <v>855</v>
          </cell>
          <cell r="E79">
            <v>430</v>
          </cell>
          <cell r="F79"/>
          <cell r="G79">
            <v>2877</v>
          </cell>
          <cell r="H79"/>
          <cell r="I79"/>
          <cell r="J79"/>
          <cell r="K79" t="str">
            <v>Service &amp; Parts Receivables</v>
          </cell>
          <cell r="L79"/>
          <cell r="M79"/>
          <cell r="N79"/>
          <cell r="O79"/>
          <cell r="P79">
            <v>12292</v>
          </cell>
          <cell r="Q79"/>
          <cell r="R79">
            <v>0</v>
          </cell>
          <cell r="S79"/>
          <cell r="T79" t="str">
            <v>-</v>
          </cell>
          <cell r="U79"/>
          <cell r="V79">
            <v>75</v>
          </cell>
          <cell r="W79"/>
        </row>
        <row r="80">
          <cell r="A80">
            <v>76</v>
          </cell>
          <cell r="B80" t="str">
            <v>Repossession Losses</v>
          </cell>
          <cell r="C80"/>
          <cell r="D80">
            <v>857</v>
          </cell>
          <cell r="E80">
            <v>0</v>
          </cell>
          <cell r="F80"/>
          <cell r="G80">
            <v>0</v>
          </cell>
          <cell r="H80"/>
          <cell r="I80"/>
          <cell r="J80"/>
          <cell r="K80" t="str">
            <v>Warranty Receivables</v>
          </cell>
          <cell r="L80"/>
          <cell r="M80"/>
          <cell r="N80"/>
          <cell r="O80"/>
          <cell r="P80">
            <v>44240</v>
          </cell>
          <cell r="Q80"/>
          <cell r="R80">
            <v>0</v>
          </cell>
          <cell r="S80"/>
          <cell r="T80" t="str">
            <v>-</v>
          </cell>
          <cell r="U80"/>
          <cell r="V80">
            <v>76</v>
          </cell>
          <cell r="W80"/>
        </row>
        <row r="81">
          <cell r="A81">
            <v>77</v>
          </cell>
          <cell r="B81" t="str">
            <v>Casualty Losses</v>
          </cell>
          <cell r="C81"/>
          <cell r="D81">
            <v>858</v>
          </cell>
          <cell r="E81">
            <v>0</v>
          </cell>
          <cell r="F81"/>
          <cell r="G81">
            <v>0</v>
          </cell>
          <cell r="H81"/>
          <cell r="I81"/>
          <cell r="J81"/>
          <cell r="K81" t="str">
            <v>New Vehicles &amp; Demo Inventory</v>
          </cell>
          <cell r="L81"/>
          <cell r="M81"/>
          <cell r="N81"/>
          <cell r="O81"/>
          <cell r="P81">
            <v>5443111</v>
          </cell>
          <cell r="Q81"/>
          <cell r="R81">
            <v>0</v>
          </cell>
          <cell r="S81"/>
          <cell r="T81" t="str">
            <v>-</v>
          </cell>
          <cell r="U81"/>
          <cell r="V81">
            <v>77</v>
          </cell>
          <cell r="W81"/>
        </row>
        <row r="82">
          <cell r="A82">
            <v>78</v>
          </cell>
          <cell r="B82" t="str">
            <v>Lease and Rental Units Expense</v>
          </cell>
          <cell r="C82"/>
          <cell r="D82">
            <v>859</v>
          </cell>
          <cell r="E82">
            <v>8941</v>
          </cell>
          <cell r="F82"/>
          <cell r="G82">
            <v>9560</v>
          </cell>
          <cell r="H82"/>
          <cell r="I82"/>
          <cell r="J82"/>
          <cell r="K82" t="str">
            <v>Used Vehicle Inventory</v>
          </cell>
          <cell r="L82"/>
          <cell r="M82"/>
          <cell r="N82"/>
          <cell r="O82"/>
          <cell r="P82">
            <v>876680</v>
          </cell>
          <cell r="Q82"/>
          <cell r="R82">
            <v>0</v>
          </cell>
          <cell r="S82"/>
          <cell r="T82" t="str">
            <v>-</v>
          </cell>
          <cell r="U82"/>
          <cell r="V82">
            <v>78</v>
          </cell>
          <cell r="W82"/>
        </row>
        <row r="83">
          <cell r="A83">
            <v>79</v>
          </cell>
          <cell r="B83" t="str">
            <v>TOTAL</v>
          </cell>
          <cell r="C83"/>
          <cell r="D83"/>
          <cell r="E83">
            <v>34371</v>
          </cell>
          <cell r="F83"/>
          <cell r="G83">
            <v>162437</v>
          </cell>
          <cell r="H83"/>
          <cell r="I83"/>
          <cell r="J83"/>
          <cell r="K83" t="str">
            <v>Parts &amp; Accessories Inventory</v>
          </cell>
          <cell r="L83"/>
          <cell r="M83"/>
          <cell r="N83"/>
          <cell r="O83"/>
          <cell r="P83">
            <v>130309</v>
          </cell>
          <cell r="Q83"/>
          <cell r="R83">
            <v>0</v>
          </cell>
          <cell r="S83"/>
          <cell r="T83" t="str">
            <v>-</v>
          </cell>
          <cell r="U83"/>
          <cell r="V83">
            <v>79</v>
          </cell>
          <cell r="W83"/>
        </row>
        <row r="84">
          <cell r="A84">
            <v>80</v>
          </cell>
          <cell r="B84" t="str">
            <v>AGED RECEIVABLES</v>
          </cell>
          <cell r="C84" t="str">
            <v xml:space="preserve">TOTAL </v>
          </cell>
          <cell r="D84"/>
          <cell r="E84" t="str">
            <v>CURRENT</v>
          </cell>
          <cell r="F84"/>
          <cell r="G84" t="str">
            <v>30-60</v>
          </cell>
          <cell r="H84"/>
          <cell r="I84" t="str">
            <v>OVER 60</v>
          </cell>
          <cell r="J84"/>
          <cell r="K84" t="str">
            <v>Other Factory Receivables Incentives</v>
          </cell>
          <cell r="L84"/>
          <cell r="M84"/>
          <cell r="N84"/>
          <cell r="O84"/>
          <cell r="P84">
            <v>245325</v>
          </cell>
          <cell r="Q84"/>
          <cell r="R84">
            <v>0</v>
          </cell>
          <cell r="S84"/>
          <cell r="T84" t="str">
            <v>-</v>
          </cell>
          <cell r="U84"/>
          <cell r="V84">
            <v>80</v>
          </cell>
          <cell r="W84"/>
        </row>
        <row r="85">
          <cell r="A85">
            <v>81</v>
          </cell>
          <cell r="B85" t="str">
            <v>Customer Notes</v>
          </cell>
          <cell r="C85">
            <v>0</v>
          </cell>
          <cell r="D85"/>
          <cell r="E85">
            <v>0</v>
          </cell>
          <cell r="F85"/>
          <cell r="G85">
            <v>0</v>
          </cell>
          <cell r="H85"/>
          <cell r="I85">
            <v>0</v>
          </cell>
          <cell r="J85"/>
          <cell r="K85" t="str">
            <v>TOTAL</v>
          </cell>
          <cell r="L85"/>
          <cell r="M85"/>
          <cell r="N85"/>
          <cell r="O85"/>
          <cell r="P85">
            <v>6751957</v>
          </cell>
          <cell r="Q85"/>
          <cell r="R85"/>
          <cell r="S85"/>
          <cell r="T85"/>
          <cell r="U85"/>
          <cell r="V85">
            <v>81</v>
          </cell>
          <cell r="W85"/>
        </row>
        <row r="86">
          <cell r="A86">
            <v>82</v>
          </cell>
          <cell r="B86" t="str">
            <v>Accounts Rec. Vehicle</v>
          </cell>
          <cell r="C86">
            <v>0</v>
          </cell>
          <cell r="D86"/>
          <cell r="E86">
            <v>0</v>
          </cell>
          <cell r="F86"/>
          <cell r="G86">
            <v>0</v>
          </cell>
          <cell r="H86"/>
          <cell r="I86">
            <v>0</v>
          </cell>
          <cell r="J86"/>
          <cell r="K86" t="str">
            <v>TOTAL FROZEN CASH</v>
          </cell>
          <cell r="L86"/>
          <cell r="M86"/>
          <cell r="N86"/>
          <cell r="O86"/>
          <cell r="P86"/>
          <cell r="Q86"/>
          <cell r="R86">
            <v>0</v>
          </cell>
          <cell r="S86"/>
          <cell r="T86"/>
          <cell r="U86"/>
          <cell r="V86">
            <v>82</v>
          </cell>
          <cell r="W86"/>
        </row>
        <row r="87">
          <cell r="A87"/>
          <cell r="B87"/>
          <cell r="C87"/>
          <cell r="D87"/>
          <cell r="E87"/>
          <cell r="F87"/>
          <cell r="G87"/>
          <cell r="H87"/>
          <cell r="I87"/>
          <cell r="J87"/>
          <cell r="T87" t="str">
            <v>Ver</v>
          </cell>
          <cell r="U87" t="str">
            <v>1.3-18</v>
          </cell>
          <cell r="V87"/>
          <cell r="W87"/>
        </row>
        <row r="88">
          <cell r="B88"/>
          <cell r="C88"/>
          <cell r="D88"/>
          <cell r="E88"/>
          <cell r="F88"/>
          <cell r="G88"/>
          <cell r="H88"/>
          <cell r="I88"/>
          <cell r="J88"/>
        </row>
        <row r="89">
          <cell r="B89"/>
          <cell r="C89"/>
          <cell r="D89"/>
          <cell r="E89"/>
          <cell r="F89"/>
          <cell r="G89"/>
          <cell r="H89"/>
          <cell r="I89"/>
          <cell r="J89"/>
        </row>
      </sheetData>
      <sheetData sheetId="3" refreshError="1">
        <row r="42">
          <cell r="E42">
            <v>-5453</v>
          </cell>
          <cell r="F42"/>
          <cell r="P42">
            <v>-52157</v>
          </cell>
          <cell r="Q42"/>
        </row>
        <row r="43">
          <cell r="E43">
            <v>18004</v>
          </cell>
          <cell r="F43"/>
          <cell r="P43">
            <v>105225</v>
          </cell>
          <cell r="Q43"/>
        </row>
        <row r="44">
          <cell r="E44">
            <v>11997</v>
          </cell>
          <cell r="F44"/>
          <cell r="P44">
            <v>58003</v>
          </cell>
          <cell r="Q44"/>
        </row>
        <row r="45">
          <cell r="E45">
            <v>0</v>
          </cell>
          <cell r="F45"/>
          <cell r="P45">
            <v>0</v>
          </cell>
          <cell r="Q45"/>
        </row>
        <row r="46">
          <cell r="E46">
            <v>0</v>
          </cell>
          <cell r="F46"/>
          <cell r="P46">
            <v>0</v>
          </cell>
          <cell r="Q46"/>
        </row>
        <row r="47">
          <cell r="C47">
            <v>733941</v>
          </cell>
          <cell r="D47"/>
          <cell r="N47">
            <v>4896362</v>
          </cell>
          <cell r="O47"/>
        </row>
        <row r="48">
          <cell r="E48">
            <v>21045</v>
          </cell>
          <cell r="F48"/>
          <cell r="P48">
            <v>119647</v>
          </cell>
          <cell r="Q48"/>
        </row>
        <row r="49">
          <cell r="E49">
            <v>0</v>
          </cell>
          <cell r="F49"/>
          <cell r="P49">
            <v>0</v>
          </cell>
          <cell r="Q49"/>
        </row>
        <row r="50">
          <cell r="E50">
            <v>6178</v>
          </cell>
          <cell r="F50"/>
          <cell r="P50">
            <v>30812</v>
          </cell>
          <cell r="Q50"/>
        </row>
        <row r="51">
          <cell r="E51">
            <v>0</v>
          </cell>
          <cell r="F51"/>
          <cell r="P51">
            <v>0</v>
          </cell>
          <cell r="Q51"/>
        </row>
        <row r="52">
          <cell r="E52">
            <v>18651</v>
          </cell>
          <cell r="F52"/>
          <cell r="P52">
            <v>72375</v>
          </cell>
          <cell r="Q52"/>
        </row>
        <row r="54">
          <cell r="E54">
            <v>0</v>
          </cell>
          <cell r="F54"/>
          <cell r="P54">
            <v>0</v>
          </cell>
          <cell r="Q54"/>
        </row>
        <row r="55">
          <cell r="E55">
            <v>-1051</v>
          </cell>
          <cell r="F55"/>
          <cell r="P55">
            <v>-11468</v>
          </cell>
          <cell r="Q55"/>
        </row>
        <row r="56">
          <cell r="E56">
            <v>4398</v>
          </cell>
          <cell r="F56"/>
          <cell r="P56">
            <v>21274</v>
          </cell>
          <cell r="Q56"/>
        </row>
        <row r="59">
          <cell r="C59">
            <v>373872</v>
          </cell>
          <cell r="D59"/>
          <cell r="E59">
            <v>-42285</v>
          </cell>
          <cell r="F59"/>
          <cell r="N59">
            <v>2460998</v>
          </cell>
          <cell r="O59"/>
          <cell r="P59">
            <v>-221514</v>
          </cell>
          <cell r="Q59"/>
        </row>
        <row r="64">
          <cell r="E64">
            <v>13834</v>
          </cell>
          <cell r="F64"/>
          <cell r="P64">
            <v>73414</v>
          </cell>
          <cell r="Q64"/>
        </row>
        <row r="65">
          <cell r="E65">
            <v>0</v>
          </cell>
          <cell r="F65"/>
          <cell r="P65">
            <v>0</v>
          </cell>
          <cell r="Q65"/>
        </row>
        <row r="66">
          <cell r="E66">
            <v>1916</v>
          </cell>
          <cell r="F66"/>
          <cell r="P66">
            <v>16601</v>
          </cell>
          <cell r="Q66"/>
        </row>
        <row r="67">
          <cell r="E67">
            <v>10317</v>
          </cell>
          <cell r="F67"/>
          <cell r="P67">
            <v>39814</v>
          </cell>
          <cell r="Q67"/>
        </row>
        <row r="68">
          <cell r="E68">
            <v>35100</v>
          </cell>
          <cell r="F68"/>
          <cell r="P68">
            <v>290156</v>
          </cell>
          <cell r="Q68"/>
        </row>
        <row r="69">
          <cell r="E69">
            <v>-13</v>
          </cell>
          <cell r="F69"/>
          <cell r="P69">
            <v>-1761</v>
          </cell>
          <cell r="Q69"/>
        </row>
        <row r="70">
          <cell r="E70">
            <v>-1871</v>
          </cell>
          <cell r="F70"/>
          <cell r="P70">
            <v>4054</v>
          </cell>
          <cell r="Q70"/>
        </row>
        <row r="74">
          <cell r="B74">
            <v>46</v>
          </cell>
          <cell r="M74">
            <v>310</v>
          </cell>
        </row>
      </sheetData>
      <sheetData sheetId="4" refreshError="1">
        <row r="4">
          <cell r="B4">
            <v>2</v>
          </cell>
          <cell r="C4">
            <v>15724</v>
          </cell>
          <cell r="D4"/>
          <cell r="P4">
            <v>48</v>
          </cell>
          <cell r="Q4">
            <v>672454</v>
          </cell>
          <cell r="R4"/>
        </row>
        <row r="5">
          <cell r="B5">
            <v>4</v>
          </cell>
          <cell r="C5">
            <v>57781</v>
          </cell>
          <cell r="D5"/>
          <cell r="P5">
            <v>15</v>
          </cell>
          <cell r="Q5">
            <v>251327</v>
          </cell>
          <cell r="R5"/>
        </row>
        <row r="7">
          <cell r="B7">
            <v>34</v>
          </cell>
          <cell r="C7">
            <v>527214</v>
          </cell>
          <cell r="D7"/>
          <cell r="P7">
            <v>193</v>
          </cell>
          <cell r="Q7">
            <v>2916662</v>
          </cell>
          <cell r="R7"/>
        </row>
        <row r="8">
          <cell r="E8">
            <v>19649</v>
          </cell>
          <cell r="F8"/>
          <cell r="S8">
            <v>267681</v>
          </cell>
          <cell r="T8"/>
        </row>
        <row r="9">
          <cell r="E9">
            <v>-16604</v>
          </cell>
          <cell r="F9"/>
          <cell r="S9">
            <v>-166714</v>
          </cell>
          <cell r="T9"/>
        </row>
        <row r="10">
          <cell r="E10">
            <v>0</v>
          </cell>
          <cell r="F10"/>
          <cell r="S10">
            <v>0</v>
          </cell>
          <cell r="T10"/>
        </row>
        <row r="11">
          <cell r="E11">
            <v>-9322</v>
          </cell>
          <cell r="F11"/>
          <cell r="S11">
            <v>-44742</v>
          </cell>
          <cell r="T11"/>
        </row>
        <row r="12">
          <cell r="E12">
            <v>0</v>
          </cell>
          <cell r="F12"/>
          <cell r="S12">
            <v>0</v>
          </cell>
          <cell r="T12"/>
        </row>
        <row r="13">
          <cell r="E13">
            <v>12255</v>
          </cell>
          <cell r="F13"/>
          <cell r="S13">
            <v>94724</v>
          </cell>
          <cell r="T13"/>
        </row>
        <row r="14">
          <cell r="E14">
            <v>0</v>
          </cell>
          <cell r="F14"/>
          <cell r="S14">
            <v>0</v>
          </cell>
          <cell r="T14"/>
        </row>
        <row r="15">
          <cell r="E15">
            <v>4004</v>
          </cell>
          <cell r="F15"/>
          <cell r="S15">
            <v>35506</v>
          </cell>
          <cell r="T15"/>
        </row>
        <row r="16">
          <cell r="E16">
            <v>0</v>
          </cell>
          <cell r="F16"/>
          <cell r="S16">
            <v>0</v>
          </cell>
          <cell r="T16"/>
        </row>
        <row r="17">
          <cell r="E17">
            <v>7977</v>
          </cell>
          <cell r="F17"/>
          <cell r="S17">
            <v>59166</v>
          </cell>
          <cell r="T17"/>
        </row>
        <row r="19">
          <cell r="E19">
            <v>-1724</v>
          </cell>
          <cell r="F19"/>
          <cell r="S19">
            <v>-10939</v>
          </cell>
          <cell r="T19"/>
        </row>
        <row r="20">
          <cell r="E20">
            <v>1881</v>
          </cell>
          <cell r="F20"/>
          <cell r="S20">
            <v>13752</v>
          </cell>
          <cell r="T20"/>
        </row>
        <row r="21">
          <cell r="E21">
            <v>0</v>
          </cell>
          <cell r="F21"/>
          <cell r="S21">
            <v>0</v>
          </cell>
          <cell r="T21"/>
        </row>
        <row r="26">
          <cell r="B26">
            <v>228</v>
          </cell>
          <cell r="C26">
            <v>27639</v>
          </cell>
          <cell r="E26">
            <v>19467</v>
          </cell>
          <cell r="P26">
            <v>1617</v>
          </cell>
          <cell r="Q26">
            <v>184388</v>
          </cell>
          <cell r="S26">
            <v>125100</v>
          </cell>
        </row>
        <row r="27">
          <cell r="B27">
            <v>0</v>
          </cell>
          <cell r="C27">
            <v>0</v>
          </cell>
          <cell r="E27">
            <v>0</v>
          </cell>
          <cell r="P27">
            <v>0</v>
          </cell>
          <cell r="Q27">
            <v>0</v>
          </cell>
          <cell r="S27">
            <v>0</v>
          </cell>
        </row>
        <row r="28">
          <cell r="B28">
            <v>146</v>
          </cell>
          <cell r="C28">
            <v>15916</v>
          </cell>
          <cell r="D28"/>
          <cell r="E28">
            <v>12724</v>
          </cell>
          <cell r="F28"/>
          <cell r="P28">
            <v>1005</v>
          </cell>
          <cell r="Q28">
            <v>94789</v>
          </cell>
          <cell r="R28"/>
          <cell r="S28">
            <v>76052</v>
          </cell>
          <cell r="T28"/>
        </row>
        <row r="29">
          <cell r="B29">
            <v>61</v>
          </cell>
          <cell r="C29">
            <v>5428</v>
          </cell>
          <cell r="D29"/>
          <cell r="E29">
            <v>4073</v>
          </cell>
          <cell r="F29"/>
          <cell r="P29">
            <v>381</v>
          </cell>
          <cell r="Q29">
            <v>50375</v>
          </cell>
          <cell r="R29"/>
          <cell r="S29">
            <v>38446</v>
          </cell>
          <cell r="T29"/>
        </row>
        <row r="32">
          <cell r="B32">
            <v>165</v>
          </cell>
          <cell r="C32">
            <v>31624</v>
          </cell>
          <cell r="E32">
            <v>21825</v>
          </cell>
          <cell r="P32">
            <v>1236</v>
          </cell>
          <cell r="Q32">
            <v>232851</v>
          </cell>
          <cell r="S32">
            <v>163078</v>
          </cell>
        </row>
        <row r="33">
          <cell r="B33">
            <v>40</v>
          </cell>
          <cell r="C33">
            <v>5588</v>
          </cell>
          <cell r="D33"/>
          <cell r="E33">
            <v>3428</v>
          </cell>
          <cell r="F33"/>
          <cell r="P33">
            <v>439</v>
          </cell>
          <cell r="Q33">
            <v>59160</v>
          </cell>
          <cell r="R33"/>
          <cell r="S33">
            <v>42348</v>
          </cell>
          <cell r="T33"/>
        </row>
        <row r="34">
          <cell r="B34">
            <v>68</v>
          </cell>
          <cell r="C34">
            <v>11395</v>
          </cell>
          <cell r="D34"/>
          <cell r="E34">
            <v>8071</v>
          </cell>
          <cell r="F34"/>
          <cell r="P34">
            <v>499</v>
          </cell>
          <cell r="Q34">
            <v>84558</v>
          </cell>
          <cell r="R34"/>
          <cell r="S34">
            <v>63090</v>
          </cell>
          <cell r="T34"/>
        </row>
        <row r="36">
          <cell r="C36">
            <v>7568</v>
          </cell>
          <cell r="D36"/>
          <cell r="E36">
            <v>149</v>
          </cell>
          <cell r="F36"/>
          <cell r="Q36">
            <v>52080</v>
          </cell>
          <cell r="R36"/>
          <cell r="S36">
            <v>3688</v>
          </cell>
          <cell r="T36"/>
        </row>
        <row r="37">
          <cell r="E37">
            <v>-1819</v>
          </cell>
          <cell r="F37"/>
          <cell r="S37">
            <v>-715</v>
          </cell>
          <cell r="T37"/>
        </row>
        <row r="38">
          <cell r="E38">
            <v>0</v>
          </cell>
          <cell r="F38"/>
          <cell r="S38">
            <v>0</v>
          </cell>
          <cell r="T38"/>
        </row>
        <row r="40">
          <cell r="C40">
            <v>10700</v>
          </cell>
          <cell r="D40"/>
          <cell r="E40">
            <v>3306</v>
          </cell>
          <cell r="F40"/>
          <cell r="Q40">
            <v>78721</v>
          </cell>
          <cell r="R40"/>
          <cell r="S40">
            <v>27869</v>
          </cell>
          <cell r="T40"/>
        </row>
        <row r="41">
          <cell r="C41">
            <v>0</v>
          </cell>
          <cell r="D41"/>
          <cell r="E41">
            <v>0</v>
          </cell>
          <cell r="F41"/>
          <cell r="Q41">
            <v>0</v>
          </cell>
          <cell r="R41"/>
          <cell r="S41">
            <v>0</v>
          </cell>
          <cell r="T41"/>
        </row>
        <row r="42">
          <cell r="C42">
            <v>0</v>
          </cell>
          <cell r="D42"/>
          <cell r="E42">
            <v>0</v>
          </cell>
          <cell r="F42"/>
          <cell r="Q42">
            <v>0</v>
          </cell>
          <cell r="R42"/>
          <cell r="S42">
            <v>0</v>
          </cell>
          <cell r="T42"/>
        </row>
        <row r="43">
          <cell r="C43">
            <v>36737</v>
          </cell>
          <cell r="D43"/>
          <cell r="E43">
            <v>10444</v>
          </cell>
          <cell r="F43"/>
          <cell r="Q43">
            <v>172493</v>
          </cell>
          <cell r="R43"/>
          <cell r="S43">
            <v>48548</v>
          </cell>
          <cell r="T43"/>
        </row>
        <row r="44">
          <cell r="C44">
            <v>1078</v>
          </cell>
          <cell r="D44"/>
          <cell r="E44">
            <v>401</v>
          </cell>
          <cell r="F44"/>
          <cell r="Q44">
            <v>9505</v>
          </cell>
          <cell r="R44"/>
          <cell r="S44">
            <v>3567</v>
          </cell>
          <cell r="T44"/>
        </row>
        <row r="45">
          <cell r="B45">
            <v>47</v>
          </cell>
          <cell r="C45">
            <v>2762</v>
          </cell>
          <cell r="D45"/>
          <cell r="E45">
            <v>1095</v>
          </cell>
          <cell r="F45"/>
          <cell r="P45">
            <v>310</v>
          </cell>
          <cell r="Q45">
            <v>23403</v>
          </cell>
          <cell r="R45"/>
          <cell r="S45">
            <v>8484</v>
          </cell>
          <cell r="T45"/>
        </row>
        <row r="46">
          <cell r="B46">
            <v>35</v>
          </cell>
          <cell r="C46">
            <v>5999</v>
          </cell>
          <cell r="D46"/>
          <cell r="E46">
            <v>1642</v>
          </cell>
          <cell r="F46"/>
          <cell r="P46">
            <v>215</v>
          </cell>
          <cell r="Q46">
            <v>30772</v>
          </cell>
          <cell r="R46"/>
          <cell r="S46">
            <v>8106</v>
          </cell>
          <cell r="T46"/>
        </row>
        <row r="48">
          <cell r="C48">
            <v>24723</v>
          </cell>
          <cell r="D48"/>
          <cell r="E48">
            <v>8492</v>
          </cell>
          <cell r="F48"/>
          <cell r="Q48">
            <v>214028</v>
          </cell>
          <cell r="R48"/>
          <cell r="S48">
            <v>75244</v>
          </cell>
          <cell r="T48"/>
        </row>
        <row r="50">
          <cell r="C50">
            <v>7843</v>
          </cell>
          <cell r="D50"/>
          <cell r="E50">
            <v>2126</v>
          </cell>
          <cell r="F50"/>
          <cell r="Q50">
            <v>68048</v>
          </cell>
          <cell r="R50"/>
          <cell r="S50">
            <v>21984</v>
          </cell>
          <cell r="T50"/>
        </row>
        <row r="51">
          <cell r="C51">
            <v>2978</v>
          </cell>
          <cell r="D51"/>
          <cell r="E51">
            <v>977</v>
          </cell>
          <cell r="F51"/>
          <cell r="Q51">
            <v>36761</v>
          </cell>
          <cell r="R51"/>
          <cell r="S51">
            <v>12895</v>
          </cell>
          <cell r="T51"/>
        </row>
        <row r="52">
          <cell r="B52">
            <v>90</v>
          </cell>
          <cell r="C52">
            <v>9036</v>
          </cell>
          <cell r="D52"/>
          <cell r="E52">
            <v>3066</v>
          </cell>
          <cell r="F52"/>
          <cell r="P52">
            <v>621</v>
          </cell>
          <cell r="Q52">
            <v>49317</v>
          </cell>
          <cell r="R52"/>
          <cell r="S52">
            <v>16491</v>
          </cell>
          <cell r="T52"/>
        </row>
        <row r="53">
          <cell r="B53">
            <v>23</v>
          </cell>
          <cell r="C53">
            <v>2110</v>
          </cell>
          <cell r="D53"/>
          <cell r="E53">
            <v>618</v>
          </cell>
          <cell r="F53"/>
          <cell r="P53">
            <v>142</v>
          </cell>
          <cell r="Q53">
            <v>24299</v>
          </cell>
          <cell r="R53"/>
          <cell r="S53">
            <v>6687</v>
          </cell>
          <cell r="T53"/>
        </row>
        <row r="55">
          <cell r="E55">
            <v>0</v>
          </cell>
          <cell r="F55"/>
          <cell r="S55">
            <v>-575</v>
          </cell>
          <cell r="T55"/>
        </row>
        <row r="56">
          <cell r="E56">
            <v>0</v>
          </cell>
          <cell r="F56"/>
          <cell r="S56">
            <v>0</v>
          </cell>
          <cell r="T56"/>
        </row>
        <row r="57">
          <cell r="C57">
            <v>3815</v>
          </cell>
          <cell r="D57"/>
          <cell r="E57">
            <v>228</v>
          </cell>
          <cell r="F57"/>
          <cell r="Q57">
            <v>41189</v>
          </cell>
          <cell r="R57"/>
          <cell r="S57">
            <v>4773</v>
          </cell>
          <cell r="T57"/>
        </row>
        <row r="58">
          <cell r="C58">
            <v>210</v>
          </cell>
          <cell r="D58"/>
          <cell r="E58">
            <v>63</v>
          </cell>
          <cell r="F58"/>
          <cell r="Q58">
            <v>210</v>
          </cell>
          <cell r="R58"/>
          <cell r="S58">
            <v>63</v>
          </cell>
          <cell r="T58"/>
        </row>
        <row r="59">
          <cell r="E59">
            <v>0</v>
          </cell>
          <cell r="F59"/>
          <cell r="S59">
            <v>0</v>
          </cell>
          <cell r="T59"/>
        </row>
        <row r="60">
          <cell r="E60">
            <v>32458</v>
          </cell>
          <cell r="F60"/>
          <cell r="S60">
            <v>235286</v>
          </cell>
          <cell r="T60"/>
        </row>
        <row r="61">
          <cell r="E61">
            <v>0</v>
          </cell>
          <cell r="F61"/>
          <cell r="S61">
            <v>0</v>
          </cell>
          <cell r="T61"/>
        </row>
        <row r="62">
          <cell r="E62">
            <v>0</v>
          </cell>
          <cell r="F62"/>
          <cell r="S62">
            <v>0</v>
          </cell>
          <cell r="T62"/>
        </row>
        <row r="63">
          <cell r="E63">
            <v>0</v>
          </cell>
          <cell r="F63"/>
          <cell r="S63">
            <v>0</v>
          </cell>
          <cell r="T63"/>
        </row>
        <row r="64">
          <cell r="E64">
            <v>0</v>
          </cell>
          <cell r="F64"/>
          <cell r="S64">
            <v>0</v>
          </cell>
          <cell r="T64"/>
        </row>
        <row r="65">
          <cell r="E65">
            <v>0</v>
          </cell>
          <cell r="F65"/>
          <cell r="S65">
            <v>0</v>
          </cell>
          <cell r="T65"/>
        </row>
        <row r="66">
          <cell r="E66">
            <v>0</v>
          </cell>
          <cell r="F66"/>
          <cell r="S66">
            <v>0</v>
          </cell>
          <cell r="T66"/>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PAGE 3"/>
      <sheetName val="Page 4"/>
      <sheetName val="Page 5"/>
      <sheetName val="Page 6"/>
      <sheetName val="Detail"/>
      <sheetName val="Manf COA"/>
      <sheetName val="Cross Ref"/>
      <sheetName val="WFPFFWTOT"/>
      <sheetName val="FFPXREFDTA"/>
      <sheetName val="FFPENVIOR"/>
      <sheetName val="Const"/>
      <sheetName val="Language"/>
      <sheetName val="Factory Accounts "/>
      <sheetName val="Change Log"/>
    </sheetNames>
    <sheetDataSet>
      <sheetData sheetId="0" refreshError="1"/>
      <sheetData sheetId="1" refreshError="1">
        <row r="1">
          <cell r="B1"/>
          <cell r="C1"/>
          <cell r="D1"/>
          <cell r="E1"/>
          <cell r="F1"/>
          <cell r="G1">
            <v>2016</v>
          </cell>
          <cell r="H1" t="str">
            <v>TOTAL INCOME AND EXPENSE</v>
          </cell>
          <cell r="I1"/>
          <cell r="J1"/>
          <cell r="K1"/>
          <cell r="L1"/>
          <cell r="M1"/>
          <cell r="N1"/>
          <cell r="O1"/>
          <cell r="P1"/>
          <cell r="Q1"/>
          <cell r="R1" t="str">
            <v>Page 2</v>
          </cell>
          <cell r="S1"/>
        </row>
        <row r="2">
          <cell r="B2" t="str">
            <v>NAME OF ACCOUNT</v>
          </cell>
          <cell r="C2"/>
          <cell r="D2" t="str">
            <v>ACCT.</v>
          </cell>
          <cell r="E2" t="str">
            <v>TOTAL DEALERSHIP</v>
          </cell>
          <cell r="F2"/>
          <cell r="G2"/>
          <cell r="H2"/>
          <cell r="I2"/>
          <cell r="J2"/>
          <cell r="K2" t="str">
            <v>(1) NEW VEHICLE DEPARTMENT</v>
          </cell>
          <cell r="L2"/>
          <cell r="M2"/>
          <cell r="N2"/>
          <cell r="O2" t="str">
            <v>(2) USED VEHICLE DEPARTMENT</v>
          </cell>
          <cell r="P2"/>
          <cell r="Q2"/>
          <cell r="R2"/>
          <cell r="S2" t="str">
            <v>Line No.</v>
          </cell>
        </row>
        <row r="3">
          <cell r="B3"/>
          <cell r="C3"/>
          <cell r="D3" t="str">
            <v>NO.</v>
          </cell>
          <cell r="E3" t="str">
            <v>MONTH</v>
          </cell>
          <cell r="F3"/>
          <cell r="G3" t="str">
            <v>G.P. % SALES</v>
          </cell>
          <cell r="H3" t="str">
            <v>YEAR TO DATE</v>
          </cell>
          <cell r="I3"/>
          <cell r="J3" t="str">
            <v>G.P. % SALES</v>
          </cell>
          <cell r="K3" t="str">
            <v>MONTH</v>
          </cell>
          <cell r="L3"/>
          <cell r="M3" t="str">
            <v>YEAR TO DATE</v>
          </cell>
          <cell r="N3"/>
          <cell r="O3" t="str">
            <v>MONTH</v>
          </cell>
          <cell r="P3"/>
          <cell r="Q3" t="str">
            <v>YEAR TO DATE</v>
          </cell>
          <cell r="R3"/>
          <cell r="S3"/>
        </row>
        <row r="4">
          <cell r="B4" t="str">
            <v>TOTAL SALES</v>
          </cell>
          <cell r="C4"/>
          <cell r="D4"/>
          <cell r="E4">
            <v>1876199</v>
          </cell>
          <cell r="F4"/>
          <cell r="G4"/>
          <cell r="H4">
            <v>10745024</v>
          </cell>
          <cell r="I4"/>
          <cell r="J4"/>
          <cell r="K4">
            <v>0</v>
          </cell>
          <cell r="L4"/>
          <cell r="M4">
            <v>0</v>
          </cell>
          <cell r="N4"/>
          <cell r="O4">
            <v>1876199</v>
          </cell>
          <cell r="P4"/>
          <cell r="Q4">
            <v>10745024</v>
          </cell>
          <cell r="R4"/>
          <cell r="S4">
            <v>1</v>
          </cell>
        </row>
        <row r="5">
          <cell r="B5" t="str">
            <v>TOTAL GROSS PROFIT</v>
          </cell>
          <cell r="C5"/>
          <cell r="D5"/>
          <cell r="E5">
            <v>176366</v>
          </cell>
          <cell r="F5"/>
          <cell r="G5">
            <v>9.4001755677302887E-2</v>
          </cell>
          <cell r="H5">
            <v>1120300</v>
          </cell>
          <cell r="I5"/>
          <cell r="J5">
            <v>0.1042622147702974</v>
          </cell>
          <cell r="K5">
            <v>0</v>
          </cell>
          <cell r="L5"/>
          <cell r="M5">
            <v>0</v>
          </cell>
          <cell r="N5"/>
          <cell r="O5">
            <v>176366</v>
          </cell>
          <cell r="P5"/>
          <cell r="Q5">
            <v>1120300</v>
          </cell>
          <cell r="R5"/>
          <cell r="S5">
            <v>2</v>
          </cell>
        </row>
        <row r="6">
          <cell r="B6" t="str">
            <v>DEPARTMENTAL EXPENSES</v>
          </cell>
          <cell r="C6"/>
          <cell r="D6"/>
          <cell r="E6"/>
          <cell r="F6"/>
          <cell r="G6" t="str">
            <v>% G.P.</v>
          </cell>
          <cell r="H6"/>
          <cell r="I6"/>
          <cell r="J6" t="str">
            <v>% G.P.</v>
          </cell>
          <cell r="K6"/>
          <cell r="L6"/>
          <cell r="M6"/>
          <cell r="N6"/>
          <cell r="O6"/>
          <cell r="P6"/>
          <cell r="Q6"/>
          <cell r="R6"/>
          <cell r="S6">
            <v>3</v>
          </cell>
        </row>
        <row r="7">
          <cell r="B7" t="str">
            <v>Sales Compensation</v>
          </cell>
          <cell r="C7"/>
          <cell r="D7">
            <v>7000</v>
          </cell>
          <cell r="E7">
            <v>21275</v>
          </cell>
          <cell r="F7"/>
          <cell r="G7">
            <v>0.1206298266105712</v>
          </cell>
          <cell r="H7">
            <v>133771</v>
          </cell>
          <cell r="I7"/>
          <cell r="J7">
            <v>0.11940640899758993</v>
          </cell>
          <cell r="K7">
            <v>0</v>
          </cell>
          <cell r="L7"/>
          <cell r="M7">
            <v>0</v>
          </cell>
          <cell r="N7"/>
          <cell r="O7">
            <v>21275</v>
          </cell>
          <cell r="P7"/>
          <cell r="Q7">
            <v>133771</v>
          </cell>
          <cell r="R7"/>
          <cell r="S7">
            <v>4</v>
          </cell>
        </row>
        <row r="8">
          <cell r="B8" t="str">
            <v>Sales Compensation - Scion only</v>
          </cell>
          <cell r="C8"/>
          <cell r="D8">
            <v>7006</v>
          </cell>
          <cell r="E8">
            <v>0</v>
          </cell>
          <cell r="F8"/>
          <cell r="G8" t="str">
            <v>-</v>
          </cell>
          <cell r="H8">
            <v>0</v>
          </cell>
          <cell r="I8"/>
          <cell r="J8" t="str">
            <v>-</v>
          </cell>
          <cell r="K8">
            <v>0</v>
          </cell>
          <cell r="L8"/>
          <cell r="M8">
            <v>0</v>
          </cell>
          <cell r="N8"/>
          <cell r="O8">
            <v>0</v>
          </cell>
          <cell r="P8"/>
          <cell r="Q8">
            <v>0</v>
          </cell>
          <cell r="R8"/>
          <cell r="S8">
            <v>5</v>
          </cell>
        </row>
        <row r="9">
          <cell r="B9" t="str">
            <v>Supervision Compensation</v>
          </cell>
          <cell r="C9"/>
          <cell r="D9">
            <v>7010</v>
          </cell>
          <cell r="E9">
            <v>68000</v>
          </cell>
          <cell r="F9"/>
          <cell r="G9">
            <v>0.38556184298560947</v>
          </cell>
          <cell r="H9">
            <v>404833</v>
          </cell>
          <cell r="I9"/>
          <cell r="J9">
            <v>0.36136124252432383</v>
          </cell>
          <cell r="K9">
            <v>0</v>
          </cell>
          <cell r="L9"/>
          <cell r="M9">
            <v>0</v>
          </cell>
          <cell r="N9"/>
          <cell r="O9">
            <v>68000</v>
          </cell>
          <cell r="P9"/>
          <cell r="Q9">
            <v>404833</v>
          </cell>
          <cell r="R9"/>
          <cell r="S9">
            <v>6</v>
          </cell>
        </row>
        <row r="10">
          <cell r="B10" t="str">
            <v>Supervision Compensation - Scion only</v>
          </cell>
          <cell r="C10"/>
          <cell r="D10">
            <v>7016</v>
          </cell>
          <cell r="E10">
            <v>0</v>
          </cell>
          <cell r="F10"/>
          <cell r="G10" t="str">
            <v>-</v>
          </cell>
          <cell r="H10">
            <v>0</v>
          </cell>
          <cell r="I10"/>
          <cell r="J10" t="str">
            <v>-</v>
          </cell>
          <cell r="K10">
            <v>0</v>
          </cell>
          <cell r="L10"/>
          <cell r="M10">
            <v>0</v>
          </cell>
          <cell r="N10"/>
          <cell r="O10">
            <v>0</v>
          </cell>
          <cell r="P10"/>
          <cell r="Q10">
            <v>0</v>
          </cell>
          <cell r="R10"/>
          <cell r="S10">
            <v>7</v>
          </cell>
        </row>
        <row r="11">
          <cell r="B11" t="str">
            <v>Delivery Expenses</v>
          </cell>
          <cell r="C11"/>
          <cell r="D11">
            <v>7020</v>
          </cell>
          <cell r="E11">
            <v>1383</v>
          </cell>
          <cell r="F11"/>
          <cell r="G11">
            <v>7.8416474830749691E-3</v>
          </cell>
          <cell r="H11">
            <v>8315</v>
          </cell>
          <cell r="I11"/>
          <cell r="J11">
            <v>7.4221190752477018E-3</v>
          </cell>
          <cell r="K11">
            <v>0</v>
          </cell>
          <cell r="L11"/>
          <cell r="M11">
            <v>0</v>
          </cell>
          <cell r="N11"/>
          <cell r="O11">
            <v>1383</v>
          </cell>
          <cell r="P11"/>
          <cell r="Q11">
            <v>8315</v>
          </cell>
          <cell r="R11"/>
          <cell r="S11">
            <v>8</v>
          </cell>
        </row>
        <row r="12">
          <cell r="B12" t="str">
            <v>Finance, Ins., &amp; Svc. Ctr. Commissions</v>
          </cell>
          <cell r="C12"/>
          <cell r="D12">
            <v>7030</v>
          </cell>
          <cell r="E12">
            <v>20000</v>
          </cell>
          <cell r="F12"/>
          <cell r="G12">
            <v>0.11340054205459102</v>
          </cell>
          <cell r="H12">
            <v>149208</v>
          </cell>
          <cell r="I12"/>
          <cell r="J12">
            <v>0.13318575381594217</v>
          </cell>
          <cell r="K12">
            <v>0</v>
          </cell>
          <cell r="L12"/>
          <cell r="M12">
            <v>0</v>
          </cell>
          <cell r="N12"/>
          <cell r="O12">
            <v>20000</v>
          </cell>
          <cell r="P12"/>
          <cell r="Q12">
            <v>149208</v>
          </cell>
          <cell r="R12"/>
          <cell r="S12">
            <v>9</v>
          </cell>
        </row>
        <row r="13">
          <cell r="B13" t="str">
            <v>Finc, Ins., &amp; Svc.Ctr.Com. - Scion only</v>
          </cell>
          <cell r="C13"/>
          <cell r="D13">
            <v>7036</v>
          </cell>
          <cell r="E13">
            <v>0</v>
          </cell>
          <cell r="F13"/>
          <cell r="G13" t="str">
            <v>-</v>
          </cell>
          <cell r="H13">
            <v>0</v>
          </cell>
          <cell r="I13"/>
          <cell r="J13" t="str">
            <v>-</v>
          </cell>
          <cell r="K13">
            <v>0</v>
          </cell>
          <cell r="L13"/>
          <cell r="M13">
            <v>0</v>
          </cell>
          <cell r="N13"/>
          <cell r="O13">
            <v>0</v>
          </cell>
          <cell r="P13"/>
          <cell r="Q13">
            <v>0</v>
          </cell>
          <cell r="R13"/>
          <cell r="S13">
            <v>10</v>
          </cell>
        </row>
        <row r="14">
          <cell r="B14" t="str">
            <v>Advertising - Departmental</v>
          </cell>
          <cell r="C14"/>
          <cell r="D14">
            <v>7040</v>
          </cell>
          <cell r="E14">
            <v>10105</v>
          </cell>
          <cell r="F14"/>
          <cell r="G14">
            <v>5.729562387308211E-2</v>
          </cell>
          <cell r="H14">
            <v>155855</v>
          </cell>
          <cell r="I14"/>
          <cell r="J14">
            <v>0.13911898598589664</v>
          </cell>
          <cell r="K14">
            <v>0</v>
          </cell>
          <cell r="L14"/>
          <cell r="M14">
            <v>0</v>
          </cell>
          <cell r="N14"/>
          <cell r="O14">
            <v>10105</v>
          </cell>
          <cell r="P14"/>
          <cell r="Q14">
            <v>155855</v>
          </cell>
          <cell r="R14"/>
          <cell r="S14">
            <v>11</v>
          </cell>
        </row>
        <row r="15">
          <cell r="B15" t="str">
            <v>Interest - Floor Plan</v>
          </cell>
          <cell r="C15"/>
          <cell r="D15">
            <v>7050</v>
          </cell>
          <cell r="E15">
            <v>3774</v>
          </cell>
          <cell r="F15"/>
          <cell r="G15">
            <v>2.1398682285701326E-2</v>
          </cell>
          <cell r="H15">
            <v>36417</v>
          </cell>
          <cell r="I15"/>
          <cell r="J15">
            <v>3.2506471480853345E-2</v>
          </cell>
          <cell r="K15">
            <v>0</v>
          </cell>
          <cell r="L15"/>
          <cell r="M15">
            <v>0</v>
          </cell>
          <cell r="N15"/>
          <cell r="O15">
            <v>3774</v>
          </cell>
          <cell r="P15"/>
          <cell r="Q15">
            <v>36417</v>
          </cell>
          <cell r="R15"/>
          <cell r="S15">
            <v>12</v>
          </cell>
        </row>
        <row r="16">
          <cell r="B16" t="str">
            <v>TOTAL SELLING EXPENSES</v>
          </cell>
          <cell r="C16" t="str">
            <v xml:space="preserve">LINES 4-12 </v>
          </cell>
          <cell r="D16"/>
          <cell r="E16">
            <v>124537</v>
          </cell>
          <cell r="F16"/>
          <cell r="G16">
            <v>0.70612816529263012</v>
          </cell>
          <cell r="H16">
            <v>888399</v>
          </cell>
          <cell r="I16"/>
          <cell r="J16">
            <v>0.79300098187985357</v>
          </cell>
          <cell r="K16">
            <v>0</v>
          </cell>
          <cell r="L16"/>
          <cell r="M16">
            <v>0</v>
          </cell>
          <cell r="N16"/>
          <cell r="O16">
            <v>124537</v>
          </cell>
          <cell r="P16"/>
          <cell r="Q16">
            <v>888399</v>
          </cell>
          <cell r="R16"/>
          <cell r="S16">
            <v>13</v>
          </cell>
        </row>
        <row r="17">
          <cell r="B17" t="str">
            <v xml:space="preserve">Policy &amp; Claims Adjustments  </v>
          </cell>
          <cell r="C17"/>
          <cell r="D17" t="str">
            <v>7110/7120</v>
          </cell>
          <cell r="E17">
            <v>0</v>
          </cell>
          <cell r="F17"/>
          <cell r="G17" t="str">
            <v>-</v>
          </cell>
          <cell r="H17">
            <v>0</v>
          </cell>
          <cell r="I17"/>
          <cell r="J17" t="str">
            <v>-</v>
          </cell>
          <cell r="K17">
            <v>0</v>
          </cell>
          <cell r="L17"/>
          <cell r="M17">
            <v>0</v>
          </cell>
          <cell r="N17"/>
          <cell r="O17">
            <v>0</v>
          </cell>
          <cell r="P17"/>
          <cell r="Q17">
            <v>0</v>
          </cell>
          <cell r="R17"/>
          <cell r="S17">
            <v>14</v>
          </cell>
        </row>
        <row r="18">
          <cell r="B18" t="str">
            <v>Demos &amp; Company Vehicles - Dept'l</v>
          </cell>
          <cell r="C18"/>
          <cell r="D18">
            <v>7140</v>
          </cell>
          <cell r="E18">
            <v>0</v>
          </cell>
          <cell r="F18"/>
          <cell r="G18" t="str">
            <v>-</v>
          </cell>
          <cell r="H18">
            <v>0</v>
          </cell>
          <cell r="I18"/>
          <cell r="J18" t="str">
            <v>-</v>
          </cell>
          <cell r="K18">
            <v>0</v>
          </cell>
          <cell r="L18"/>
          <cell r="M18">
            <v>0</v>
          </cell>
          <cell r="N18"/>
          <cell r="O18">
            <v>0</v>
          </cell>
          <cell r="P18"/>
          <cell r="Q18">
            <v>0</v>
          </cell>
          <cell r="R18"/>
          <cell r="S18">
            <v>15</v>
          </cell>
        </row>
        <row r="19">
          <cell r="B19" t="str">
            <v>Inventory Maintenance</v>
          </cell>
          <cell r="C19"/>
          <cell r="D19">
            <v>7150</v>
          </cell>
          <cell r="E19">
            <v>0</v>
          </cell>
          <cell r="F19"/>
          <cell r="G19" t="str">
            <v>-</v>
          </cell>
          <cell r="H19">
            <v>0</v>
          </cell>
          <cell r="I19"/>
          <cell r="J19" t="str">
            <v>-</v>
          </cell>
          <cell r="K19">
            <v>0</v>
          </cell>
          <cell r="L19"/>
          <cell r="M19">
            <v>0</v>
          </cell>
          <cell r="N19"/>
          <cell r="O19">
            <v>0</v>
          </cell>
          <cell r="P19"/>
          <cell r="Q19">
            <v>0</v>
          </cell>
          <cell r="R19"/>
          <cell r="S19">
            <v>16</v>
          </cell>
        </row>
        <row r="20">
          <cell r="B20" t="str">
            <v>Personnel Training</v>
          </cell>
          <cell r="C20"/>
          <cell r="D20">
            <v>7160</v>
          </cell>
          <cell r="E20">
            <v>25</v>
          </cell>
          <cell r="F20"/>
          <cell r="G20">
            <v>1.4175067756823877E-4</v>
          </cell>
          <cell r="H20">
            <v>18513</v>
          </cell>
          <cell r="I20"/>
          <cell r="J20">
            <v>1.652503793626707E-2</v>
          </cell>
          <cell r="K20">
            <v>0</v>
          </cell>
          <cell r="L20"/>
          <cell r="M20">
            <v>0</v>
          </cell>
          <cell r="N20"/>
          <cell r="O20">
            <v>25</v>
          </cell>
          <cell r="P20"/>
          <cell r="Q20">
            <v>18513</v>
          </cell>
          <cell r="R20"/>
          <cell r="S20">
            <v>17</v>
          </cell>
        </row>
        <row r="21">
          <cell r="B21" t="str">
            <v>Outside Services - Departmental</v>
          </cell>
          <cell r="C21"/>
          <cell r="D21">
            <v>7170</v>
          </cell>
          <cell r="E21">
            <v>0</v>
          </cell>
          <cell r="F21"/>
          <cell r="G21" t="str">
            <v>-</v>
          </cell>
          <cell r="H21">
            <v>0</v>
          </cell>
          <cell r="I21"/>
          <cell r="J21" t="str">
            <v>-</v>
          </cell>
          <cell r="K21">
            <v>0</v>
          </cell>
          <cell r="L21"/>
          <cell r="M21">
            <v>0</v>
          </cell>
          <cell r="N21"/>
          <cell r="O21">
            <v>0</v>
          </cell>
          <cell r="P21"/>
          <cell r="Q21">
            <v>0</v>
          </cell>
          <cell r="R21"/>
          <cell r="S21">
            <v>18</v>
          </cell>
        </row>
        <row r="22">
          <cell r="B22" t="str">
            <v>Freight</v>
          </cell>
          <cell r="C22"/>
          <cell r="D22">
            <v>7180</v>
          </cell>
          <cell r="E22">
            <v>0</v>
          </cell>
          <cell r="F22"/>
          <cell r="G22" t="str">
            <v>-</v>
          </cell>
          <cell r="H22">
            <v>0</v>
          </cell>
          <cell r="I22"/>
          <cell r="J22" t="str">
            <v>-</v>
          </cell>
          <cell r="K22"/>
          <cell r="L22"/>
          <cell r="M22"/>
          <cell r="N22"/>
          <cell r="O22"/>
          <cell r="P22"/>
          <cell r="Q22"/>
          <cell r="R22"/>
          <cell r="S22">
            <v>19</v>
          </cell>
        </row>
        <row r="23">
          <cell r="B23" t="str">
            <v>Supplies &amp; Small Tools</v>
          </cell>
          <cell r="C23"/>
          <cell r="D23">
            <v>7190</v>
          </cell>
          <cell r="E23">
            <v>2445</v>
          </cell>
          <cell r="F23"/>
          <cell r="G23">
            <v>1.3863216266173753E-2</v>
          </cell>
          <cell r="H23">
            <v>21868</v>
          </cell>
          <cell r="I23"/>
          <cell r="J23">
            <v>1.9519771489779524E-2</v>
          </cell>
          <cell r="K23">
            <v>0</v>
          </cell>
          <cell r="L23"/>
          <cell r="M23">
            <v>0</v>
          </cell>
          <cell r="N23"/>
          <cell r="O23">
            <v>2445</v>
          </cell>
          <cell r="P23"/>
          <cell r="Q23">
            <v>21868</v>
          </cell>
          <cell r="R23"/>
          <cell r="S23">
            <v>20</v>
          </cell>
        </row>
        <row r="24">
          <cell r="B24" t="str">
            <v>Laundry &amp; Uniforms</v>
          </cell>
          <cell r="C24"/>
          <cell r="D24">
            <v>7200</v>
          </cell>
          <cell r="E24">
            <v>0</v>
          </cell>
          <cell r="F24"/>
          <cell r="G24" t="str">
            <v>-</v>
          </cell>
          <cell r="H24">
            <v>0</v>
          </cell>
          <cell r="I24"/>
          <cell r="J24" t="str">
            <v>-</v>
          </cell>
          <cell r="K24">
            <v>0</v>
          </cell>
          <cell r="L24"/>
          <cell r="M24">
            <v>0</v>
          </cell>
          <cell r="N24"/>
          <cell r="O24">
            <v>0</v>
          </cell>
          <cell r="P24"/>
          <cell r="Q24">
            <v>0</v>
          </cell>
          <cell r="R24"/>
          <cell r="S24">
            <v>21</v>
          </cell>
        </row>
        <row r="25">
          <cell r="B25" t="str">
            <v>Depr. - Equip. &amp; Vehicles - Dept'l.</v>
          </cell>
          <cell r="C25"/>
          <cell r="D25">
            <v>7210</v>
          </cell>
          <cell r="E25">
            <v>0</v>
          </cell>
          <cell r="F25"/>
          <cell r="G25" t="str">
            <v>-</v>
          </cell>
          <cell r="H25">
            <v>0</v>
          </cell>
          <cell r="I25"/>
          <cell r="J25" t="str">
            <v>-</v>
          </cell>
          <cell r="K25">
            <v>0</v>
          </cell>
          <cell r="L25"/>
          <cell r="M25">
            <v>0</v>
          </cell>
          <cell r="N25"/>
          <cell r="O25">
            <v>0</v>
          </cell>
          <cell r="P25"/>
          <cell r="Q25">
            <v>0</v>
          </cell>
          <cell r="R25"/>
          <cell r="S25">
            <v>22</v>
          </cell>
        </row>
        <row r="26">
          <cell r="B26" t="str">
            <v>Equip. - Maint., Repair &amp; Rental - Dept'l.</v>
          </cell>
          <cell r="C26"/>
          <cell r="D26">
            <v>7220</v>
          </cell>
          <cell r="E26">
            <v>2584</v>
          </cell>
          <cell r="F26"/>
          <cell r="G26">
            <v>1.4651350033453159E-2</v>
          </cell>
          <cell r="H26">
            <v>14099</v>
          </cell>
          <cell r="I26"/>
          <cell r="J26">
            <v>1.2585021869142194E-2</v>
          </cell>
          <cell r="K26">
            <v>0</v>
          </cell>
          <cell r="L26"/>
          <cell r="M26">
            <v>0</v>
          </cell>
          <cell r="N26"/>
          <cell r="O26">
            <v>2584</v>
          </cell>
          <cell r="P26"/>
          <cell r="Q26">
            <v>14099</v>
          </cell>
          <cell r="R26"/>
          <cell r="S26">
            <v>23</v>
          </cell>
        </row>
        <row r="27">
          <cell r="B27" t="str">
            <v>Miscellaneous Expenses</v>
          </cell>
          <cell r="C27"/>
          <cell r="D27">
            <v>7230</v>
          </cell>
          <cell r="E27">
            <v>95</v>
          </cell>
          <cell r="F27"/>
          <cell r="G27">
            <v>5.3865257475930735E-4</v>
          </cell>
          <cell r="H27">
            <v>6056</v>
          </cell>
          <cell r="I27"/>
          <cell r="J27">
            <v>5.405694903150942E-3</v>
          </cell>
          <cell r="K27">
            <v>0</v>
          </cell>
          <cell r="L27"/>
          <cell r="M27">
            <v>0</v>
          </cell>
          <cell r="N27"/>
          <cell r="O27">
            <v>95</v>
          </cell>
          <cell r="P27"/>
          <cell r="Q27">
            <v>6056</v>
          </cell>
          <cell r="R27"/>
          <cell r="S27">
            <v>24</v>
          </cell>
        </row>
        <row r="28">
          <cell r="B28" t="str">
            <v>Salaries &amp; Wages</v>
          </cell>
          <cell r="C28"/>
          <cell r="D28" t="str">
            <v>7250</v>
          </cell>
          <cell r="E28">
            <v>0</v>
          </cell>
          <cell r="F28"/>
          <cell r="G28" t="str">
            <v>-</v>
          </cell>
          <cell r="H28">
            <v>0</v>
          </cell>
          <cell r="I28"/>
          <cell r="J28" t="str">
            <v>-</v>
          </cell>
          <cell r="K28">
            <v>0</v>
          </cell>
          <cell r="L28"/>
          <cell r="M28">
            <v>0</v>
          </cell>
          <cell r="N28"/>
          <cell r="O28">
            <v>0</v>
          </cell>
          <cell r="P28"/>
          <cell r="Q28">
            <v>0</v>
          </cell>
          <cell r="R28"/>
          <cell r="S28">
            <v>25</v>
          </cell>
        </row>
        <row r="29">
          <cell r="B29" t="str">
            <v>Clerical Salaries</v>
          </cell>
          <cell r="C29"/>
          <cell r="D29" t="str">
            <v>7260</v>
          </cell>
          <cell r="E29">
            <v>0</v>
          </cell>
          <cell r="F29"/>
          <cell r="G29" t="str">
            <v>-</v>
          </cell>
          <cell r="H29">
            <v>0</v>
          </cell>
          <cell r="I29"/>
          <cell r="J29" t="str">
            <v>-</v>
          </cell>
          <cell r="K29">
            <v>0</v>
          </cell>
          <cell r="L29"/>
          <cell r="M29">
            <v>0</v>
          </cell>
          <cell r="N29"/>
          <cell r="O29">
            <v>0</v>
          </cell>
          <cell r="P29"/>
          <cell r="Q29">
            <v>0</v>
          </cell>
          <cell r="R29"/>
          <cell r="S29">
            <v>26</v>
          </cell>
        </row>
        <row r="30">
          <cell r="B30" t="str">
            <v>Vacation &amp; Time Off Pay</v>
          </cell>
          <cell r="C30"/>
          <cell r="D30">
            <v>7270</v>
          </cell>
          <cell r="E30">
            <v>0</v>
          </cell>
          <cell r="F30"/>
          <cell r="G30" t="str">
            <v>-</v>
          </cell>
          <cell r="H30">
            <v>0</v>
          </cell>
          <cell r="I30"/>
          <cell r="J30" t="str">
            <v>-</v>
          </cell>
          <cell r="K30">
            <v>0</v>
          </cell>
          <cell r="L30"/>
          <cell r="M30">
            <v>0</v>
          </cell>
          <cell r="N30"/>
          <cell r="O30">
            <v>0</v>
          </cell>
          <cell r="P30"/>
          <cell r="Q30">
            <v>0</v>
          </cell>
          <cell r="R30"/>
          <cell r="S30">
            <v>27</v>
          </cell>
        </row>
        <row r="31">
          <cell r="B31" t="str">
            <v>TOTAL OPERATING EXPENSES</v>
          </cell>
          <cell r="C31" t="str">
            <v xml:space="preserve">LINES 14-27 </v>
          </cell>
          <cell r="D31"/>
          <cell r="E31">
            <v>5149</v>
          </cell>
          <cell r="F31"/>
          <cell r="G31">
            <v>2.9194969551954459E-2</v>
          </cell>
          <cell r="H31">
            <v>60536</v>
          </cell>
          <cell r="I31"/>
          <cell r="J31">
            <v>5.4035526198339727E-2</v>
          </cell>
          <cell r="K31">
            <v>0</v>
          </cell>
          <cell r="L31"/>
          <cell r="M31">
            <v>0</v>
          </cell>
          <cell r="N31"/>
          <cell r="O31">
            <v>5149</v>
          </cell>
          <cell r="P31"/>
          <cell r="Q31">
            <v>60536</v>
          </cell>
          <cell r="R31"/>
          <cell r="S31">
            <v>28</v>
          </cell>
        </row>
        <row r="32">
          <cell r="B32" t="str">
            <v>TOTAL SELLING &amp; OPER. EXPS.</v>
          </cell>
          <cell r="C32" t="str">
            <v>LINES 13 &amp; 28</v>
          </cell>
          <cell r="D32"/>
          <cell r="E32">
            <v>129686</v>
          </cell>
          <cell r="F32"/>
          <cell r="G32"/>
          <cell r="H32">
            <v>948935</v>
          </cell>
          <cell r="I32"/>
          <cell r="J32"/>
          <cell r="K32">
            <v>0</v>
          </cell>
          <cell r="L32"/>
          <cell r="M32">
            <v>0</v>
          </cell>
          <cell r="N32"/>
          <cell r="O32">
            <v>129686</v>
          </cell>
          <cell r="P32"/>
          <cell r="Q32">
            <v>948935</v>
          </cell>
          <cell r="R32"/>
          <cell r="S32">
            <v>29</v>
          </cell>
        </row>
        <row r="33">
          <cell r="B33" t="str">
            <v>TTL. SELL. &amp; OPER. EXPS % OF GROSS PROFIT</v>
          </cell>
          <cell r="C33"/>
          <cell r="D33"/>
          <cell r="E33"/>
          <cell r="F33"/>
          <cell r="G33">
            <v>0.73532313484458456</v>
          </cell>
          <cell r="H33"/>
          <cell r="I33"/>
          <cell r="J33">
            <v>0.84703650807819331</v>
          </cell>
          <cell r="K33"/>
          <cell r="L33" t="str">
            <v>-</v>
          </cell>
          <cell r="M33"/>
          <cell r="N33" t="str">
            <v>-</v>
          </cell>
          <cell r="O33"/>
          <cell r="P33">
            <v>0.73532313484458456</v>
          </cell>
          <cell r="Q33"/>
          <cell r="R33">
            <v>0.84703650807819331</v>
          </cell>
          <cell r="S33">
            <v>30</v>
          </cell>
        </row>
        <row r="34">
          <cell r="B34" t="str">
            <v>DEPT'L. PROFIT (LOSS)</v>
          </cell>
          <cell r="C34" t="str">
            <v>LN 2 LESS LN 29</v>
          </cell>
          <cell r="D34"/>
          <cell r="E34">
            <v>46680</v>
          </cell>
          <cell r="F34"/>
          <cell r="G34">
            <v>0.26467686515541544</v>
          </cell>
          <cell r="H34">
            <v>171365</v>
          </cell>
          <cell r="I34"/>
          <cell r="J34">
            <v>0.15296349192180667</v>
          </cell>
          <cell r="K34">
            <v>0</v>
          </cell>
          <cell r="L34"/>
          <cell r="M34">
            <v>0</v>
          </cell>
          <cell r="N34"/>
          <cell r="O34">
            <v>46680</v>
          </cell>
          <cell r="P34"/>
          <cell r="Q34">
            <v>171365</v>
          </cell>
          <cell r="R34"/>
          <cell r="S34">
            <v>31</v>
          </cell>
        </row>
        <row r="35">
          <cell r="B35" t="str">
            <v>Rent &amp; Equivalent</v>
          </cell>
          <cell r="C35"/>
          <cell r="D35">
            <v>7400</v>
          </cell>
          <cell r="E35">
            <v>0</v>
          </cell>
          <cell r="F35"/>
          <cell r="G35" t="str">
            <v>-</v>
          </cell>
          <cell r="H35">
            <v>23900</v>
          </cell>
          <cell r="I35"/>
          <cell r="J35">
            <v>2.1333571364812995E-2</v>
          </cell>
          <cell r="K35">
            <v>0</v>
          </cell>
          <cell r="L35"/>
          <cell r="M35">
            <v>0</v>
          </cell>
          <cell r="N35"/>
          <cell r="O35">
            <v>0</v>
          </cell>
          <cell r="P35"/>
          <cell r="Q35">
            <v>23900</v>
          </cell>
          <cell r="R35"/>
          <cell r="S35">
            <v>32</v>
          </cell>
        </row>
        <row r="36">
          <cell r="B36" t="str">
            <v>Salaries &amp; Wages - Admin. &amp; General</v>
          </cell>
          <cell r="C36"/>
          <cell r="D36">
            <v>7410</v>
          </cell>
          <cell r="E36">
            <v>17528</v>
          </cell>
          <cell r="F36"/>
          <cell r="G36">
            <v>9.9384235056643566E-2</v>
          </cell>
          <cell r="H36">
            <v>96050</v>
          </cell>
          <cell r="I36"/>
          <cell r="J36">
            <v>8.5735963581183613E-2</v>
          </cell>
          <cell r="K36">
            <v>0</v>
          </cell>
          <cell r="L36"/>
          <cell r="M36">
            <v>0</v>
          </cell>
          <cell r="N36"/>
          <cell r="O36">
            <v>17528</v>
          </cell>
          <cell r="P36"/>
          <cell r="Q36">
            <v>96050</v>
          </cell>
          <cell r="R36"/>
          <cell r="S36">
            <v>33</v>
          </cell>
        </row>
        <row r="37">
          <cell r="B37" t="str">
            <v>Owners Salaries</v>
          </cell>
          <cell r="C37"/>
          <cell r="D37">
            <v>7420</v>
          </cell>
          <cell r="E37">
            <v>0</v>
          </cell>
          <cell r="F37"/>
          <cell r="G37" t="str">
            <v>-</v>
          </cell>
          <cell r="H37">
            <v>0</v>
          </cell>
          <cell r="I37"/>
          <cell r="J37" t="str">
            <v>-</v>
          </cell>
          <cell r="K37">
            <v>0</v>
          </cell>
          <cell r="L37"/>
          <cell r="M37">
            <v>0</v>
          </cell>
          <cell r="N37"/>
          <cell r="O37">
            <v>0</v>
          </cell>
          <cell r="P37"/>
          <cell r="Q37">
            <v>0</v>
          </cell>
          <cell r="R37"/>
          <cell r="S37">
            <v>34</v>
          </cell>
        </row>
        <row r="38">
          <cell r="B38" t="str">
            <v>Payroll Taxes</v>
          </cell>
          <cell r="C38"/>
          <cell r="D38">
            <v>7430</v>
          </cell>
          <cell r="E38">
            <v>8734</v>
          </cell>
          <cell r="F38"/>
          <cell r="G38">
            <v>4.9522016715239897E-2</v>
          </cell>
          <cell r="H38">
            <v>51561</v>
          </cell>
          <cell r="I38"/>
          <cell r="J38">
            <v>4.6024279210925646E-2</v>
          </cell>
          <cell r="K38">
            <v>0</v>
          </cell>
          <cell r="L38"/>
          <cell r="M38">
            <v>0</v>
          </cell>
          <cell r="N38"/>
          <cell r="O38">
            <v>8734</v>
          </cell>
          <cell r="P38"/>
          <cell r="Q38">
            <v>51561</v>
          </cell>
          <cell r="R38"/>
          <cell r="S38">
            <v>35</v>
          </cell>
        </row>
        <row r="39">
          <cell r="B39" t="str">
            <v>Employee Benefits</v>
          </cell>
          <cell r="C39"/>
          <cell r="D39">
            <v>7440</v>
          </cell>
          <cell r="E39">
            <v>2210</v>
          </cell>
          <cell r="F39"/>
          <cell r="G39">
            <v>1.2530759897032308E-2</v>
          </cell>
          <cell r="H39">
            <v>19331</v>
          </cell>
          <cell r="I39"/>
          <cell r="J39">
            <v>1.7255199500133891E-2</v>
          </cell>
          <cell r="K39">
            <v>0</v>
          </cell>
          <cell r="L39"/>
          <cell r="M39">
            <v>0</v>
          </cell>
          <cell r="N39"/>
          <cell r="O39">
            <v>2210</v>
          </cell>
          <cell r="P39"/>
          <cell r="Q39">
            <v>19331</v>
          </cell>
          <cell r="R39"/>
          <cell r="S39">
            <v>36</v>
          </cell>
        </row>
        <row r="40">
          <cell r="B40" t="str">
            <v>Pension Fund/Profit Sharing</v>
          </cell>
          <cell r="C40"/>
          <cell r="D40">
            <v>7450</v>
          </cell>
          <cell r="E40">
            <v>0</v>
          </cell>
          <cell r="F40"/>
          <cell r="G40" t="str">
            <v>-</v>
          </cell>
          <cell r="H40">
            <v>0</v>
          </cell>
          <cell r="I40"/>
          <cell r="J40" t="str">
            <v>-</v>
          </cell>
          <cell r="K40">
            <v>0</v>
          </cell>
          <cell r="L40"/>
          <cell r="M40">
            <v>0</v>
          </cell>
          <cell r="N40"/>
          <cell r="O40">
            <v>0</v>
          </cell>
          <cell r="P40"/>
          <cell r="Q40">
            <v>0</v>
          </cell>
          <cell r="R40"/>
          <cell r="S40">
            <v>37</v>
          </cell>
        </row>
        <row r="41">
          <cell r="B41" t="str">
            <v>Advertising - General &amp; Institutional</v>
          </cell>
          <cell r="C41"/>
          <cell r="D41">
            <v>7460</v>
          </cell>
          <cell r="E41">
            <v>0</v>
          </cell>
          <cell r="F41"/>
          <cell r="G41" t="str">
            <v>-</v>
          </cell>
          <cell r="H41">
            <v>0</v>
          </cell>
          <cell r="I41"/>
          <cell r="J41" t="str">
            <v>-</v>
          </cell>
          <cell r="K41">
            <v>0</v>
          </cell>
          <cell r="L41"/>
          <cell r="M41">
            <v>0</v>
          </cell>
          <cell r="N41"/>
          <cell r="O41">
            <v>0</v>
          </cell>
          <cell r="P41"/>
          <cell r="Q41">
            <v>0</v>
          </cell>
          <cell r="R41"/>
          <cell r="S41">
            <v>38</v>
          </cell>
        </row>
        <row r="42">
          <cell r="B42" t="str">
            <v>Stationery &amp; Office Supplies</v>
          </cell>
          <cell r="C42"/>
          <cell r="D42" t="str">
            <v>7470</v>
          </cell>
          <cell r="E42">
            <v>5236</v>
          </cell>
          <cell r="F42"/>
          <cell r="G42">
            <v>2.968826190989193E-2</v>
          </cell>
          <cell r="H42">
            <v>18943</v>
          </cell>
          <cell r="I42"/>
          <cell r="J42">
            <v>1.6908863697223959E-2</v>
          </cell>
          <cell r="K42">
            <v>0</v>
          </cell>
          <cell r="L42"/>
          <cell r="M42">
            <v>0</v>
          </cell>
          <cell r="N42"/>
          <cell r="O42">
            <v>5236</v>
          </cell>
          <cell r="P42"/>
          <cell r="Q42">
            <v>18943</v>
          </cell>
          <cell r="R42"/>
          <cell r="S42">
            <v>39</v>
          </cell>
        </row>
        <row r="43">
          <cell r="B43" t="str">
            <v>Data Processing Services</v>
          </cell>
          <cell r="C43"/>
          <cell r="D43">
            <v>7480</v>
          </cell>
          <cell r="E43">
            <v>8601</v>
          </cell>
          <cell r="F43"/>
          <cell r="G43">
            <v>4.8767903110576868E-2</v>
          </cell>
          <cell r="H43">
            <v>42104</v>
          </cell>
          <cell r="I43"/>
          <cell r="J43">
            <v>3.758279032402035E-2</v>
          </cell>
          <cell r="K43">
            <v>0</v>
          </cell>
          <cell r="L43"/>
          <cell r="M43">
            <v>0</v>
          </cell>
          <cell r="N43"/>
          <cell r="O43">
            <v>8601</v>
          </cell>
          <cell r="P43"/>
          <cell r="Q43">
            <v>42104</v>
          </cell>
          <cell r="R43"/>
          <cell r="S43">
            <v>40</v>
          </cell>
        </row>
        <row r="44">
          <cell r="B44" t="str">
            <v>Outside Services - Gen. &amp; Inst.</v>
          </cell>
          <cell r="C44"/>
          <cell r="D44">
            <v>7490</v>
          </cell>
          <cell r="E44">
            <v>16288</v>
          </cell>
          <cell r="F44"/>
          <cell r="G44">
            <v>9.2353401449258923E-2</v>
          </cell>
          <cell r="H44">
            <v>104211</v>
          </cell>
          <cell r="I44"/>
          <cell r="J44">
            <v>9.3020619476925817E-2</v>
          </cell>
          <cell r="K44">
            <v>0</v>
          </cell>
          <cell r="L44"/>
          <cell r="M44">
            <v>0</v>
          </cell>
          <cell r="N44"/>
          <cell r="O44">
            <v>16288</v>
          </cell>
          <cell r="P44"/>
          <cell r="Q44">
            <v>104211</v>
          </cell>
          <cell r="R44"/>
          <cell r="S44">
            <v>41</v>
          </cell>
        </row>
        <row r="45">
          <cell r="B45" t="str">
            <v>Company Vehicles - Administration</v>
          </cell>
          <cell r="C45"/>
          <cell r="D45">
            <v>7500</v>
          </cell>
          <cell r="E45">
            <v>0</v>
          </cell>
          <cell r="F45"/>
          <cell r="G45" t="str">
            <v>-</v>
          </cell>
          <cell r="H45">
            <v>234</v>
          </cell>
          <cell r="I45"/>
          <cell r="J45">
            <v>2.0887262340444523E-4</v>
          </cell>
          <cell r="K45">
            <v>0</v>
          </cell>
          <cell r="L45"/>
          <cell r="M45">
            <v>0</v>
          </cell>
          <cell r="N45"/>
          <cell r="O45">
            <v>0</v>
          </cell>
          <cell r="P45"/>
          <cell r="Q45">
            <v>234</v>
          </cell>
          <cell r="R45"/>
          <cell r="S45">
            <v>42</v>
          </cell>
        </row>
        <row r="46">
          <cell r="B46" t="str">
            <v>Contributions</v>
          </cell>
          <cell r="C46"/>
          <cell r="D46">
            <v>7510</v>
          </cell>
          <cell r="E46">
            <v>0</v>
          </cell>
          <cell r="F46"/>
          <cell r="G46" t="str">
            <v>-</v>
          </cell>
          <cell r="H46">
            <v>2500</v>
          </cell>
          <cell r="I46"/>
          <cell r="J46">
            <v>2.2315451218423636E-3</v>
          </cell>
          <cell r="K46">
            <v>0</v>
          </cell>
          <cell r="L46"/>
          <cell r="M46">
            <v>0</v>
          </cell>
          <cell r="N46"/>
          <cell r="O46">
            <v>0</v>
          </cell>
          <cell r="P46"/>
          <cell r="Q46">
            <v>2500</v>
          </cell>
          <cell r="R46"/>
          <cell r="S46">
            <v>43</v>
          </cell>
        </row>
        <row r="47">
          <cell r="B47" t="str">
            <v>Dues &amp; Subscriptions</v>
          </cell>
          <cell r="C47"/>
          <cell r="D47">
            <v>7520</v>
          </cell>
          <cell r="E47">
            <v>399</v>
          </cell>
          <cell r="F47"/>
          <cell r="G47">
            <v>2.2623408139890908E-3</v>
          </cell>
          <cell r="H47">
            <v>1907</v>
          </cell>
          <cell r="I47"/>
          <cell r="J47">
            <v>1.702222618941355E-3</v>
          </cell>
          <cell r="K47">
            <v>0</v>
          </cell>
          <cell r="L47"/>
          <cell r="M47">
            <v>0</v>
          </cell>
          <cell r="N47"/>
          <cell r="O47">
            <v>399</v>
          </cell>
          <cell r="P47"/>
          <cell r="Q47">
            <v>1907</v>
          </cell>
          <cell r="R47"/>
          <cell r="S47">
            <v>44</v>
          </cell>
        </row>
        <row r="48">
          <cell r="B48" t="str">
            <v xml:space="preserve">Telephone  </v>
          </cell>
          <cell r="C48"/>
          <cell r="D48" t="str">
            <v>7530</v>
          </cell>
          <cell r="E48">
            <v>1206</v>
          </cell>
          <cell r="F48"/>
          <cell r="G48">
            <v>6.8380526858918388E-3</v>
          </cell>
          <cell r="H48">
            <v>6722</v>
          </cell>
          <cell r="I48"/>
          <cell r="J48">
            <v>6.0001785236097477E-3</v>
          </cell>
          <cell r="K48">
            <v>0</v>
          </cell>
          <cell r="L48"/>
          <cell r="M48">
            <v>0</v>
          </cell>
          <cell r="N48"/>
          <cell r="O48">
            <v>1206</v>
          </cell>
          <cell r="P48"/>
          <cell r="Q48">
            <v>6722</v>
          </cell>
          <cell r="R48"/>
          <cell r="S48">
            <v>45</v>
          </cell>
        </row>
        <row r="49">
          <cell r="B49" t="str">
            <v>Legal &amp; Auditing</v>
          </cell>
          <cell r="C49"/>
          <cell r="D49">
            <v>7540</v>
          </cell>
          <cell r="E49">
            <v>500</v>
          </cell>
          <cell r="F49"/>
          <cell r="G49">
            <v>2.8350135513647754E-3</v>
          </cell>
          <cell r="H49">
            <v>22198</v>
          </cell>
          <cell r="I49"/>
          <cell r="J49">
            <v>1.9814335445862714E-2</v>
          </cell>
          <cell r="K49">
            <v>0</v>
          </cell>
          <cell r="L49"/>
          <cell r="M49">
            <v>0</v>
          </cell>
          <cell r="N49"/>
          <cell r="O49">
            <v>500</v>
          </cell>
          <cell r="P49"/>
          <cell r="Q49">
            <v>22198</v>
          </cell>
          <cell r="R49"/>
          <cell r="S49">
            <v>46</v>
          </cell>
        </row>
        <row r="50">
          <cell r="B50" t="str">
            <v>Postage</v>
          </cell>
          <cell r="C50"/>
          <cell r="D50">
            <v>7550</v>
          </cell>
          <cell r="E50">
            <v>2054</v>
          </cell>
          <cell r="F50"/>
          <cell r="G50">
            <v>1.1646235669006497E-2</v>
          </cell>
          <cell r="H50">
            <v>11689</v>
          </cell>
          <cell r="I50"/>
          <cell r="J50">
            <v>1.0433812371686155E-2</v>
          </cell>
          <cell r="K50">
            <v>0</v>
          </cell>
          <cell r="L50"/>
          <cell r="M50">
            <v>0</v>
          </cell>
          <cell r="N50"/>
          <cell r="O50">
            <v>2054</v>
          </cell>
          <cell r="P50"/>
          <cell r="Q50">
            <v>11689</v>
          </cell>
          <cell r="R50"/>
          <cell r="S50">
            <v>47</v>
          </cell>
        </row>
        <row r="51">
          <cell r="B51" t="str">
            <v>Travel &amp; Entertainment</v>
          </cell>
          <cell r="C51"/>
          <cell r="D51">
            <v>7560</v>
          </cell>
          <cell r="E51">
            <v>1398</v>
          </cell>
          <cell r="F51"/>
          <cell r="G51">
            <v>7.9266978896159121E-3</v>
          </cell>
          <cell r="H51">
            <v>4815</v>
          </cell>
          <cell r="I51"/>
          <cell r="J51">
            <v>4.2979559046683923E-3</v>
          </cell>
          <cell r="K51">
            <v>0</v>
          </cell>
          <cell r="L51"/>
          <cell r="M51">
            <v>0</v>
          </cell>
          <cell r="N51"/>
          <cell r="O51">
            <v>1398</v>
          </cell>
          <cell r="P51"/>
          <cell r="Q51">
            <v>4815</v>
          </cell>
          <cell r="R51"/>
          <cell r="S51">
            <v>48</v>
          </cell>
        </row>
        <row r="52">
          <cell r="B52" t="str">
            <v>Heat, Light, Power &amp; Water</v>
          </cell>
          <cell r="C52"/>
          <cell r="D52">
            <v>7570</v>
          </cell>
          <cell r="E52">
            <v>3759</v>
          </cell>
          <cell r="F52"/>
          <cell r="G52">
            <v>2.1313631879160383E-2</v>
          </cell>
          <cell r="H52">
            <v>27686</v>
          </cell>
          <cell r="I52"/>
          <cell r="J52">
            <v>2.4713023297331074E-2</v>
          </cell>
          <cell r="K52">
            <v>0</v>
          </cell>
          <cell r="L52"/>
          <cell r="M52">
            <v>0</v>
          </cell>
          <cell r="N52"/>
          <cell r="O52">
            <v>3759</v>
          </cell>
          <cell r="P52"/>
          <cell r="Q52">
            <v>27686</v>
          </cell>
          <cell r="R52"/>
          <cell r="S52">
            <v>49</v>
          </cell>
        </row>
        <row r="53">
          <cell r="B53" t="str">
            <v>Furniture, Signs, Fixtures &amp; Equipment - Depreciation, Maintenance, Repair &amp; Rental</v>
          </cell>
          <cell r="C53"/>
          <cell r="D53">
            <v>7580</v>
          </cell>
          <cell r="E53">
            <v>6524</v>
          </cell>
          <cell r="F53"/>
          <cell r="G53">
            <v>3.6991256818207592E-2</v>
          </cell>
          <cell r="H53">
            <v>33204</v>
          </cell>
          <cell r="I53"/>
          <cell r="J53">
            <v>2.9638489690261536E-2</v>
          </cell>
          <cell r="K53">
            <v>0</v>
          </cell>
          <cell r="L53"/>
          <cell r="M53">
            <v>0</v>
          </cell>
          <cell r="N53"/>
          <cell r="O53">
            <v>6524</v>
          </cell>
          <cell r="P53"/>
          <cell r="Q53">
            <v>33204</v>
          </cell>
          <cell r="R53"/>
          <cell r="S53">
            <v>50</v>
          </cell>
        </row>
        <row r="54">
          <cell r="B54" t="str">
            <v>Ins. - Other Than Bldgs. &amp; Improvements</v>
          </cell>
          <cell r="C54"/>
          <cell r="D54">
            <v>7590</v>
          </cell>
          <cell r="E54">
            <v>4438</v>
          </cell>
          <cell r="F54"/>
          <cell r="G54">
            <v>2.5163580281913747E-2</v>
          </cell>
          <cell r="H54">
            <v>17428</v>
          </cell>
          <cell r="I54"/>
          <cell r="J54">
            <v>1.5556547353387485E-2</v>
          </cell>
          <cell r="K54">
            <v>0</v>
          </cell>
          <cell r="L54"/>
          <cell r="M54">
            <v>0</v>
          </cell>
          <cell r="N54"/>
          <cell r="O54">
            <v>4438</v>
          </cell>
          <cell r="P54"/>
          <cell r="Q54">
            <v>17428</v>
          </cell>
          <cell r="R54"/>
          <cell r="S54">
            <v>51</v>
          </cell>
        </row>
        <row r="55">
          <cell r="B55" t="str">
            <v>Taxes - Other Than R.E., Pay. &amp; Inc.</v>
          </cell>
          <cell r="C55"/>
          <cell r="D55">
            <v>7600</v>
          </cell>
          <cell r="E55">
            <v>0</v>
          </cell>
          <cell r="F55"/>
          <cell r="G55" t="str">
            <v>-</v>
          </cell>
          <cell r="H55">
            <v>1432</v>
          </cell>
          <cell r="I55"/>
          <cell r="J55">
            <v>1.2782290457913059E-3</v>
          </cell>
          <cell r="K55">
            <v>0</v>
          </cell>
          <cell r="L55"/>
          <cell r="M55">
            <v>0</v>
          </cell>
          <cell r="N55"/>
          <cell r="O55">
            <v>0</v>
          </cell>
          <cell r="P55"/>
          <cell r="Q55">
            <v>1432</v>
          </cell>
          <cell r="R55"/>
          <cell r="S55">
            <v>52</v>
          </cell>
        </row>
        <row r="56">
          <cell r="B56" t="str">
            <v>Interest - Other Than Floor Plan &amp; R.E Mortgage</v>
          </cell>
          <cell r="C56"/>
          <cell r="D56">
            <v>7610</v>
          </cell>
          <cell r="E56">
            <v>0</v>
          </cell>
          <cell r="F56"/>
          <cell r="G56" t="str">
            <v>-</v>
          </cell>
          <cell r="H56">
            <v>0</v>
          </cell>
          <cell r="I56"/>
          <cell r="J56" t="str">
            <v>-</v>
          </cell>
          <cell r="K56">
            <v>0</v>
          </cell>
          <cell r="L56"/>
          <cell r="M56">
            <v>0</v>
          </cell>
          <cell r="N56"/>
          <cell r="O56">
            <v>0</v>
          </cell>
          <cell r="P56"/>
          <cell r="Q56">
            <v>0</v>
          </cell>
          <cell r="R56"/>
          <cell r="S56">
            <v>53</v>
          </cell>
        </row>
        <row r="57">
          <cell r="B57" t="str">
            <v>TOTAL OVERHEAD EXPENSES</v>
          </cell>
          <cell r="C57" t="str">
            <v xml:space="preserve">LINES 32 - 53 </v>
          </cell>
          <cell r="D57"/>
          <cell r="E57">
            <v>78875</v>
          </cell>
          <cell r="F57"/>
          <cell r="G57">
            <v>0.44722338772779335</v>
          </cell>
          <cell r="H57">
            <v>485915</v>
          </cell>
          <cell r="I57"/>
          <cell r="J57">
            <v>0.43373649915201284</v>
          </cell>
          <cell r="K57">
            <v>0</v>
          </cell>
          <cell r="L57"/>
          <cell r="M57">
            <v>0</v>
          </cell>
          <cell r="N57"/>
          <cell r="O57">
            <v>78875</v>
          </cell>
          <cell r="P57"/>
          <cell r="Q57">
            <v>485915</v>
          </cell>
          <cell r="R57"/>
          <cell r="S57">
            <v>54</v>
          </cell>
        </row>
        <row r="58">
          <cell r="B58" t="str">
            <v>TOTAL EXPENSES</v>
          </cell>
          <cell r="C58" t="str">
            <v>LINES 29 &amp; 54</v>
          </cell>
          <cell r="D58"/>
          <cell r="E58">
            <v>208561</v>
          </cell>
          <cell r="F58"/>
          <cell r="G58">
            <v>1.1825465225723779</v>
          </cell>
          <cell r="H58">
            <v>1434850</v>
          </cell>
          <cell r="I58"/>
          <cell r="J58">
            <v>1.2807730072302062</v>
          </cell>
          <cell r="K58">
            <v>0</v>
          </cell>
          <cell r="L58"/>
          <cell r="M58">
            <v>0</v>
          </cell>
          <cell r="N58"/>
          <cell r="O58">
            <v>208561</v>
          </cell>
          <cell r="P58"/>
          <cell r="Q58">
            <v>1434850</v>
          </cell>
          <cell r="R58"/>
          <cell r="S58">
            <v>55</v>
          </cell>
        </row>
        <row r="59">
          <cell r="B59" t="str">
            <v>OPERATING PROFIT (LOSS)</v>
          </cell>
          <cell r="C59" t="str">
            <v>LN 2 LESS LN 55</v>
          </cell>
          <cell r="D59"/>
          <cell r="E59">
            <v>-32195</v>
          </cell>
          <cell r="F59"/>
          <cell r="G59">
            <v>-0.18254652257237788</v>
          </cell>
          <cell r="H59">
            <v>-314550</v>
          </cell>
          <cell r="I59"/>
          <cell r="J59">
            <v>-0.28077300723020621</v>
          </cell>
          <cell r="K59">
            <v>0</v>
          </cell>
          <cell r="L59"/>
          <cell r="M59">
            <v>0</v>
          </cell>
          <cell r="N59"/>
          <cell r="O59">
            <v>-32195</v>
          </cell>
          <cell r="P59"/>
          <cell r="Q59">
            <v>-314550</v>
          </cell>
          <cell r="R59"/>
          <cell r="S59">
            <v>56</v>
          </cell>
        </row>
        <row r="60">
          <cell r="B60"/>
          <cell r="C60"/>
          <cell r="D60"/>
          <cell r="E60"/>
          <cell r="F60"/>
          <cell r="G60"/>
          <cell r="H60"/>
          <cell r="I60"/>
          <cell r="J60"/>
          <cell r="K60"/>
          <cell r="L60"/>
          <cell r="M60"/>
          <cell r="N60"/>
          <cell r="O60"/>
          <cell r="P60"/>
          <cell r="Q60"/>
          <cell r="R60"/>
          <cell r="S60">
            <v>57</v>
          </cell>
        </row>
        <row r="61">
          <cell r="B61"/>
          <cell r="C61"/>
          <cell r="D61"/>
          <cell r="E61"/>
          <cell r="F61"/>
          <cell r="G61"/>
          <cell r="H61"/>
          <cell r="I61"/>
          <cell r="J61"/>
          <cell r="K61"/>
          <cell r="L61"/>
          <cell r="M61"/>
          <cell r="N61"/>
          <cell r="O61"/>
          <cell r="P61"/>
          <cell r="Q61"/>
          <cell r="R61"/>
          <cell r="S61">
            <v>58</v>
          </cell>
        </row>
        <row r="62">
          <cell r="B62" t="str">
            <v>NET ADDITIONS OR DEDUCTIONS</v>
          </cell>
          <cell r="C62" t="str">
            <v>LINE  78</v>
          </cell>
          <cell r="D62"/>
          <cell r="E62">
            <v>5287</v>
          </cell>
          <cell r="F62"/>
          <cell r="G62">
            <v>2.9977433292131136E-2</v>
          </cell>
          <cell r="H62">
            <v>20313</v>
          </cell>
          <cell r="I62"/>
          <cell r="J62">
            <v>1.8131750423993571E-2</v>
          </cell>
          <cell r="K62" t="str">
            <v xml:space="preserve">   TOTAL PERSONNEL EXPENSES</v>
          </cell>
          <cell r="L62"/>
          <cell r="M62"/>
          <cell r="N62" t="str">
            <v>MONTH</v>
          </cell>
          <cell r="O62"/>
          <cell r="Q62" t="str">
            <v>YEAR TO DATE</v>
          </cell>
          <cell r="R62"/>
          <cell r="S62">
            <v>59</v>
          </cell>
        </row>
        <row r="63">
          <cell r="B63" t="str">
            <v>NET PROFIT (LOSS) BEFORE BONUS</v>
          </cell>
          <cell r="C63" t="str">
            <v>LN 56+/-LN 59</v>
          </cell>
          <cell r="D63"/>
          <cell r="E63">
            <v>-26908</v>
          </cell>
          <cell r="F63"/>
          <cell r="G63">
            <v>-0.15256908928024676</v>
          </cell>
          <cell r="H63">
            <v>-294237</v>
          </cell>
          <cell r="I63"/>
          <cell r="J63">
            <v>-0.26264125680621264</v>
          </cell>
          <cell r="K63"/>
          <cell r="L63"/>
          <cell r="M63"/>
          <cell r="N63">
            <v>137747</v>
          </cell>
          <cell r="O63"/>
          <cell r="Q63">
            <v>854754</v>
          </cell>
          <cell r="R63"/>
          <cell r="S63">
            <v>60</v>
          </cell>
        </row>
        <row r="64">
          <cell r="B64" t="str">
            <v>BONUSES - EMPLOYEES</v>
          </cell>
          <cell r="C64"/>
          <cell r="D64">
            <v>7700</v>
          </cell>
          <cell r="E64">
            <v>0</v>
          </cell>
          <cell r="F64"/>
          <cell r="G64" t="str">
            <v>-</v>
          </cell>
          <cell r="H64">
            <v>0</v>
          </cell>
          <cell r="I64"/>
          <cell r="J64" t="str">
            <v>-</v>
          </cell>
          <cell r="K64" t="str">
            <v>LINES 4,5,6,7,9,10,25,26,27,33,35,36&amp;37</v>
          </cell>
          <cell r="L64"/>
          <cell r="M64"/>
          <cell r="N64" t="str">
            <v xml:space="preserve">% G.P. </v>
          </cell>
          <cell r="O64">
            <v>0.78102922331968749</v>
          </cell>
          <cell r="Q64" t="str">
            <v>% G.P.</v>
          </cell>
          <cell r="R64">
            <v>0.76296884763009909</v>
          </cell>
          <cell r="S64">
            <v>61</v>
          </cell>
        </row>
        <row r="65">
          <cell r="B65" t="str">
            <v>BONUSES - OWNERS</v>
          </cell>
          <cell r="C65"/>
          <cell r="D65">
            <v>7710</v>
          </cell>
          <cell r="E65">
            <v>0</v>
          </cell>
          <cell r="F65"/>
          <cell r="G65" t="str">
            <v>-</v>
          </cell>
          <cell r="H65">
            <v>0</v>
          </cell>
          <cell r="I65"/>
          <cell r="J65" t="str">
            <v>-</v>
          </cell>
          <cell r="K65"/>
          <cell r="L65"/>
          <cell r="M65"/>
          <cell r="N65"/>
          <cell r="O65"/>
          <cell r="P65"/>
          <cell r="Q65"/>
          <cell r="R65"/>
          <cell r="S65">
            <v>62</v>
          </cell>
        </row>
        <row r="66">
          <cell r="B66" t="str">
            <v>NET PROFIT (LOSS) BEFORE TAXES</v>
          </cell>
          <cell r="C66" t="str">
            <v>LN 60 Less LNS 61 &amp; 62</v>
          </cell>
          <cell r="D66"/>
          <cell r="E66">
            <v>-26908</v>
          </cell>
          <cell r="F66"/>
          <cell r="G66">
            <v>-0.15256908928024676</v>
          </cell>
          <cell r="H66">
            <v>-294237</v>
          </cell>
          <cell r="I66"/>
          <cell r="J66">
            <v>-0.26264125680621264</v>
          </cell>
          <cell r="K66"/>
          <cell r="L66"/>
          <cell r="M66"/>
          <cell r="N66"/>
          <cell r="O66"/>
          <cell r="P66"/>
          <cell r="Q66"/>
          <cell r="R66"/>
          <cell r="S66">
            <v>63</v>
          </cell>
        </row>
        <row r="67">
          <cell r="B67" t="str">
            <v>ESTIMATED INCOME TAXES</v>
          </cell>
          <cell r="C67"/>
          <cell r="D67">
            <v>7800</v>
          </cell>
          <cell r="E67">
            <v>0</v>
          </cell>
          <cell r="F67"/>
          <cell r="G67" t="str">
            <v>-</v>
          </cell>
          <cell r="H67">
            <v>0</v>
          </cell>
          <cell r="I67"/>
          <cell r="J67" t="str">
            <v>-</v>
          </cell>
          <cell r="K67"/>
          <cell r="L67"/>
          <cell r="M67"/>
          <cell r="N67"/>
          <cell r="O67"/>
          <cell r="P67"/>
          <cell r="Q67"/>
          <cell r="R67"/>
          <cell r="S67">
            <v>64</v>
          </cell>
        </row>
        <row r="68">
          <cell r="B68" t="str">
            <v>NET PROFIT (LOSS) AFTER TAXES</v>
          </cell>
          <cell r="C68" t="str">
            <v>LN 63 Less LN 64</v>
          </cell>
          <cell r="D68"/>
          <cell r="E68">
            <v>-26908</v>
          </cell>
          <cell r="F68"/>
          <cell r="G68">
            <v>-0.15256908928024676</v>
          </cell>
          <cell r="H68">
            <v>-294237</v>
          </cell>
          <cell r="I68"/>
          <cell r="J68">
            <v>-0.26264125680621264</v>
          </cell>
          <cell r="K68"/>
          <cell r="L68"/>
          <cell r="M68"/>
          <cell r="N68"/>
          <cell r="O68"/>
          <cell r="P68"/>
          <cell r="Q68"/>
          <cell r="R68"/>
          <cell r="S68">
            <v>65</v>
          </cell>
        </row>
        <row r="69">
          <cell r="B69"/>
          <cell r="C69"/>
          <cell r="D69"/>
          <cell r="E69"/>
          <cell r="F69"/>
          <cell r="G69"/>
          <cell r="H69"/>
          <cell r="I69"/>
          <cell r="J69"/>
          <cell r="K69"/>
          <cell r="L69"/>
          <cell r="M69"/>
          <cell r="N69"/>
          <cell r="O69"/>
          <cell r="P69"/>
          <cell r="Q69"/>
          <cell r="R69"/>
          <cell r="S69">
            <v>66</v>
          </cell>
        </row>
        <row r="70">
          <cell r="B70"/>
          <cell r="C70"/>
          <cell r="D70"/>
          <cell r="E70"/>
          <cell r="F70"/>
          <cell r="G70"/>
          <cell r="H70"/>
          <cell r="I70"/>
          <cell r="J70"/>
          <cell r="K70"/>
          <cell r="L70"/>
          <cell r="M70"/>
          <cell r="N70"/>
          <cell r="O70"/>
          <cell r="P70"/>
          <cell r="Q70"/>
          <cell r="R70"/>
          <cell r="S70">
            <v>67</v>
          </cell>
        </row>
        <row r="71">
          <cell r="B71"/>
          <cell r="C71"/>
          <cell r="D71"/>
          <cell r="E71"/>
          <cell r="F71"/>
          <cell r="G71"/>
          <cell r="H71"/>
          <cell r="I71"/>
          <cell r="J71"/>
          <cell r="K71"/>
          <cell r="L71"/>
          <cell r="M71"/>
          <cell r="N71"/>
          <cell r="O71"/>
          <cell r="P71"/>
          <cell r="Q71"/>
          <cell r="R71"/>
          <cell r="S71">
            <v>68</v>
          </cell>
        </row>
        <row r="72">
          <cell r="B72" t="str">
            <v>ADDITIONS TO INCOME</v>
          </cell>
          <cell r="C72"/>
          <cell r="D72"/>
          <cell r="E72"/>
          <cell r="F72"/>
          <cell r="G72"/>
          <cell r="H72"/>
          <cell r="I72"/>
          <cell r="J72" t="str">
            <v>DEDUCTIONS FROM INCOME</v>
          </cell>
          <cell r="K72"/>
          <cell r="L72"/>
          <cell r="M72"/>
          <cell r="N72"/>
          <cell r="O72"/>
          <cell r="P72"/>
          <cell r="Q72"/>
          <cell r="R72"/>
          <cell r="S72">
            <v>69</v>
          </cell>
        </row>
        <row r="73">
          <cell r="B73" t="str">
            <v>ACCOUNT NAME</v>
          </cell>
          <cell r="C73"/>
          <cell r="D73" t="str">
            <v>ACCT. NO.</v>
          </cell>
          <cell r="E73" t="str">
            <v>MONTH</v>
          </cell>
          <cell r="F73"/>
          <cell r="G73" t="str">
            <v>YEAR TO DATE</v>
          </cell>
          <cell r="H73"/>
          <cell r="I73"/>
          <cell r="J73" t="str">
            <v>ACCOUNT NAME</v>
          </cell>
          <cell r="K73"/>
          <cell r="L73"/>
          <cell r="M73" t="str">
            <v>ACCT. NO.</v>
          </cell>
          <cell r="N73" t="str">
            <v>MONTH</v>
          </cell>
          <cell r="O73"/>
          <cell r="P73" t="str">
            <v>YEAR TO DATE</v>
          </cell>
          <cell r="Q73"/>
          <cell r="R73"/>
          <cell r="S73">
            <v>70</v>
          </cell>
        </row>
        <row r="74">
          <cell r="B74" t="str">
            <v>MCBP</v>
          </cell>
          <cell r="C74"/>
          <cell r="D74">
            <v>8080</v>
          </cell>
          <cell r="E74">
            <v>0</v>
          </cell>
          <cell r="F74"/>
          <cell r="G74">
            <v>0</v>
          </cell>
          <cell r="H74"/>
          <cell r="I74"/>
          <cell r="J74" t="str">
            <v>MCBP Chargeback</v>
          </cell>
          <cell r="K74"/>
          <cell r="L74"/>
          <cell r="M74">
            <v>8180</v>
          </cell>
          <cell r="N74">
            <v>0</v>
          </cell>
          <cell r="O74"/>
          <cell r="P74">
            <v>0</v>
          </cell>
          <cell r="Q74"/>
          <cell r="R74"/>
          <cell r="S74">
            <v>71</v>
          </cell>
        </row>
        <row r="75">
          <cell r="B75" t="str">
            <v>Cash Discounts/Interest Earned</v>
          </cell>
          <cell r="C75"/>
          <cell r="D75" t="str">
            <v>8000/8010</v>
          </cell>
          <cell r="E75">
            <v>0</v>
          </cell>
          <cell r="F75"/>
          <cell r="G75">
            <v>0</v>
          </cell>
          <cell r="H75"/>
          <cell r="I75"/>
          <cell r="J75" t="str">
            <v>Cash Discounts Allowed</v>
          </cell>
          <cell r="K75"/>
          <cell r="L75"/>
          <cell r="M75">
            <v>8100</v>
          </cell>
          <cell r="N75">
            <v>0</v>
          </cell>
          <cell r="O75"/>
          <cell r="P75">
            <v>0</v>
          </cell>
          <cell r="Q75"/>
          <cell r="R75"/>
          <cell r="S75">
            <v>72</v>
          </cell>
        </row>
        <row r="76">
          <cell r="B76" t="str">
            <v>Bad Debts Recovered</v>
          </cell>
          <cell r="C76"/>
          <cell r="D76">
            <v>8020</v>
          </cell>
          <cell r="E76">
            <v>0</v>
          </cell>
          <cell r="F76"/>
          <cell r="G76">
            <v>0</v>
          </cell>
          <cell r="H76"/>
          <cell r="I76"/>
          <cell r="J76" t="str">
            <v>Adj. For Doubtful Accounts</v>
          </cell>
          <cell r="K76"/>
          <cell r="L76"/>
          <cell r="M76">
            <v>8140</v>
          </cell>
          <cell r="N76">
            <v>332</v>
          </cell>
          <cell r="O76"/>
          <cell r="P76">
            <v>988</v>
          </cell>
          <cell r="Q76"/>
          <cell r="R76"/>
          <cell r="S76">
            <v>73</v>
          </cell>
        </row>
        <row r="77">
          <cell r="B77" t="str">
            <v>Other Income</v>
          </cell>
          <cell r="C77"/>
          <cell r="D77">
            <v>8040</v>
          </cell>
          <cell r="E77">
            <v>5619</v>
          </cell>
          <cell r="F77"/>
          <cell r="G77">
            <v>21301</v>
          </cell>
          <cell r="H77"/>
          <cell r="I77"/>
          <cell r="J77" t="str">
            <v>Other Deductions</v>
          </cell>
          <cell r="K77"/>
          <cell r="L77"/>
          <cell r="M77">
            <v>8150</v>
          </cell>
          <cell r="N77">
            <v>0</v>
          </cell>
          <cell r="O77"/>
          <cell r="P77">
            <v>0</v>
          </cell>
          <cell r="Q77"/>
          <cell r="R77"/>
          <cell r="S77">
            <v>74</v>
          </cell>
        </row>
        <row r="78">
          <cell r="B78" t="str">
            <v>Lease Income</v>
          </cell>
          <cell r="C78"/>
          <cell r="D78">
            <v>8050</v>
          </cell>
          <cell r="E78">
            <v>0</v>
          </cell>
          <cell r="F78"/>
          <cell r="G78">
            <v>0</v>
          </cell>
          <cell r="H78"/>
          <cell r="I78"/>
          <cell r="J78" t="str">
            <v>Lease Expenses</v>
          </cell>
          <cell r="K78"/>
          <cell r="L78"/>
          <cell r="M78">
            <v>8155</v>
          </cell>
          <cell r="N78">
            <v>0</v>
          </cell>
          <cell r="O78"/>
          <cell r="P78">
            <v>0</v>
          </cell>
          <cell r="Q78"/>
          <cell r="R78"/>
          <cell r="S78">
            <v>75</v>
          </cell>
        </row>
        <row r="79">
          <cell r="B79" t="str">
            <v>Rental Income - TRAC only</v>
          </cell>
          <cell r="C79"/>
          <cell r="D79">
            <v>8055</v>
          </cell>
          <cell r="E79">
            <v>0</v>
          </cell>
          <cell r="F79"/>
          <cell r="G79">
            <v>0</v>
          </cell>
          <cell r="H79"/>
          <cell r="I79"/>
          <cell r="J79" t="str">
            <v>Rental Expenses</v>
          </cell>
          <cell r="K79"/>
          <cell r="L79"/>
          <cell r="M79">
            <v>8160</v>
          </cell>
          <cell r="N79">
            <v>0</v>
          </cell>
          <cell r="O79"/>
          <cell r="P79">
            <v>0</v>
          </cell>
          <cell r="Q79"/>
          <cell r="R79"/>
          <cell r="S79">
            <v>76</v>
          </cell>
        </row>
        <row r="80">
          <cell r="B80" t="str">
            <v>Rental Income - Other</v>
          </cell>
          <cell r="C80"/>
          <cell r="D80">
            <v>8060</v>
          </cell>
          <cell r="E80">
            <v>0</v>
          </cell>
          <cell r="F80"/>
          <cell r="G80">
            <v>0</v>
          </cell>
          <cell r="H80"/>
          <cell r="I80"/>
          <cell r="J80" t="str">
            <v>Amort. Non-Franchised Assets</v>
          </cell>
          <cell r="K80"/>
          <cell r="L80"/>
          <cell r="M80">
            <v>8170</v>
          </cell>
          <cell r="N80">
            <v>0</v>
          </cell>
          <cell r="O80"/>
          <cell r="P80">
            <v>0</v>
          </cell>
          <cell r="Q80"/>
          <cell r="R80"/>
          <cell r="S80">
            <v>77</v>
          </cell>
        </row>
        <row r="81">
          <cell r="B81" t="str">
            <v>TOTAL ADDITIONS                                             LINES 72-77</v>
          </cell>
          <cell r="C81"/>
          <cell r="D81"/>
          <cell r="E81">
            <v>5619</v>
          </cell>
          <cell r="F81"/>
          <cell r="G81">
            <v>21301</v>
          </cell>
          <cell r="H81"/>
          <cell r="I81"/>
          <cell r="J81" t="str">
            <v>TOTAL DEDUCTIONS                LINES 72-77</v>
          </cell>
          <cell r="K81"/>
          <cell r="L81"/>
          <cell r="M81"/>
          <cell r="N81">
            <v>332</v>
          </cell>
          <cell r="O81"/>
          <cell r="P81">
            <v>988</v>
          </cell>
          <cell r="Q81"/>
          <cell r="R81"/>
          <cell r="S81">
            <v>78</v>
          </cell>
        </row>
        <row r="82">
          <cell r="B82"/>
          <cell r="C82"/>
          <cell r="D82"/>
          <cell r="E82"/>
          <cell r="F82"/>
          <cell r="G82"/>
          <cell r="H82"/>
          <cell r="I82"/>
          <cell r="J82"/>
          <cell r="K82"/>
          <cell r="L82"/>
          <cell r="M82"/>
          <cell r="N82"/>
          <cell r="O82"/>
          <cell r="P82"/>
          <cell r="Q82" t="str">
            <v>Version</v>
          </cell>
          <cell r="R82" t="str">
            <v>1.3-9</v>
          </cell>
          <cell r="S82"/>
        </row>
        <row r="83">
          <cell r="B83"/>
          <cell r="C83"/>
          <cell r="D83"/>
          <cell r="E83"/>
          <cell r="F83"/>
          <cell r="G83"/>
          <cell r="H83"/>
          <cell r="I83"/>
          <cell r="J83"/>
          <cell r="K83"/>
          <cell r="L83"/>
          <cell r="M83"/>
          <cell r="N83"/>
          <cell r="O83"/>
          <cell r="P83"/>
          <cell r="Q83"/>
          <cell r="R83"/>
          <cell r="S83"/>
        </row>
        <row r="84">
          <cell r="B84"/>
          <cell r="C84"/>
          <cell r="D84"/>
          <cell r="E84"/>
          <cell r="F84"/>
          <cell r="G84"/>
          <cell r="H84"/>
          <cell r="I84"/>
          <cell r="J84"/>
          <cell r="K84"/>
          <cell r="L84"/>
          <cell r="M84"/>
          <cell r="N84"/>
          <cell r="O84"/>
          <cell r="P84"/>
          <cell r="Q84"/>
          <cell r="R84"/>
          <cell r="S84"/>
        </row>
        <row r="85">
          <cell r="B85"/>
          <cell r="C85"/>
          <cell r="D85"/>
          <cell r="E85"/>
          <cell r="F85"/>
          <cell r="G85"/>
          <cell r="H85"/>
          <cell r="I85"/>
          <cell r="J85"/>
          <cell r="K85"/>
          <cell r="L85"/>
          <cell r="M85"/>
          <cell r="N85"/>
          <cell r="O85"/>
          <cell r="P85"/>
          <cell r="Q85"/>
          <cell r="R85"/>
        </row>
        <row r="86">
          <cell r="B86"/>
          <cell r="C86"/>
          <cell r="D86"/>
          <cell r="E86"/>
          <cell r="F86"/>
          <cell r="G86"/>
          <cell r="H86"/>
          <cell r="I86"/>
          <cell r="J86"/>
          <cell r="K86"/>
          <cell r="L86"/>
          <cell r="M86"/>
          <cell r="N86"/>
          <cell r="O86"/>
          <cell r="P86"/>
          <cell r="Q86"/>
          <cell r="R86"/>
        </row>
        <row r="87">
          <cell r="B87"/>
          <cell r="C87"/>
          <cell r="D87"/>
          <cell r="E87"/>
          <cell r="F87"/>
          <cell r="G87"/>
          <cell r="H87"/>
          <cell r="I87"/>
          <cell r="J87"/>
          <cell r="K87"/>
          <cell r="L87"/>
          <cell r="M87"/>
          <cell r="N87"/>
          <cell r="O87"/>
          <cell r="P87"/>
          <cell r="Q87"/>
          <cell r="R87"/>
        </row>
        <row r="88">
          <cell r="B88"/>
          <cell r="C88"/>
          <cell r="D88"/>
          <cell r="E88"/>
          <cell r="F88"/>
          <cell r="G88"/>
          <cell r="H88"/>
          <cell r="I88"/>
          <cell r="J88"/>
          <cell r="K88"/>
          <cell r="L88"/>
          <cell r="M88"/>
          <cell r="N88"/>
          <cell r="O88"/>
          <cell r="P88"/>
          <cell r="Q88"/>
          <cell r="R88"/>
        </row>
        <row r="89">
          <cell r="B89"/>
          <cell r="C89"/>
          <cell r="D89"/>
          <cell r="E89"/>
          <cell r="F89"/>
          <cell r="G89"/>
          <cell r="H89"/>
          <cell r="I89"/>
          <cell r="J89"/>
          <cell r="K89"/>
          <cell r="L89"/>
          <cell r="M89"/>
          <cell r="N89"/>
          <cell r="O89"/>
          <cell r="P89"/>
          <cell r="Q89"/>
          <cell r="R89"/>
        </row>
      </sheetData>
      <sheetData sheetId="2" refreshError="1">
        <row r="1">
          <cell r="B1"/>
          <cell r="C1"/>
          <cell r="D1"/>
          <cell r="E1"/>
          <cell r="F1"/>
          <cell r="G1">
            <v>2016</v>
          </cell>
          <cell r="H1"/>
          <cell r="I1" t="str">
            <v>TOTAL INCOME AND EXPENSE</v>
          </cell>
          <cell r="J1"/>
          <cell r="K1"/>
          <cell r="L1"/>
          <cell r="M1"/>
          <cell r="N1"/>
          <cell r="O1"/>
          <cell r="P1"/>
          <cell r="Q1"/>
          <cell r="R1" t="str">
            <v>Page 3</v>
          </cell>
          <cell r="S1"/>
        </row>
        <row r="2">
          <cell r="B2" t="str">
            <v>NAME OF ACCOUNT</v>
          </cell>
          <cell r="C2"/>
          <cell r="D2"/>
          <cell r="E2"/>
          <cell r="F2" t="str">
            <v>ACCT. NO.</v>
          </cell>
          <cell r="G2" t="str">
            <v>(3) SERVICE DEPARTMENT</v>
          </cell>
          <cell r="H2"/>
          <cell r="I2"/>
          <cell r="J2"/>
          <cell r="K2" t="str">
            <v>(4) BODY SHOP DEPARTMENT</v>
          </cell>
          <cell r="L2"/>
          <cell r="M2"/>
          <cell r="N2"/>
          <cell r="O2" t="str">
            <v>(5) PARTS AND ACCESS. DEPARTMENT</v>
          </cell>
          <cell r="P2"/>
          <cell r="Q2"/>
          <cell r="R2"/>
          <cell r="S2" t="str">
            <v>Line No.</v>
          </cell>
        </row>
        <row r="3">
          <cell r="B3"/>
          <cell r="C3"/>
          <cell r="D3"/>
          <cell r="E3"/>
          <cell r="F3"/>
          <cell r="G3" t="str">
            <v>MONTH</v>
          </cell>
          <cell r="H3"/>
          <cell r="I3" t="str">
            <v>YEAR TO DATE</v>
          </cell>
          <cell r="J3"/>
          <cell r="K3" t="str">
            <v>MONTH</v>
          </cell>
          <cell r="L3"/>
          <cell r="M3" t="str">
            <v>YEAR TO DATE</v>
          </cell>
          <cell r="N3"/>
          <cell r="O3" t="str">
            <v>MONTH</v>
          </cell>
          <cell r="P3"/>
          <cell r="Q3" t="str">
            <v>YEAR TO DATE</v>
          </cell>
          <cell r="R3"/>
          <cell r="S3"/>
        </row>
        <row r="4">
          <cell r="B4" t="str">
            <v>TOTAL SALES</v>
          </cell>
          <cell r="C4"/>
          <cell r="D4"/>
          <cell r="E4"/>
          <cell r="F4"/>
          <cell r="G4">
            <v>0</v>
          </cell>
          <cell r="H4"/>
          <cell r="I4">
            <v>0</v>
          </cell>
          <cell r="J4"/>
          <cell r="K4">
            <v>0</v>
          </cell>
          <cell r="L4"/>
          <cell r="M4">
            <v>0</v>
          </cell>
          <cell r="N4"/>
          <cell r="O4">
            <v>0</v>
          </cell>
          <cell r="P4"/>
          <cell r="Q4">
            <v>0</v>
          </cell>
          <cell r="R4"/>
          <cell r="S4">
            <v>1</v>
          </cell>
        </row>
        <row r="5">
          <cell r="B5" t="str">
            <v>TOTAL GROSS PROFIT</v>
          </cell>
          <cell r="C5"/>
          <cell r="D5"/>
          <cell r="E5"/>
          <cell r="F5"/>
          <cell r="G5">
            <v>0</v>
          </cell>
          <cell r="H5"/>
          <cell r="I5">
            <v>0</v>
          </cell>
          <cell r="J5"/>
          <cell r="K5">
            <v>0</v>
          </cell>
          <cell r="L5"/>
          <cell r="M5">
            <v>0</v>
          </cell>
          <cell r="N5"/>
          <cell r="O5">
            <v>0</v>
          </cell>
          <cell r="P5"/>
          <cell r="Q5">
            <v>0</v>
          </cell>
          <cell r="R5"/>
          <cell r="S5">
            <v>2</v>
          </cell>
        </row>
        <row r="6">
          <cell r="B6" t="str">
            <v>DEPARTMENTAL EXPENSES</v>
          </cell>
          <cell r="C6"/>
          <cell r="D6"/>
          <cell r="E6"/>
          <cell r="F6"/>
          <cell r="G6"/>
          <cell r="H6"/>
          <cell r="I6"/>
          <cell r="J6"/>
          <cell r="K6"/>
          <cell r="L6"/>
          <cell r="M6"/>
          <cell r="N6"/>
          <cell r="O6"/>
          <cell r="P6"/>
          <cell r="Q6"/>
          <cell r="R6"/>
          <cell r="S6">
            <v>3</v>
          </cell>
        </row>
        <row r="7">
          <cell r="B7" t="str">
            <v xml:space="preserve">Sales Compensation                                  </v>
          </cell>
          <cell r="C7"/>
          <cell r="D7"/>
          <cell r="E7"/>
          <cell r="F7">
            <v>7000</v>
          </cell>
          <cell r="G7">
            <v>0</v>
          </cell>
          <cell r="H7"/>
          <cell r="I7">
            <v>0</v>
          </cell>
          <cell r="J7"/>
          <cell r="K7">
            <v>0</v>
          </cell>
          <cell r="L7"/>
          <cell r="M7">
            <v>0</v>
          </cell>
          <cell r="N7"/>
          <cell r="O7">
            <v>0</v>
          </cell>
          <cell r="P7"/>
          <cell r="Q7">
            <v>0</v>
          </cell>
          <cell r="R7"/>
          <cell r="S7">
            <v>4</v>
          </cell>
        </row>
        <row r="8">
          <cell r="B8" t="str">
            <v xml:space="preserve">Sales Compensation - Scion only                                  </v>
          </cell>
          <cell r="C8"/>
          <cell r="D8"/>
          <cell r="E8"/>
          <cell r="F8">
            <v>7006</v>
          </cell>
          <cell r="G8"/>
          <cell r="H8"/>
          <cell r="I8"/>
          <cell r="J8"/>
          <cell r="K8"/>
          <cell r="L8"/>
          <cell r="M8"/>
          <cell r="N8"/>
          <cell r="O8"/>
          <cell r="P8"/>
          <cell r="Q8"/>
          <cell r="R8"/>
          <cell r="S8">
            <v>5</v>
          </cell>
        </row>
        <row r="9">
          <cell r="B9" t="str">
            <v xml:space="preserve">Supervision Compensation                     </v>
          </cell>
          <cell r="C9"/>
          <cell r="D9"/>
          <cell r="E9"/>
          <cell r="F9">
            <v>7010</v>
          </cell>
          <cell r="G9">
            <v>0</v>
          </cell>
          <cell r="H9"/>
          <cell r="I9">
            <v>0</v>
          </cell>
          <cell r="J9"/>
          <cell r="K9">
            <v>0</v>
          </cell>
          <cell r="L9"/>
          <cell r="M9">
            <v>0</v>
          </cell>
          <cell r="N9"/>
          <cell r="O9">
            <v>0</v>
          </cell>
          <cell r="P9"/>
          <cell r="Q9">
            <v>0</v>
          </cell>
          <cell r="R9"/>
          <cell r="S9">
            <v>6</v>
          </cell>
        </row>
        <row r="10">
          <cell r="B10" t="str">
            <v xml:space="preserve">Supervision Compensation - Scion only                     </v>
          </cell>
          <cell r="C10"/>
          <cell r="D10"/>
          <cell r="E10"/>
          <cell r="F10">
            <v>7016</v>
          </cell>
          <cell r="G10"/>
          <cell r="H10"/>
          <cell r="I10"/>
          <cell r="J10"/>
          <cell r="K10"/>
          <cell r="L10"/>
          <cell r="M10"/>
          <cell r="N10"/>
          <cell r="O10"/>
          <cell r="P10"/>
          <cell r="Q10"/>
          <cell r="R10"/>
          <cell r="S10">
            <v>7</v>
          </cell>
        </row>
        <row r="11">
          <cell r="B11" t="str">
            <v>Delivery Expenses</v>
          </cell>
          <cell r="C11"/>
          <cell r="D11"/>
          <cell r="E11"/>
          <cell r="F11">
            <v>7020</v>
          </cell>
          <cell r="G11"/>
          <cell r="H11"/>
          <cell r="I11"/>
          <cell r="J11"/>
          <cell r="K11"/>
          <cell r="L11"/>
          <cell r="M11"/>
          <cell r="N11"/>
          <cell r="O11"/>
          <cell r="P11"/>
          <cell r="Q11"/>
          <cell r="R11"/>
          <cell r="S11">
            <v>8</v>
          </cell>
        </row>
        <row r="12">
          <cell r="B12" t="str">
            <v>Finance, Ins., &amp; Svc. Ctr. Commissions</v>
          </cell>
          <cell r="C12"/>
          <cell r="D12"/>
          <cell r="E12"/>
          <cell r="F12">
            <v>7030</v>
          </cell>
          <cell r="G12"/>
          <cell r="H12"/>
          <cell r="I12"/>
          <cell r="J12"/>
          <cell r="K12"/>
          <cell r="L12"/>
          <cell r="M12"/>
          <cell r="N12"/>
          <cell r="O12"/>
          <cell r="P12"/>
          <cell r="Q12"/>
          <cell r="R12"/>
          <cell r="S12">
            <v>9</v>
          </cell>
        </row>
        <row r="13">
          <cell r="B13" t="str">
            <v>Finc, Ins., &amp; Svc.Ctr.Com. - Scion only</v>
          </cell>
          <cell r="C13"/>
          <cell r="D13"/>
          <cell r="E13"/>
          <cell r="F13">
            <v>7036</v>
          </cell>
          <cell r="G13"/>
          <cell r="H13"/>
          <cell r="I13"/>
          <cell r="J13"/>
          <cell r="K13"/>
          <cell r="L13"/>
          <cell r="M13"/>
          <cell r="N13"/>
          <cell r="O13"/>
          <cell r="P13"/>
          <cell r="Q13"/>
          <cell r="R13"/>
          <cell r="S13">
            <v>10</v>
          </cell>
        </row>
        <row r="14">
          <cell r="B14" t="str">
            <v>Advertising - Departmental</v>
          </cell>
          <cell r="C14"/>
          <cell r="D14"/>
          <cell r="E14"/>
          <cell r="F14">
            <v>7040</v>
          </cell>
          <cell r="G14">
            <v>0</v>
          </cell>
          <cell r="H14"/>
          <cell r="I14">
            <v>0</v>
          </cell>
          <cell r="J14"/>
          <cell r="K14">
            <v>0</v>
          </cell>
          <cell r="L14"/>
          <cell r="M14">
            <v>0</v>
          </cell>
          <cell r="N14"/>
          <cell r="O14">
            <v>0</v>
          </cell>
          <cell r="P14"/>
          <cell r="Q14">
            <v>0</v>
          </cell>
          <cell r="R14"/>
          <cell r="S14">
            <v>11</v>
          </cell>
        </row>
        <row r="15">
          <cell r="B15" t="str">
            <v>Interest - Floor Plan</v>
          </cell>
          <cell r="C15"/>
          <cell r="D15"/>
          <cell r="E15"/>
          <cell r="F15">
            <v>7050</v>
          </cell>
          <cell r="G15"/>
          <cell r="H15"/>
          <cell r="I15"/>
          <cell r="J15"/>
          <cell r="K15"/>
          <cell r="L15"/>
          <cell r="M15"/>
          <cell r="N15"/>
          <cell r="O15"/>
          <cell r="P15"/>
          <cell r="Q15"/>
          <cell r="R15"/>
          <cell r="S15">
            <v>12</v>
          </cell>
        </row>
        <row r="16">
          <cell r="B16" t="str">
            <v xml:space="preserve">TOTAL SELLING EXPENSES  </v>
          </cell>
          <cell r="C16"/>
          <cell r="D16"/>
          <cell r="E16" t="str">
            <v>LINES 4 TO 12</v>
          </cell>
          <cell r="F16"/>
          <cell r="G16">
            <v>0</v>
          </cell>
          <cell r="H16"/>
          <cell r="I16">
            <v>0</v>
          </cell>
          <cell r="J16"/>
          <cell r="K16">
            <v>0</v>
          </cell>
          <cell r="L16"/>
          <cell r="M16">
            <v>0</v>
          </cell>
          <cell r="N16"/>
          <cell r="O16">
            <v>0</v>
          </cell>
          <cell r="P16"/>
          <cell r="Q16">
            <v>0</v>
          </cell>
          <cell r="R16"/>
          <cell r="S16">
            <v>13</v>
          </cell>
        </row>
        <row r="17">
          <cell r="B17" t="str">
            <v>Policy &amp; Claims Adjustments</v>
          </cell>
          <cell r="C17"/>
          <cell r="D17"/>
          <cell r="F17" t="str">
            <v>7110/7120</v>
          </cell>
          <cell r="G17">
            <v>0</v>
          </cell>
          <cell r="H17"/>
          <cell r="I17">
            <v>0</v>
          </cell>
          <cell r="J17"/>
          <cell r="K17">
            <v>0</v>
          </cell>
          <cell r="L17"/>
          <cell r="M17">
            <v>0</v>
          </cell>
          <cell r="N17"/>
          <cell r="O17">
            <v>0</v>
          </cell>
          <cell r="P17"/>
          <cell r="Q17">
            <v>0</v>
          </cell>
          <cell r="R17"/>
          <cell r="S17">
            <v>14</v>
          </cell>
        </row>
        <row r="18">
          <cell r="B18" t="str">
            <v>Demos. &amp; Company Vehicles - Dept'l.</v>
          </cell>
          <cell r="C18"/>
          <cell r="D18"/>
          <cell r="E18"/>
          <cell r="F18">
            <v>7140</v>
          </cell>
          <cell r="G18">
            <v>0</v>
          </cell>
          <cell r="H18"/>
          <cell r="I18">
            <v>0</v>
          </cell>
          <cell r="J18"/>
          <cell r="K18">
            <v>0</v>
          </cell>
          <cell r="L18"/>
          <cell r="M18">
            <v>0</v>
          </cell>
          <cell r="N18"/>
          <cell r="O18">
            <v>0</v>
          </cell>
          <cell r="P18"/>
          <cell r="Q18">
            <v>0</v>
          </cell>
          <cell r="R18"/>
          <cell r="S18">
            <v>15</v>
          </cell>
        </row>
        <row r="19">
          <cell r="B19" t="str">
            <v>Inventory Maintenance</v>
          </cell>
          <cell r="C19"/>
          <cell r="D19"/>
          <cell r="E19"/>
          <cell r="F19">
            <v>7150</v>
          </cell>
          <cell r="G19"/>
          <cell r="H19"/>
          <cell r="I19"/>
          <cell r="J19"/>
          <cell r="K19"/>
          <cell r="L19"/>
          <cell r="M19"/>
          <cell r="N19"/>
          <cell r="O19">
            <v>0</v>
          </cell>
          <cell r="P19"/>
          <cell r="Q19">
            <v>0</v>
          </cell>
          <cell r="R19"/>
          <cell r="S19">
            <v>16</v>
          </cell>
        </row>
        <row r="20">
          <cell r="B20" t="str">
            <v>Personnel Training</v>
          </cell>
          <cell r="C20"/>
          <cell r="D20"/>
          <cell r="E20"/>
          <cell r="F20">
            <v>7160</v>
          </cell>
          <cell r="G20">
            <v>0</v>
          </cell>
          <cell r="H20"/>
          <cell r="I20">
            <v>0</v>
          </cell>
          <cell r="J20"/>
          <cell r="K20">
            <v>0</v>
          </cell>
          <cell r="L20"/>
          <cell r="M20">
            <v>0</v>
          </cell>
          <cell r="N20"/>
          <cell r="O20">
            <v>0</v>
          </cell>
          <cell r="P20"/>
          <cell r="Q20">
            <v>0</v>
          </cell>
          <cell r="R20"/>
          <cell r="S20">
            <v>17</v>
          </cell>
        </row>
        <row r="21">
          <cell r="B21" t="str">
            <v>Outside Services - Departmental</v>
          </cell>
          <cell r="C21"/>
          <cell r="D21"/>
          <cell r="E21"/>
          <cell r="F21">
            <v>7170</v>
          </cell>
          <cell r="G21">
            <v>0</v>
          </cell>
          <cell r="H21"/>
          <cell r="I21">
            <v>0</v>
          </cell>
          <cell r="J21"/>
          <cell r="K21">
            <v>0</v>
          </cell>
          <cell r="L21"/>
          <cell r="M21">
            <v>0</v>
          </cell>
          <cell r="N21"/>
          <cell r="O21">
            <v>0</v>
          </cell>
          <cell r="P21"/>
          <cell r="Q21">
            <v>0</v>
          </cell>
          <cell r="R21"/>
          <cell r="S21">
            <v>18</v>
          </cell>
        </row>
        <row r="22">
          <cell r="B22" t="str">
            <v>Freight</v>
          </cell>
          <cell r="C22"/>
          <cell r="D22"/>
          <cell r="E22"/>
          <cell r="F22">
            <v>7180</v>
          </cell>
          <cell r="G22"/>
          <cell r="H22"/>
          <cell r="I22"/>
          <cell r="J22"/>
          <cell r="K22"/>
          <cell r="L22"/>
          <cell r="M22"/>
          <cell r="N22"/>
          <cell r="O22">
            <v>0</v>
          </cell>
          <cell r="P22"/>
          <cell r="Q22">
            <v>0</v>
          </cell>
          <cell r="R22"/>
          <cell r="S22">
            <v>19</v>
          </cell>
        </row>
        <row r="23">
          <cell r="B23" t="str">
            <v>Supplies &amp; Small Tools</v>
          </cell>
          <cell r="C23"/>
          <cell r="D23"/>
          <cell r="E23"/>
          <cell r="F23">
            <v>7190</v>
          </cell>
          <cell r="G23">
            <v>0</v>
          </cell>
          <cell r="H23"/>
          <cell r="I23">
            <v>0</v>
          </cell>
          <cell r="J23"/>
          <cell r="K23">
            <v>0</v>
          </cell>
          <cell r="L23"/>
          <cell r="M23">
            <v>0</v>
          </cell>
          <cell r="N23"/>
          <cell r="O23">
            <v>0</v>
          </cell>
          <cell r="P23"/>
          <cell r="Q23">
            <v>0</v>
          </cell>
          <cell r="R23"/>
          <cell r="S23">
            <v>20</v>
          </cell>
        </row>
        <row r="24">
          <cell r="B24" t="str">
            <v>Laundry &amp; Uniforms</v>
          </cell>
          <cell r="C24"/>
          <cell r="D24"/>
          <cell r="E24"/>
          <cell r="F24">
            <v>7200</v>
          </cell>
          <cell r="G24">
            <v>0</v>
          </cell>
          <cell r="H24"/>
          <cell r="I24">
            <v>0</v>
          </cell>
          <cell r="J24"/>
          <cell r="K24">
            <v>0</v>
          </cell>
          <cell r="L24"/>
          <cell r="M24">
            <v>0</v>
          </cell>
          <cell r="N24"/>
          <cell r="O24">
            <v>0</v>
          </cell>
          <cell r="P24"/>
          <cell r="Q24">
            <v>0</v>
          </cell>
          <cell r="R24"/>
          <cell r="S24">
            <v>21</v>
          </cell>
        </row>
        <row r="25">
          <cell r="B25" t="str">
            <v>Depr. - Equip. &amp; Vehicles - Dept'l.</v>
          </cell>
          <cell r="C25"/>
          <cell r="D25"/>
          <cell r="E25"/>
          <cell r="F25">
            <v>7210</v>
          </cell>
          <cell r="G25">
            <v>0</v>
          </cell>
          <cell r="H25"/>
          <cell r="I25">
            <v>0</v>
          </cell>
          <cell r="J25"/>
          <cell r="K25">
            <v>0</v>
          </cell>
          <cell r="L25"/>
          <cell r="M25">
            <v>0</v>
          </cell>
          <cell r="N25"/>
          <cell r="O25">
            <v>0</v>
          </cell>
          <cell r="P25"/>
          <cell r="Q25">
            <v>0</v>
          </cell>
          <cell r="R25"/>
          <cell r="S25">
            <v>22</v>
          </cell>
        </row>
        <row r="26">
          <cell r="B26" t="str">
            <v>Equip. - Maint., Repair &amp; Rental - Dept'l.</v>
          </cell>
          <cell r="C26"/>
          <cell r="D26"/>
          <cell r="E26"/>
          <cell r="F26">
            <v>7220</v>
          </cell>
          <cell r="G26">
            <v>0</v>
          </cell>
          <cell r="H26"/>
          <cell r="I26">
            <v>0</v>
          </cell>
          <cell r="J26"/>
          <cell r="K26">
            <v>0</v>
          </cell>
          <cell r="L26"/>
          <cell r="M26">
            <v>0</v>
          </cell>
          <cell r="N26"/>
          <cell r="O26">
            <v>0</v>
          </cell>
          <cell r="P26"/>
          <cell r="Q26">
            <v>0</v>
          </cell>
          <cell r="R26"/>
          <cell r="S26">
            <v>23</v>
          </cell>
        </row>
        <row r="27">
          <cell r="B27" t="str">
            <v>Miscellaneous Expenses</v>
          </cell>
          <cell r="C27"/>
          <cell r="D27"/>
          <cell r="E27"/>
          <cell r="F27">
            <v>7230</v>
          </cell>
          <cell r="G27">
            <v>0</v>
          </cell>
          <cell r="H27"/>
          <cell r="I27">
            <v>0</v>
          </cell>
          <cell r="J27"/>
          <cell r="K27">
            <v>0</v>
          </cell>
          <cell r="L27"/>
          <cell r="M27">
            <v>0</v>
          </cell>
          <cell r="N27"/>
          <cell r="O27">
            <v>0</v>
          </cell>
          <cell r="P27"/>
          <cell r="Q27">
            <v>0</v>
          </cell>
          <cell r="R27"/>
          <cell r="S27">
            <v>24</v>
          </cell>
        </row>
        <row r="28">
          <cell r="B28" t="str">
            <v xml:space="preserve">Salaries &amp; Wages                    </v>
          </cell>
          <cell r="C28"/>
          <cell r="D28"/>
          <cell r="E28"/>
          <cell r="F28" t="str">
            <v>7250</v>
          </cell>
          <cell r="G28">
            <v>0</v>
          </cell>
          <cell r="H28"/>
          <cell r="I28">
            <v>0</v>
          </cell>
          <cell r="J28"/>
          <cell r="K28">
            <v>0</v>
          </cell>
          <cell r="L28"/>
          <cell r="M28">
            <v>0</v>
          </cell>
          <cell r="N28"/>
          <cell r="O28">
            <v>0</v>
          </cell>
          <cell r="P28"/>
          <cell r="Q28">
            <v>0</v>
          </cell>
          <cell r="R28"/>
          <cell r="S28">
            <v>25</v>
          </cell>
        </row>
        <row r="29">
          <cell r="B29" t="str">
            <v xml:space="preserve">Clerical Salaries                                  </v>
          </cell>
          <cell r="C29"/>
          <cell r="D29"/>
          <cell r="E29"/>
          <cell r="F29" t="str">
            <v>7260</v>
          </cell>
          <cell r="G29">
            <v>0</v>
          </cell>
          <cell r="H29"/>
          <cell r="I29">
            <v>0</v>
          </cell>
          <cell r="J29"/>
          <cell r="K29">
            <v>0</v>
          </cell>
          <cell r="L29"/>
          <cell r="M29">
            <v>0</v>
          </cell>
          <cell r="N29"/>
          <cell r="O29">
            <v>0</v>
          </cell>
          <cell r="P29"/>
          <cell r="Q29">
            <v>0</v>
          </cell>
          <cell r="R29"/>
          <cell r="S29">
            <v>26</v>
          </cell>
        </row>
        <row r="30">
          <cell r="B30" t="str">
            <v xml:space="preserve">Vacation &amp; Time Off Pay                     </v>
          </cell>
          <cell r="C30"/>
          <cell r="D30"/>
          <cell r="E30"/>
          <cell r="F30">
            <v>7270</v>
          </cell>
          <cell r="G30">
            <v>0</v>
          </cell>
          <cell r="H30"/>
          <cell r="I30">
            <v>0</v>
          </cell>
          <cell r="J30"/>
          <cell r="K30">
            <v>0</v>
          </cell>
          <cell r="L30"/>
          <cell r="M30">
            <v>0</v>
          </cell>
          <cell r="N30"/>
          <cell r="O30">
            <v>0</v>
          </cell>
          <cell r="P30"/>
          <cell r="Q30">
            <v>0</v>
          </cell>
          <cell r="R30"/>
          <cell r="S30">
            <v>27</v>
          </cell>
        </row>
        <row r="31">
          <cell r="B31" t="str">
            <v>TOTAL OPERATING EXPENSES</v>
          </cell>
          <cell r="C31"/>
          <cell r="D31"/>
          <cell r="E31" t="str">
            <v xml:space="preserve">LINES 14 - 27 </v>
          </cell>
          <cell r="F31"/>
          <cell r="G31">
            <v>0</v>
          </cell>
          <cell r="H31"/>
          <cell r="I31">
            <v>0</v>
          </cell>
          <cell r="J31"/>
          <cell r="K31">
            <v>0</v>
          </cell>
          <cell r="L31"/>
          <cell r="M31">
            <v>0</v>
          </cell>
          <cell r="N31"/>
          <cell r="O31">
            <v>0</v>
          </cell>
          <cell r="P31"/>
          <cell r="Q31">
            <v>0</v>
          </cell>
          <cell r="R31"/>
          <cell r="S31">
            <v>28</v>
          </cell>
        </row>
        <row r="32">
          <cell r="B32" t="str">
            <v>TOTAL SELLING &amp; OPER. EXPS.</v>
          </cell>
          <cell r="C32"/>
          <cell r="D32"/>
          <cell r="E32" t="str">
            <v>LINES 13 &amp; 28</v>
          </cell>
          <cell r="F32"/>
          <cell r="G32">
            <v>0</v>
          </cell>
          <cell r="H32"/>
          <cell r="I32">
            <v>0</v>
          </cell>
          <cell r="J32"/>
          <cell r="K32">
            <v>0</v>
          </cell>
          <cell r="L32"/>
          <cell r="M32">
            <v>0</v>
          </cell>
          <cell r="N32"/>
          <cell r="O32">
            <v>0</v>
          </cell>
          <cell r="P32"/>
          <cell r="Q32">
            <v>0</v>
          </cell>
          <cell r="R32"/>
          <cell r="S32">
            <v>29</v>
          </cell>
        </row>
        <row r="33">
          <cell r="B33" t="str">
            <v>TOTAL SELL. &amp; OPER. EXPS % OF G.P.</v>
          </cell>
          <cell r="C33"/>
          <cell r="D33"/>
          <cell r="E33"/>
          <cell r="F33"/>
          <cell r="G33"/>
          <cell r="H33" t="str">
            <v>-</v>
          </cell>
          <cell r="I33"/>
          <cell r="J33" t="str">
            <v>-</v>
          </cell>
          <cell r="K33"/>
          <cell r="L33" t="str">
            <v>-</v>
          </cell>
          <cell r="M33"/>
          <cell r="N33" t="str">
            <v>-</v>
          </cell>
          <cell r="O33"/>
          <cell r="P33" t="str">
            <v>-</v>
          </cell>
          <cell r="Q33"/>
          <cell r="R33" t="str">
            <v>-</v>
          </cell>
          <cell r="S33">
            <v>30</v>
          </cell>
        </row>
        <row r="34">
          <cell r="B34" t="str">
            <v>DEPT'L PROFIT (LOSS)</v>
          </cell>
          <cell r="C34"/>
          <cell r="D34"/>
          <cell r="E34" t="str">
            <v>LINE 2 LESS 29</v>
          </cell>
          <cell r="F34"/>
          <cell r="G34">
            <v>0</v>
          </cell>
          <cell r="H34"/>
          <cell r="I34">
            <v>0</v>
          </cell>
          <cell r="J34"/>
          <cell r="K34">
            <v>0</v>
          </cell>
          <cell r="L34"/>
          <cell r="M34">
            <v>0</v>
          </cell>
          <cell r="N34"/>
          <cell r="O34">
            <v>0</v>
          </cell>
          <cell r="P34"/>
          <cell r="Q34">
            <v>0</v>
          </cell>
          <cell r="R34"/>
          <cell r="S34">
            <v>31</v>
          </cell>
        </row>
        <row r="35">
          <cell r="B35" t="str">
            <v>Rent &amp; Equivalent</v>
          </cell>
          <cell r="C35"/>
          <cell r="D35"/>
          <cell r="E35"/>
          <cell r="F35">
            <v>7400</v>
          </cell>
          <cell r="G35">
            <v>0</v>
          </cell>
          <cell r="H35"/>
          <cell r="I35">
            <v>0</v>
          </cell>
          <cell r="J35"/>
          <cell r="K35">
            <v>0</v>
          </cell>
          <cell r="L35"/>
          <cell r="M35">
            <v>0</v>
          </cell>
          <cell r="N35"/>
          <cell r="O35">
            <v>0</v>
          </cell>
          <cell r="P35"/>
          <cell r="Q35">
            <v>0</v>
          </cell>
          <cell r="R35"/>
          <cell r="S35">
            <v>32</v>
          </cell>
        </row>
        <row r="36">
          <cell r="B36" t="str">
            <v xml:space="preserve">Salaries &amp; Wages - Admin. &amp; General     </v>
          </cell>
          <cell r="C36"/>
          <cell r="D36"/>
          <cell r="E36"/>
          <cell r="F36">
            <v>7410</v>
          </cell>
          <cell r="G36">
            <v>0</v>
          </cell>
          <cell r="H36"/>
          <cell r="I36">
            <v>0</v>
          </cell>
          <cell r="J36"/>
          <cell r="K36">
            <v>0</v>
          </cell>
          <cell r="L36"/>
          <cell r="M36">
            <v>0</v>
          </cell>
          <cell r="N36"/>
          <cell r="O36">
            <v>0</v>
          </cell>
          <cell r="P36"/>
          <cell r="Q36">
            <v>0</v>
          </cell>
          <cell r="R36"/>
          <cell r="S36">
            <v>33</v>
          </cell>
        </row>
        <row r="37">
          <cell r="B37" t="str">
            <v>Owners Salaries</v>
          </cell>
          <cell r="C37"/>
          <cell r="D37"/>
          <cell r="E37"/>
          <cell r="F37">
            <v>7420</v>
          </cell>
          <cell r="G37">
            <v>0</v>
          </cell>
          <cell r="H37"/>
          <cell r="I37">
            <v>0</v>
          </cell>
          <cell r="J37"/>
          <cell r="K37">
            <v>0</v>
          </cell>
          <cell r="L37"/>
          <cell r="M37">
            <v>0</v>
          </cell>
          <cell r="N37"/>
          <cell r="O37">
            <v>0</v>
          </cell>
          <cell r="P37"/>
          <cell r="Q37">
            <v>0</v>
          </cell>
          <cell r="R37"/>
          <cell r="S37">
            <v>34</v>
          </cell>
        </row>
        <row r="38">
          <cell r="B38" t="str">
            <v xml:space="preserve">Payroll Taxes                                         </v>
          </cell>
          <cell r="C38"/>
          <cell r="D38"/>
          <cell r="E38"/>
          <cell r="F38">
            <v>7430</v>
          </cell>
          <cell r="G38">
            <v>0</v>
          </cell>
          <cell r="H38"/>
          <cell r="I38">
            <v>0</v>
          </cell>
          <cell r="J38"/>
          <cell r="K38">
            <v>0</v>
          </cell>
          <cell r="L38"/>
          <cell r="M38">
            <v>0</v>
          </cell>
          <cell r="N38"/>
          <cell r="O38">
            <v>0</v>
          </cell>
          <cell r="P38"/>
          <cell r="Q38">
            <v>0</v>
          </cell>
          <cell r="R38"/>
          <cell r="S38">
            <v>35</v>
          </cell>
        </row>
        <row r="39">
          <cell r="B39" t="str">
            <v xml:space="preserve">Employee Benefits                                 </v>
          </cell>
          <cell r="C39"/>
          <cell r="D39"/>
          <cell r="E39"/>
          <cell r="F39">
            <v>7440</v>
          </cell>
          <cell r="G39">
            <v>0</v>
          </cell>
          <cell r="H39"/>
          <cell r="I39">
            <v>0</v>
          </cell>
          <cell r="J39"/>
          <cell r="K39">
            <v>0</v>
          </cell>
          <cell r="L39"/>
          <cell r="M39">
            <v>0</v>
          </cell>
          <cell r="N39"/>
          <cell r="O39">
            <v>0</v>
          </cell>
          <cell r="P39"/>
          <cell r="Q39">
            <v>0</v>
          </cell>
          <cell r="R39"/>
          <cell r="S39">
            <v>36</v>
          </cell>
        </row>
        <row r="40">
          <cell r="B40" t="str">
            <v xml:space="preserve">Pension Fund/Profit Sharing                  </v>
          </cell>
          <cell r="C40"/>
          <cell r="D40"/>
          <cell r="E40"/>
          <cell r="F40">
            <v>7450</v>
          </cell>
          <cell r="G40">
            <v>0</v>
          </cell>
          <cell r="H40"/>
          <cell r="I40">
            <v>0</v>
          </cell>
          <cell r="J40"/>
          <cell r="K40">
            <v>0</v>
          </cell>
          <cell r="L40"/>
          <cell r="M40">
            <v>0</v>
          </cell>
          <cell r="N40"/>
          <cell r="O40">
            <v>0</v>
          </cell>
          <cell r="P40"/>
          <cell r="Q40">
            <v>0</v>
          </cell>
          <cell r="R40"/>
          <cell r="S40">
            <v>37</v>
          </cell>
        </row>
        <row r="41">
          <cell r="B41" t="str">
            <v>Advertising General &amp; Institutional</v>
          </cell>
          <cell r="C41"/>
          <cell r="D41"/>
          <cell r="E41"/>
          <cell r="F41">
            <v>7460</v>
          </cell>
          <cell r="G41">
            <v>0</v>
          </cell>
          <cell r="H41"/>
          <cell r="I41">
            <v>0</v>
          </cell>
          <cell r="J41"/>
          <cell r="K41">
            <v>0</v>
          </cell>
          <cell r="L41"/>
          <cell r="M41">
            <v>0</v>
          </cell>
          <cell r="N41"/>
          <cell r="O41">
            <v>0</v>
          </cell>
          <cell r="P41"/>
          <cell r="Q41">
            <v>0</v>
          </cell>
          <cell r="R41"/>
          <cell r="S41">
            <v>38</v>
          </cell>
        </row>
        <row r="42">
          <cell r="B42" t="str">
            <v>Stationery &amp; Office Supplies</v>
          </cell>
          <cell r="C42"/>
          <cell r="D42"/>
          <cell r="E42"/>
          <cell r="F42" t="str">
            <v>7470</v>
          </cell>
          <cell r="G42">
            <v>0</v>
          </cell>
          <cell r="H42"/>
          <cell r="I42">
            <v>0</v>
          </cell>
          <cell r="J42"/>
          <cell r="K42">
            <v>0</v>
          </cell>
          <cell r="L42"/>
          <cell r="M42">
            <v>0</v>
          </cell>
          <cell r="N42"/>
          <cell r="O42">
            <v>0</v>
          </cell>
          <cell r="P42"/>
          <cell r="Q42">
            <v>0</v>
          </cell>
          <cell r="R42"/>
          <cell r="S42">
            <v>39</v>
          </cell>
        </row>
        <row r="43">
          <cell r="B43" t="str">
            <v>Data Processing Services</v>
          </cell>
          <cell r="C43"/>
          <cell r="D43"/>
          <cell r="E43"/>
          <cell r="F43">
            <v>7480</v>
          </cell>
          <cell r="G43">
            <v>0</v>
          </cell>
          <cell r="H43"/>
          <cell r="I43">
            <v>0</v>
          </cell>
          <cell r="J43"/>
          <cell r="K43">
            <v>0</v>
          </cell>
          <cell r="L43"/>
          <cell r="M43">
            <v>0</v>
          </cell>
          <cell r="N43"/>
          <cell r="O43">
            <v>0</v>
          </cell>
          <cell r="P43"/>
          <cell r="Q43">
            <v>0</v>
          </cell>
          <cell r="R43"/>
          <cell r="S43">
            <v>40</v>
          </cell>
        </row>
        <row r="44">
          <cell r="B44" t="str">
            <v>Outside Services - Gen. &amp; Inst.</v>
          </cell>
          <cell r="C44"/>
          <cell r="D44"/>
          <cell r="E44"/>
          <cell r="F44">
            <v>7490</v>
          </cell>
          <cell r="G44">
            <v>0</v>
          </cell>
          <cell r="H44"/>
          <cell r="I44">
            <v>0</v>
          </cell>
          <cell r="J44"/>
          <cell r="K44">
            <v>0</v>
          </cell>
          <cell r="L44"/>
          <cell r="M44">
            <v>0</v>
          </cell>
          <cell r="N44"/>
          <cell r="O44">
            <v>0</v>
          </cell>
          <cell r="P44"/>
          <cell r="Q44">
            <v>0</v>
          </cell>
          <cell r="R44"/>
          <cell r="S44">
            <v>41</v>
          </cell>
        </row>
        <row r="45">
          <cell r="B45" t="str">
            <v>Company Vehicles- Administration</v>
          </cell>
          <cell r="C45"/>
          <cell r="D45"/>
          <cell r="E45"/>
          <cell r="F45">
            <v>7500</v>
          </cell>
          <cell r="G45">
            <v>0</v>
          </cell>
          <cell r="H45"/>
          <cell r="I45">
            <v>0</v>
          </cell>
          <cell r="J45"/>
          <cell r="K45">
            <v>0</v>
          </cell>
          <cell r="L45"/>
          <cell r="M45">
            <v>0</v>
          </cell>
          <cell r="N45"/>
          <cell r="O45">
            <v>0</v>
          </cell>
          <cell r="P45"/>
          <cell r="Q45">
            <v>0</v>
          </cell>
          <cell r="R45"/>
          <cell r="S45">
            <v>42</v>
          </cell>
        </row>
        <row r="46">
          <cell r="B46" t="str">
            <v>Contributions</v>
          </cell>
          <cell r="C46"/>
          <cell r="D46"/>
          <cell r="E46"/>
          <cell r="F46">
            <v>7510</v>
          </cell>
          <cell r="G46">
            <v>0</v>
          </cell>
          <cell r="H46"/>
          <cell r="I46">
            <v>0</v>
          </cell>
          <cell r="J46"/>
          <cell r="K46">
            <v>0</v>
          </cell>
          <cell r="L46"/>
          <cell r="M46">
            <v>0</v>
          </cell>
          <cell r="N46"/>
          <cell r="O46">
            <v>0</v>
          </cell>
          <cell r="P46"/>
          <cell r="Q46">
            <v>0</v>
          </cell>
          <cell r="R46"/>
          <cell r="S46">
            <v>43</v>
          </cell>
        </row>
        <row r="47">
          <cell r="B47" t="str">
            <v>Dues &amp; Subscriptions</v>
          </cell>
          <cell r="C47"/>
          <cell r="D47"/>
          <cell r="E47"/>
          <cell r="F47">
            <v>7520</v>
          </cell>
          <cell r="G47">
            <v>0</v>
          </cell>
          <cell r="H47"/>
          <cell r="I47">
            <v>0</v>
          </cell>
          <cell r="J47"/>
          <cell r="K47">
            <v>0</v>
          </cell>
          <cell r="L47"/>
          <cell r="M47">
            <v>0</v>
          </cell>
          <cell r="N47"/>
          <cell r="O47">
            <v>0</v>
          </cell>
          <cell r="P47"/>
          <cell r="Q47">
            <v>0</v>
          </cell>
          <cell r="R47"/>
          <cell r="S47">
            <v>44</v>
          </cell>
        </row>
        <row r="48">
          <cell r="B48" t="str">
            <v xml:space="preserve">Telephone </v>
          </cell>
          <cell r="C48"/>
          <cell r="D48"/>
          <cell r="E48"/>
          <cell r="F48" t="str">
            <v>7530</v>
          </cell>
          <cell r="G48">
            <v>0</v>
          </cell>
          <cell r="H48"/>
          <cell r="I48">
            <v>0</v>
          </cell>
          <cell r="J48"/>
          <cell r="K48">
            <v>0</v>
          </cell>
          <cell r="L48"/>
          <cell r="M48">
            <v>0</v>
          </cell>
          <cell r="N48"/>
          <cell r="O48">
            <v>0</v>
          </cell>
          <cell r="P48"/>
          <cell r="Q48">
            <v>0</v>
          </cell>
          <cell r="R48"/>
          <cell r="S48">
            <v>45</v>
          </cell>
        </row>
        <row r="49">
          <cell r="B49" t="str">
            <v>Legal and Auditing</v>
          </cell>
          <cell r="C49"/>
          <cell r="D49"/>
          <cell r="E49"/>
          <cell r="F49">
            <v>7540</v>
          </cell>
          <cell r="G49">
            <v>0</v>
          </cell>
          <cell r="H49"/>
          <cell r="I49">
            <v>0</v>
          </cell>
          <cell r="J49"/>
          <cell r="K49">
            <v>0</v>
          </cell>
          <cell r="L49"/>
          <cell r="M49">
            <v>0</v>
          </cell>
          <cell r="N49"/>
          <cell r="O49">
            <v>0</v>
          </cell>
          <cell r="P49"/>
          <cell r="Q49">
            <v>0</v>
          </cell>
          <cell r="R49"/>
          <cell r="S49">
            <v>46</v>
          </cell>
        </row>
        <row r="50">
          <cell r="B50" t="str">
            <v>Postage</v>
          </cell>
          <cell r="C50"/>
          <cell r="D50"/>
          <cell r="E50"/>
          <cell r="F50" t="str">
            <v>7550</v>
          </cell>
          <cell r="G50">
            <v>0</v>
          </cell>
          <cell r="H50"/>
          <cell r="I50">
            <v>0</v>
          </cell>
          <cell r="J50"/>
          <cell r="K50">
            <v>0</v>
          </cell>
          <cell r="L50"/>
          <cell r="M50">
            <v>0</v>
          </cell>
          <cell r="N50"/>
          <cell r="O50">
            <v>0</v>
          </cell>
          <cell r="P50"/>
          <cell r="Q50">
            <v>0</v>
          </cell>
          <cell r="R50"/>
          <cell r="S50">
            <v>47</v>
          </cell>
        </row>
        <row r="51">
          <cell r="B51" t="str">
            <v>Travel &amp; Entertainments</v>
          </cell>
          <cell r="C51"/>
          <cell r="D51"/>
          <cell r="E51"/>
          <cell r="F51">
            <v>7560</v>
          </cell>
          <cell r="G51">
            <v>0</v>
          </cell>
          <cell r="H51"/>
          <cell r="I51">
            <v>0</v>
          </cell>
          <cell r="J51"/>
          <cell r="K51">
            <v>0</v>
          </cell>
          <cell r="L51"/>
          <cell r="M51">
            <v>0</v>
          </cell>
          <cell r="N51"/>
          <cell r="O51">
            <v>0</v>
          </cell>
          <cell r="P51"/>
          <cell r="Q51">
            <v>0</v>
          </cell>
          <cell r="R51"/>
          <cell r="S51">
            <v>48</v>
          </cell>
        </row>
        <row r="52">
          <cell r="B52" t="str">
            <v>Heat, Light, Power &amp; Water</v>
          </cell>
          <cell r="C52"/>
          <cell r="D52"/>
          <cell r="E52"/>
          <cell r="F52">
            <v>7570</v>
          </cell>
          <cell r="G52">
            <v>0</v>
          </cell>
          <cell r="H52"/>
          <cell r="I52">
            <v>0</v>
          </cell>
          <cell r="J52"/>
          <cell r="K52">
            <v>0</v>
          </cell>
          <cell r="L52"/>
          <cell r="M52">
            <v>0</v>
          </cell>
          <cell r="N52"/>
          <cell r="O52">
            <v>0</v>
          </cell>
          <cell r="P52"/>
          <cell r="Q52">
            <v>0</v>
          </cell>
          <cell r="R52"/>
          <cell r="S52">
            <v>49</v>
          </cell>
        </row>
        <row r="53">
          <cell r="B53" t="str">
            <v>Furniture, Signs, Fixtures &amp; Equipment - Depreciation, Maintenance, Repair &amp; Rental</v>
          </cell>
          <cell r="C53"/>
          <cell r="D53"/>
          <cell r="E53"/>
          <cell r="F53">
            <v>7580</v>
          </cell>
          <cell r="G53">
            <v>0</v>
          </cell>
          <cell r="H53"/>
          <cell r="I53">
            <v>0</v>
          </cell>
          <cell r="J53"/>
          <cell r="K53">
            <v>0</v>
          </cell>
          <cell r="L53"/>
          <cell r="M53">
            <v>0</v>
          </cell>
          <cell r="N53"/>
          <cell r="O53">
            <v>0</v>
          </cell>
          <cell r="P53"/>
          <cell r="Q53">
            <v>0</v>
          </cell>
          <cell r="R53"/>
          <cell r="S53">
            <v>50</v>
          </cell>
        </row>
        <row r="54">
          <cell r="B54" t="str">
            <v>Insurance - Other Than Bldgs. &amp; Improvements</v>
          </cell>
          <cell r="C54"/>
          <cell r="D54"/>
          <cell r="E54"/>
          <cell r="F54">
            <v>7590</v>
          </cell>
          <cell r="G54">
            <v>0</v>
          </cell>
          <cell r="H54"/>
          <cell r="I54">
            <v>0</v>
          </cell>
          <cell r="J54"/>
          <cell r="K54">
            <v>0</v>
          </cell>
          <cell r="L54"/>
          <cell r="M54">
            <v>0</v>
          </cell>
          <cell r="N54"/>
          <cell r="O54">
            <v>0</v>
          </cell>
          <cell r="P54"/>
          <cell r="Q54">
            <v>0</v>
          </cell>
          <cell r="R54"/>
          <cell r="S54">
            <v>51</v>
          </cell>
        </row>
        <row r="55">
          <cell r="B55" t="str">
            <v>Taxes - Other Than R.E., Pay. &amp; Inc.</v>
          </cell>
          <cell r="C55"/>
          <cell r="D55"/>
          <cell r="E55"/>
          <cell r="F55">
            <v>7600</v>
          </cell>
          <cell r="G55">
            <v>0</v>
          </cell>
          <cell r="H55"/>
          <cell r="I55">
            <v>0</v>
          </cell>
          <cell r="J55"/>
          <cell r="K55">
            <v>0</v>
          </cell>
          <cell r="L55"/>
          <cell r="M55">
            <v>0</v>
          </cell>
          <cell r="N55"/>
          <cell r="O55">
            <v>0</v>
          </cell>
          <cell r="P55"/>
          <cell r="Q55">
            <v>0</v>
          </cell>
          <cell r="R55"/>
          <cell r="S55">
            <v>52</v>
          </cell>
        </row>
        <row r="56">
          <cell r="B56" t="str">
            <v>Interest - Other Than Floor Plan &amp; R.E. Mortgage</v>
          </cell>
          <cell r="C56"/>
          <cell r="D56"/>
          <cell r="E56"/>
          <cell r="F56">
            <v>7610</v>
          </cell>
          <cell r="G56">
            <v>0</v>
          </cell>
          <cell r="H56"/>
          <cell r="I56">
            <v>0</v>
          </cell>
          <cell r="J56"/>
          <cell r="K56">
            <v>0</v>
          </cell>
          <cell r="L56"/>
          <cell r="M56">
            <v>0</v>
          </cell>
          <cell r="N56"/>
          <cell r="O56">
            <v>0</v>
          </cell>
          <cell r="P56"/>
          <cell r="Q56">
            <v>0</v>
          </cell>
          <cell r="R56"/>
          <cell r="S56">
            <v>53</v>
          </cell>
        </row>
        <row r="57">
          <cell r="B57" t="str">
            <v>TOTAL OVERHEAD EXPENSES</v>
          </cell>
          <cell r="C57"/>
          <cell r="D57"/>
          <cell r="E57" t="str">
            <v xml:space="preserve">LINES 32 - 53 </v>
          </cell>
          <cell r="F57"/>
          <cell r="G57">
            <v>0</v>
          </cell>
          <cell r="H57"/>
          <cell r="I57">
            <v>0</v>
          </cell>
          <cell r="J57"/>
          <cell r="K57">
            <v>0</v>
          </cell>
          <cell r="L57"/>
          <cell r="M57">
            <v>0</v>
          </cell>
          <cell r="N57"/>
          <cell r="O57">
            <v>0</v>
          </cell>
          <cell r="P57"/>
          <cell r="Q57">
            <v>0</v>
          </cell>
          <cell r="R57"/>
          <cell r="S57">
            <v>54</v>
          </cell>
        </row>
        <row r="58">
          <cell r="B58" t="str">
            <v>TOTAL EXPENSES</v>
          </cell>
          <cell r="C58"/>
          <cell r="D58"/>
          <cell r="E58" t="str">
            <v>LINES 29 &amp; 54</v>
          </cell>
          <cell r="F58"/>
          <cell r="G58">
            <v>0</v>
          </cell>
          <cell r="H58"/>
          <cell r="I58">
            <v>0</v>
          </cell>
          <cell r="J58"/>
          <cell r="K58">
            <v>0</v>
          </cell>
          <cell r="L58"/>
          <cell r="M58">
            <v>0</v>
          </cell>
          <cell r="N58"/>
          <cell r="O58">
            <v>0</v>
          </cell>
          <cell r="P58"/>
          <cell r="Q58">
            <v>0</v>
          </cell>
          <cell r="R58"/>
          <cell r="S58">
            <v>55</v>
          </cell>
        </row>
        <row r="59">
          <cell r="B59" t="str">
            <v>OPERATING PROFIT (LOSS)</v>
          </cell>
          <cell r="C59"/>
          <cell r="D59"/>
          <cell r="E59" t="str">
            <v>LINE 2 LESS 55</v>
          </cell>
          <cell r="F59"/>
          <cell r="G59">
            <v>0</v>
          </cell>
          <cell r="H59"/>
          <cell r="I59">
            <v>0</v>
          </cell>
          <cell r="J59"/>
          <cell r="K59">
            <v>0</v>
          </cell>
          <cell r="L59"/>
          <cell r="M59">
            <v>0</v>
          </cell>
          <cell r="N59"/>
          <cell r="O59">
            <v>0</v>
          </cell>
          <cell r="P59"/>
          <cell r="Q59">
            <v>0</v>
          </cell>
          <cell r="R59"/>
          <cell r="S59">
            <v>56</v>
          </cell>
        </row>
        <row r="60">
          <cell r="B60" t="str">
            <v>ANALYSIS OF OPERATION</v>
          </cell>
          <cell r="C60"/>
          <cell r="D60"/>
          <cell r="E60" t="str">
            <v>MONTH</v>
          </cell>
          <cell r="F60"/>
          <cell r="G60"/>
          <cell r="H60" t="str">
            <v>MONTH Prior Year</v>
          </cell>
          <cell r="I60"/>
          <cell r="J60"/>
          <cell r="K60" t="str">
            <v>YEAR TO DATE</v>
          </cell>
          <cell r="L60"/>
          <cell r="M60"/>
          <cell r="N60"/>
          <cell r="O60" t="str">
            <v>YEAR TO DATE  Prior Year</v>
          </cell>
          <cell r="P60"/>
          <cell r="Q60"/>
          <cell r="R60"/>
          <cell r="S60">
            <v>57</v>
          </cell>
        </row>
        <row r="61">
          <cell r="B61"/>
          <cell r="C61"/>
          <cell r="D61"/>
          <cell r="E61" t="str">
            <v>UNIT SALES</v>
          </cell>
          <cell r="F61" t="str">
            <v>DOLLARS</v>
          </cell>
          <cell r="G61" t="str">
            <v>% SALES</v>
          </cell>
          <cell r="H61" t="str">
            <v>UNIT SALES</v>
          </cell>
          <cell r="I61" t="str">
            <v>DOLLARS</v>
          </cell>
          <cell r="J61" t="str">
            <v>% SALES</v>
          </cell>
          <cell r="K61" t="str">
            <v>UNIT SALES</v>
          </cell>
          <cell r="L61" t="str">
            <v>DOLLARS</v>
          </cell>
          <cell r="M61"/>
          <cell r="N61" t="str">
            <v>% SALES</v>
          </cell>
          <cell r="O61" t="str">
            <v>UNIT SALES</v>
          </cell>
          <cell r="P61" t="str">
            <v>DOLLARS</v>
          </cell>
          <cell r="Q61"/>
          <cell r="R61" t="str">
            <v>% SALES</v>
          </cell>
          <cell r="S61">
            <v>58</v>
          </cell>
        </row>
        <row r="62">
          <cell r="B62" t="str">
            <v>Total Dollar Sales</v>
          </cell>
          <cell r="C62"/>
          <cell r="D62"/>
          <cell r="E62"/>
          <cell r="F62">
            <v>1876199</v>
          </cell>
          <cell r="G62"/>
          <cell r="H62"/>
          <cell r="I62">
            <v>0</v>
          </cell>
          <cell r="J62"/>
          <cell r="K62"/>
          <cell r="L62">
            <v>10745024</v>
          </cell>
          <cell r="M62"/>
          <cell r="N62"/>
          <cell r="O62"/>
          <cell r="P62">
            <v>0</v>
          </cell>
          <cell r="Q62"/>
          <cell r="R62"/>
          <cell r="S62">
            <v>59</v>
          </cell>
        </row>
        <row r="63">
          <cell r="B63" t="str">
            <v>New Vehicle Gross</v>
          </cell>
          <cell r="C63"/>
          <cell r="D63"/>
          <cell r="E63">
            <v>0</v>
          </cell>
          <cell r="F63">
            <v>0</v>
          </cell>
          <cell r="G63" t="str">
            <v>-</v>
          </cell>
          <cell r="H63">
            <v>0</v>
          </cell>
          <cell r="I63">
            <v>0</v>
          </cell>
          <cell r="J63" t="str">
            <v>-</v>
          </cell>
          <cell r="K63">
            <v>0</v>
          </cell>
          <cell r="L63">
            <v>0</v>
          </cell>
          <cell r="M63"/>
          <cell r="N63" t="str">
            <v>-</v>
          </cell>
          <cell r="O63">
            <v>0</v>
          </cell>
          <cell r="P63">
            <v>0</v>
          </cell>
          <cell r="Q63"/>
          <cell r="R63" t="str">
            <v>-</v>
          </cell>
          <cell r="S63">
            <v>60</v>
          </cell>
        </row>
        <row r="64">
          <cell r="B64" t="str">
            <v>Used Vehicle Gross</v>
          </cell>
          <cell r="C64"/>
          <cell r="D64"/>
          <cell r="E64">
            <v>88</v>
          </cell>
          <cell r="F64">
            <v>176366</v>
          </cell>
          <cell r="G64">
            <v>9.4001755677302887E-2</v>
          </cell>
          <cell r="H64">
            <v>0</v>
          </cell>
          <cell r="I64">
            <v>0</v>
          </cell>
          <cell r="J64" t="str">
            <v>-</v>
          </cell>
          <cell r="K64">
            <v>496</v>
          </cell>
          <cell r="L64">
            <v>1120300</v>
          </cell>
          <cell r="M64"/>
          <cell r="N64">
            <v>0.1042622147702974</v>
          </cell>
          <cell r="O64">
            <v>0</v>
          </cell>
          <cell r="P64">
            <v>0</v>
          </cell>
          <cell r="Q64"/>
          <cell r="R64" t="str">
            <v>-</v>
          </cell>
          <cell r="S64">
            <v>61</v>
          </cell>
        </row>
        <row r="65">
          <cell r="B65" t="str">
            <v>Service Gross</v>
          </cell>
          <cell r="C65"/>
          <cell r="D65"/>
          <cell r="E65"/>
          <cell r="F65">
            <v>0</v>
          </cell>
          <cell r="G65" t="str">
            <v>-</v>
          </cell>
          <cell r="H65"/>
          <cell r="I65">
            <v>0</v>
          </cell>
          <cell r="J65" t="str">
            <v>-</v>
          </cell>
          <cell r="K65"/>
          <cell r="L65">
            <v>0</v>
          </cell>
          <cell r="M65"/>
          <cell r="N65" t="str">
            <v>-</v>
          </cell>
          <cell r="O65"/>
          <cell r="P65">
            <v>0</v>
          </cell>
          <cell r="Q65"/>
          <cell r="R65" t="str">
            <v>-</v>
          </cell>
          <cell r="S65">
            <v>62</v>
          </cell>
        </row>
        <row r="66">
          <cell r="B66" t="str">
            <v>Body Shop Gross</v>
          </cell>
          <cell r="C66"/>
          <cell r="D66"/>
          <cell r="E66"/>
          <cell r="F66">
            <v>0</v>
          </cell>
          <cell r="G66" t="str">
            <v>-</v>
          </cell>
          <cell r="H66"/>
          <cell r="I66">
            <v>0</v>
          </cell>
          <cell r="J66" t="str">
            <v>-</v>
          </cell>
          <cell r="K66"/>
          <cell r="L66">
            <v>0</v>
          </cell>
          <cell r="M66"/>
          <cell r="N66" t="str">
            <v>-</v>
          </cell>
          <cell r="O66"/>
          <cell r="P66">
            <v>0</v>
          </cell>
          <cell r="Q66"/>
          <cell r="R66" t="str">
            <v>-</v>
          </cell>
          <cell r="S66">
            <v>63</v>
          </cell>
        </row>
        <row r="67">
          <cell r="B67" t="str">
            <v>Parts &amp; Access Gross</v>
          </cell>
          <cell r="C67"/>
          <cell r="D67"/>
          <cell r="E67"/>
          <cell r="F67">
            <v>0</v>
          </cell>
          <cell r="G67" t="str">
            <v>-</v>
          </cell>
          <cell r="H67"/>
          <cell r="I67">
            <v>0</v>
          </cell>
          <cell r="J67" t="str">
            <v>-</v>
          </cell>
          <cell r="K67"/>
          <cell r="L67">
            <v>0</v>
          </cell>
          <cell r="M67"/>
          <cell r="N67" t="str">
            <v>-</v>
          </cell>
          <cell r="O67"/>
          <cell r="P67">
            <v>0</v>
          </cell>
          <cell r="Q67"/>
          <cell r="R67" t="str">
            <v>-</v>
          </cell>
          <cell r="S67">
            <v>64</v>
          </cell>
        </row>
        <row r="68">
          <cell r="B68" t="str">
            <v>Total Gross</v>
          </cell>
          <cell r="C68"/>
          <cell r="D68"/>
          <cell r="E68"/>
          <cell r="F68">
            <v>176366</v>
          </cell>
          <cell r="G68">
            <v>9.4001755677302887E-2</v>
          </cell>
          <cell r="H68"/>
          <cell r="I68">
            <v>0</v>
          </cell>
          <cell r="J68" t="str">
            <v>-</v>
          </cell>
          <cell r="K68"/>
          <cell r="L68">
            <v>1120300</v>
          </cell>
          <cell r="M68"/>
          <cell r="N68">
            <v>0.1042622147702974</v>
          </cell>
          <cell r="O68"/>
          <cell r="P68">
            <v>0</v>
          </cell>
          <cell r="Q68"/>
          <cell r="R68" t="str">
            <v>-</v>
          </cell>
          <cell r="S68">
            <v>65</v>
          </cell>
        </row>
        <row r="69">
          <cell r="B69" t="str">
            <v>Total Expenses</v>
          </cell>
          <cell r="C69"/>
          <cell r="D69"/>
          <cell r="E69"/>
          <cell r="F69">
            <v>208561</v>
          </cell>
          <cell r="G69">
            <v>0.11116144929189281</v>
          </cell>
          <cell r="H69"/>
          <cell r="I69">
            <v>0</v>
          </cell>
          <cell r="J69" t="str">
            <v>-</v>
          </cell>
          <cell r="K69"/>
          <cell r="L69">
            <v>1434850</v>
          </cell>
          <cell r="M69"/>
          <cell r="N69">
            <v>0.13353623035183543</v>
          </cell>
          <cell r="O69"/>
          <cell r="P69">
            <v>0</v>
          </cell>
          <cell r="Q69"/>
          <cell r="R69" t="str">
            <v>-</v>
          </cell>
          <cell r="S69">
            <v>66</v>
          </cell>
        </row>
        <row r="70">
          <cell r="B70" t="str">
            <v>Oper. Profit (Loss)</v>
          </cell>
          <cell r="C70"/>
          <cell r="D70"/>
          <cell r="E70"/>
          <cell r="F70">
            <v>-32195</v>
          </cell>
          <cell r="G70">
            <v>-1.7159693614589924E-2</v>
          </cell>
          <cell r="H70"/>
          <cell r="I70">
            <v>0</v>
          </cell>
          <cell r="J70" t="str">
            <v>-</v>
          </cell>
          <cell r="K70"/>
          <cell r="L70">
            <v>-314550</v>
          </cell>
          <cell r="M70"/>
          <cell r="N70">
            <v>-2.9274015581538023E-2</v>
          </cell>
          <cell r="O70"/>
          <cell r="P70">
            <v>0</v>
          </cell>
          <cell r="Q70"/>
          <cell r="R70" t="str">
            <v>-</v>
          </cell>
          <cell r="S70">
            <v>67</v>
          </cell>
        </row>
        <row r="71">
          <cell r="B71" t="str">
            <v>Net Additions Or Deductions</v>
          </cell>
          <cell r="C71"/>
          <cell r="D71"/>
          <cell r="E71"/>
          <cell r="F71">
            <v>5287</v>
          </cell>
          <cell r="G71">
            <v>2.8179313601595568E-3</v>
          </cell>
          <cell r="H71"/>
          <cell r="I71">
            <v>0</v>
          </cell>
          <cell r="J71" t="str">
            <v>-</v>
          </cell>
          <cell r="K71"/>
          <cell r="L71">
            <v>20313</v>
          </cell>
          <cell r="M71"/>
          <cell r="N71">
            <v>1.8904564568678489E-3</v>
          </cell>
          <cell r="O71"/>
          <cell r="P71">
            <v>0</v>
          </cell>
          <cell r="Q71"/>
          <cell r="R71" t="str">
            <v>-</v>
          </cell>
          <cell r="S71">
            <v>68</v>
          </cell>
        </row>
        <row r="72">
          <cell r="B72" t="str">
            <v>Total Bonuses</v>
          </cell>
          <cell r="C72"/>
          <cell r="D72"/>
          <cell r="E72"/>
          <cell r="F72">
            <v>0</v>
          </cell>
          <cell r="G72" t="str">
            <v>-</v>
          </cell>
          <cell r="H72"/>
          <cell r="I72">
            <v>0</v>
          </cell>
          <cell r="J72" t="str">
            <v>-</v>
          </cell>
          <cell r="K72"/>
          <cell r="L72">
            <v>0</v>
          </cell>
          <cell r="M72"/>
          <cell r="N72" t="str">
            <v>-</v>
          </cell>
          <cell r="O72"/>
          <cell r="P72">
            <v>0</v>
          </cell>
          <cell r="Q72"/>
          <cell r="R72" t="str">
            <v>-</v>
          </cell>
          <cell r="S72">
            <v>69</v>
          </cell>
        </row>
        <row r="73">
          <cell r="B73" t="str">
            <v>Net Profit (Loss) Before Taxes</v>
          </cell>
          <cell r="C73"/>
          <cell r="D73"/>
          <cell r="E73"/>
          <cell r="F73">
            <v>-26908</v>
          </cell>
          <cell r="G73">
            <v>-1.4341762254430367E-2</v>
          </cell>
          <cell r="H73"/>
          <cell r="I73">
            <v>0</v>
          </cell>
          <cell r="J73" t="str">
            <v>-</v>
          </cell>
          <cell r="K73"/>
          <cell r="L73">
            <v>-294237</v>
          </cell>
          <cell r="M73"/>
          <cell r="N73">
            <v>-2.7383559124670172E-2</v>
          </cell>
          <cell r="O73"/>
          <cell r="P73">
            <v>0</v>
          </cell>
          <cell r="Q73"/>
          <cell r="R73" t="str">
            <v>-</v>
          </cell>
          <cell r="S73">
            <v>70</v>
          </cell>
        </row>
        <row r="74">
          <cell r="B74" t="str">
            <v>PERSONNEL SUMMARY - Use Whole No. Only</v>
          </cell>
          <cell r="C74"/>
          <cell r="D74"/>
          <cell r="E74" t="str">
            <v>NEW</v>
          </cell>
          <cell r="F74" t="str">
            <v>SCION</v>
          </cell>
          <cell r="G74" t="str">
            <v>USED</v>
          </cell>
          <cell r="H74" t="str">
            <v>COMB</v>
          </cell>
          <cell r="I74" t="str">
            <v>TRAC</v>
          </cell>
          <cell r="J74" t="str">
            <v>F&amp;I</v>
          </cell>
          <cell r="K74" t="str">
            <v>SERV</v>
          </cell>
          <cell r="L74" t="str">
            <v>B.S.</v>
          </cell>
          <cell r="M74" t="str">
            <v>P&amp;A</v>
          </cell>
          <cell r="N74" t="str">
            <v>ADMIN</v>
          </cell>
          <cell r="O74" t="str">
            <v>TOTAL</v>
          </cell>
          <cell r="P74"/>
          <cell r="Q74"/>
          <cell r="R74"/>
          <cell r="S74">
            <v>71</v>
          </cell>
        </row>
        <row r="75">
          <cell r="B75" t="str">
            <v>Dealers</v>
          </cell>
          <cell r="C75"/>
          <cell r="D75"/>
          <cell r="E75"/>
          <cell r="F75"/>
          <cell r="G75"/>
          <cell r="H75"/>
          <cell r="I75"/>
          <cell r="J75"/>
          <cell r="K75"/>
          <cell r="L75"/>
          <cell r="M75"/>
          <cell r="N75">
            <v>0</v>
          </cell>
          <cell r="O75">
            <v>0</v>
          </cell>
          <cell r="P75"/>
          <cell r="Q75"/>
          <cell r="R75"/>
          <cell r="S75">
            <v>72</v>
          </cell>
        </row>
        <row r="76">
          <cell r="B76" t="str">
            <v>Managers/Foremen</v>
          </cell>
          <cell r="C76"/>
          <cell r="D76"/>
          <cell r="E76">
            <v>0</v>
          </cell>
          <cell r="F76">
            <v>0</v>
          </cell>
          <cell r="G76">
            <v>0</v>
          </cell>
          <cell r="H76">
            <v>0</v>
          </cell>
          <cell r="I76">
            <v>0</v>
          </cell>
          <cell r="J76">
            <v>0</v>
          </cell>
          <cell r="K76">
            <v>0</v>
          </cell>
          <cell r="L76">
            <v>0</v>
          </cell>
          <cell r="M76">
            <v>0</v>
          </cell>
          <cell r="N76">
            <v>0</v>
          </cell>
          <cell r="O76">
            <v>0</v>
          </cell>
          <cell r="P76"/>
          <cell r="Q76"/>
          <cell r="R76"/>
          <cell r="S76">
            <v>73</v>
          </cell>
        </row>
        <row r="77">
          <cell r="B77" t="str">
            <v>Slsprs/Asst Svc Mgr</v>
          </cell>
          <cell r="C77"/>
          <cell r="D77"/>
          <cell r="E77">
            <v>0</v>
          </cell>
          <cell r="F77">
            <v>0</v>
          </cell>
          <cell r="G77">
            <v>0</v>
          </cell>
          <cell r="H77">
            <v>0</v>
          </cell>
          <cell r="I77">
            <v>0</v>
          </cell>
          <cell r="J77">
            <v>0</v>
          </cell>
          <cell r="K77">
            <v>0</v>
          </cell>
          <cell r="L77">
            <v>0</v>
          </cell>
          <cell r="M77">
            <v>0</v>
          </cell>
          <cell r="N77"/>
          <cell r="O77">
            <v>0</v>
          </cell>
          <cell r="P77"/>
          <cell r="Q77"/>
          <cell r="R77"/>
          <cell r="S77">
            <v>74</v>
          </cell>
        </row>
        <row r="78">
          <cell r="B78" t="str">
            <v>Svc/B.S. Tech</v>
          </cell>
          <cell r="C78"/>
          <cell r="D78"/>
          <cell r="E78">
            <v>0</v>
          </cell>
          <cell r="F78">
            <v>0</v>
          </cell>
          <cell r="G78">
            <v>0</v>
          </cell>
          <cell r="H78"/>
          <cell r="I78"/>
          <cell r="J78"/>
          <cell r="K78">
            <v>0</v>
          </cell>
          <cell r="L78">
            <v>0</v>
          </cell>
          <cell r="M78"/>
          <cell r="N78"/>
          <cell r="O78">
            <v>0</v>
          </cell>
          <cell r="P78"/>
          <cell r="Q78"/>
          <cell r="R78"/>
          <cell r="S78">
            <v>75</v>
          </cell>
        </row>
        <row r="79">
          <cell r="B79" t="str">
            <v>Clerical</v>
          </cell>
          <cell r="C79"/>
          <cell r="D79"/>
          <cell r="E79">
            <v>0</v>
          </cell>
          <cell r="F79">
            <v>0</v>
          </cell>
          <cell r="G79">
            <v>0</v>
          </cell>
          <cell r="H79"/>
          <cell r="I79">
            <v>0</v>
          </cell>
          <cell r="J79"/>
          <cell r="K79">
            <v>0</v>
          </cell>
          <cell r="L79">
            <v>0</v>
          </cell>
          <cell r="M79">
            <v>0</v>
          </cell>
          <cell r="N79">
            <v>0</v>
          </cell>
          <cell r="O79">
            <v>0</v>
          </cell>
          <cell r="P79"/>
          <cell r="Q79"/>
          <cell r="R79"/>
          <cell r="S79">
            <v>76</v>
          </cell>
        </row>
        <row r="80">
          <cell r="B80" t="str">
            <v>Other</v>
          </cell>
          <cell r="C80"/>
          <cell r="D80"/>
          <cell r="E80">
            <v>0</v>
          </cell>
          <cell r="F80">
            <v>0</v>
          </cell>
          <cell r="G80">
            <v>0</v>
          </cell>
          <cell r="H80"/>
          <cell r="I80">
            <v>0</v>
          </cell>
          <cell r="J80"/>
          <cell r="K80">
            <v>0</v>
          </cell>
          <cell r="L80">
            <v>0</v>
          </cell>
          <cell r="M80">
            <v>0</v>
          </cell>
          <cell r="N80">
            <v>0</v>
          </cell>
          <cell r="O80">
            <v>0</v>
          </cell>
          <cell r="P80"/>
          <cell r="Q80"/>
          <cell r="R80"/>
          <cell r="S80">
            <v>77</v>
          </cell>
        </row>
        <row r="81">
          <cell r="B81" t="str">
            <v>TOTAL PERSONNEL</v>
          </cell>
          <cell r="C81"/>
          <cell r="D81"/>
          <cell r="E81">
            <v>0</v>
          </cell>
          <cell r="F81">
            <v>0</v>
          </cell>
          <cell r="G81">
            <v>0</v>
          </cell>
          <cell r="H81">
            <v>0</v>
          </cell>
          <cell r="I81">
            <v>0</v>
          </cell>
          <cell r="J81">
            <v>0</v>
          </cell>
          <cell r="K81">
            <v>0</v>
          </cell>
          <cell r="L81">
            <v>0</v>
          </cell>
          <cell r="M81">
            <v>0</v>
          </cell>
          <cell r="N81">
            <v>0</v>
          </cell>
          <cell r="O81">
            <v>0</v>
          </cell>
          <cell r="P81"/>
          <cell r="Q81"/>
          <cell r="R81"/>
          <cell r="S81">
            <v>78</v>
          </cell>
        </row>
        <row r="82">
          <cell r="B82"/>
          <cell r="C82"/>
          <cell r="D82"/>
          <cell r="E82"/>
          <cell r="F82"/>
          <cell r="G82"/>
          <cell r="H82"/>
          <cell r="I82"/>
          <cell r="J82"/>
          <cell r="K82"/>
          <cell r="L82"/>
          <cell r="M82"/>
          <cell r="N82"/>
          <cell r="O82"/>
          <cell r="P82" t="str">
            <v>Version</v>
          </cell>
          <cell r="Q82" t="str">
            <v>1.3-9</v>
          </cell>
          <cell r="R82"/>
          <cell r="S82"/>
        </row>
      </sheetData>
      <sheetData sheetId="3" refreshError="1">
        <row r="71">
          <cell r="B71">
            <v>0</v>
          </cell>
          <cell r="C71">
            <v>0</v>
          </cell>
          <cell r="D71">
            <v>0</v>
          </cell>
          <cell r="M71">
            <v>0</v>
          </cell>
          <cell r="N71">
            <v>0</v>
          </cell>
          <cell r="O71">
            <v>0</v>
          </cell>
        </row>
      </sheetData>
      <sheetData sheetId="4" refreshError="1">
        <row r="5">
          <cell r="D5">
            <v>0</v>
          </cell>
          <cell r="G5">
            <v>0</v>
          </cell>
          <cell r="M5">
            <v>0</v>
          </cell>
          <cell r="P5">
            <v>0</v>
          </cell>
        </row>
        <row r="6">
          <cell r="D6">
            <v>0</v>
          </cell>
          <cell r="G6">
            <v>0</v>
          </cell>
          <cell r="M6">
            <v>0</v>
          </cell>
          <cell r="P6">
            <v>0</v>
          </cell>
        </row>
        <row r="7">
          <cell r="D7">
            <v>0</v>
          </cell>
          <cell r="G7">
            <v>0</v>
          </cell>
          <cell r="M7">
            <v>0</v>
          </cell>
          <cell r="P7">
            <v>0</v>
          </cell>
        </row>
        <row r="8">
          <cell r="D8">
            <v>0</v>
          </cell>
          <cell r="G8">
            <v>0</v>
          </cell>
          <cell r="M8">
            <v>0</v>
          </cell>
          <cell r="P8">
            <v>0</v>
          </cell>
        </row>
        <row r="9">
          <cell r="D9">
            <v>0</v>
          </cell>
          <cell r="G9">
            <v>0</v>
          </cell>
          <cell r="M9">
            <v>0</v>
          </cell>
          <cell r="P9">
            <v>0</v>
          </cell>
        </row>
        <row r="10">
          <cell r="D10">
            <v>0</v>
          </cell>
          <cell r="G10">
            <v>0</v>
          </cell>
          <cell r="M10">
            <v>0</v>
          </cell>
          <cell r="P10">
            <v>0</v>
          </cell>
        </row>
        <row r="11">
          <cell r="D11">
            <v>0</v>
          </cell>
          <cell r="G11">
            <v>0</v>
          </cell>
          <cell r="M11">
            <v>0</v>
          </cell>
          <cell r="P11">
            <v>0</v>
          </cell>
        </row>
        <row r="12">
          <cell r="D12">
            <v>0</v>
          </cell>
          <cell r="G12">
            <v>0</v>
          </cell>
          <cell r="M12">
            <v>0</v>
          </cell>
          <cell r="P12">
            <v>0</v>
          </cell>
        </row>
        <row r="13">
          <cell r="D13">
            <v>0</v>
          </cell>
          <cell r="G13">
            <v>0</v>
          </cell>
          <cell r="M13">
            <v>0</v>
          </cell>
          <cell r="P13">
            <v>0</v>
          </cell>
        </row>
        <row r="14">
          <cell r="D14">
            <v>0</v>
          </cell>
          <cell r="G14">
            <v>0</v>
          </cell>
          <cell r="M14">
            <v>0</v>
          </cell>
          <cell r="P14">
            <v>0</v>
          </cell>
        </row>
        <row r="15">
          <cell r="D15">
            <v>0</v>
          </cell>
          <cell r="G15">
            <v>0</v>
          </cell>
          <cell r="M15">
            <v>0</v>
          </cell>
          <cell r="P15">
            <v>0</v>
          </cell>
        </row>
        <row r="16">
          <cell r="D16">
            <v>0</v>
          </cell>
          <cell r="G16">
            <v>0</v>
          </cell>
          <cell r="M16">
            <v>0</v>
          </cell>
          <cell r="P16">
            <v>0</v>
          </cell>
        </row>
        <row r="17">
          <cell r="D17">
            <v>0</v>
          </cell>
          <cell r="G17">
            <v>0</v>
          </cell>
          <cell r="M17">
            <v>0</v>
          </cell>
          <cell r="P17">
            <v>0</v>
          </cell>
        </row>
        <row r="18">
          <cell r="D18">
            <v>0</v>
          </cell>
          <cell r="G18">
            <v>0</v>
          </cell>
          <cell r="M18">
            <v>0</v>
          </cell>
          <cell r="P18">
            <v>0</v>
          </cell>
        </row>
        <row r="20">
          <cell r="D20">
            <v>0</v>
          </cell>
          <cell r="G20">
            <v>0</v>
          </cell>
          <cell r="M20">
            <v>0</v>
          </cell>
          <cell r="P20">
            <v>0</v>
          </cell>
        </row>
        <row r="22">
          <cell r="D22">
            <v>27869</v>
          </cell>
          <cell r="G22">
            <v>209088</v>
          </cell>
          <cell r="M22">
            <v>0</v>
          </cell>
          <cell r="P22">
            <v>0</v>
          </cell>
        </row>
        <row r="23">
          <cell r="D23">
            <v>27869</v>
          </cell>
          <cell r="G23">
            <v>207546</v>
          </cell>
          <cell r="M23">
            <v>0</v>
          </cell>
          <cell r="P23">
            <v>0</v>
          </cell>
        </row>
        <row r="24">
          <cell r="D24">
            <v>0</v>
          </cell>
          <cell r="G24">
            <v>0</v>
          </cell>
          <cell r="M24">
            <v>0</v>
          </cell>
          <cell r="P24">
            <v>0</v>
          </cell>
        </row>
        <row r="25">
          <cell r="D25">
            <v>0</v>
          </cell>
          <cell r="G25">
            <v>0</v>
          </cell>
          <cell r="M25">
            <v>0</v>
          </cell>
          <cell r="P25">
            <v>0</v>
          </cell>
        </row>
        <row r="26">
          <cell r="D26">
            <v>41476</v>
          </cell>
          <cell r="G26">
            <v>257811</v>
          </cell>
          <cell r="M26">
            <v>0</v>
          </cell>
          <cell r="P26">
            <v>0</v>
          </cell>
        </row>
        <row r="27">
          <cell r="D27">
            <v>39106</v>
          </cell>
          <cell r="G27">
            <v>247831</v>
          </cell>
          <cell r="M27">
            <v>0</v>
          </cell>
          <cell r="P27">
            <v>0</v>
          </cell>
        </row>
        <row r="28">
          <cell r="D28">
            <v>0</v>
          </cell>
          <cell r="G28">
            <v>0</v>
          </cell>
          <cell r="M28">
            <v>0</v>
          </cell>
          <cell r="P28">
            <v>0</v>
          </cell>
        </row>
        <row r="29">
          <cell r="D29">
            <v>0</v>
          </cell>
          <cell r="G29">
            <v>0</v>
          </cell>
          <cell r="M29">
            <v>0</v>
          </cell>
          <cell r="P29">
            <v>0</v>
          </cell>
        </row>
        <row r="30">
          <cell r="D30">
            <v>14045</v>
          </cell>
          <cell r="G30">
            <v>98540</v>
          </cell>
          <cell r="M30">
            <v>0</v>
          </cell>
          <cell r="P30">
            <v>0</v>
          </cell>
        </row>
        <row r="31">
          <cell r="D31">
            <v>14045</v>
          </cell>
          <cell r="G31">
            <v>98540</v>
          </cell>
          <cell r="M31">
            <v>0</v>
          </cell>
          <cell r="P31">
            <v>0</v>
          </cell>
        </row>
        <row r="32">
          <cell r="D32">
            <v>0</v>
          </cell>
          <cell r="G32">
            <v>0</v>
          </cell>
          <cell r="M32">
            <v>0</v>
          </cell>
          <cell r="P32">
            <v>0</v>
          </cell>
        </row>
        <row r="33">
          <cell r="D33">
            <v>0</v>
          </cell>
          <cell r="G33">
            <v>0</v>
          </cell>
          <cell r="M33">
            <v>0</v>
          </cell>
          <cell r="P33">
            <v>0</v>
          </cell>
        </row>
        <row r="35">
          <cell r="D35">
            <v>15886</v>
          </cell>
          <cell r="G35">
            <v>101796</v>
          </cell>
          <cell r="M35">
            <v>0</v>
          </cell>
          <cell r="P35">
            <v>0</v>
          </cell>
        </row>
      </sheetData>
      <sheetData sheetId="5" refreshError="1">
        <row r="4">
          <cell r="B4">
            <v>0</v>
          </cell>
          <cell r="C4">
            <v>0</v>
          </cell>
          <cell r="L4">
            <v>0</v>
          </cell>
          <cell r="M4">
            <v>0</v>
          </cell>
        </row>
        <row r="7">
          <cell r="B7">
            <v>0</v>
          </cell>
          <cell r="C7">
            <v>0</v>
          </cell>
          <cell r="L7">
            <v>0</v>
          </cell>
          <cell r="M7">
            <v>0</v>
          </cell>
        </row>
        <row r="11">
          <cell r="B11">
            <v>88</v>
          </cell>
          <cell r="C11">
            <v>1702049</v>
          </cell>
          <cell r="L11">
            <v>496</v>
          </cell>
          <cell r="M11">
            <v>9812114</v>
          </cell>
        </row>
        <row r="13">
          <cell r="E13">
            <v>81823</v>
          </cell>
          <cell r="O13">
            <v>458700</v>
          </cell>
        </row>
        <row r="17">
          <cell r="C17">
            <v>60690</v>
          </cell>
          <cell r="E17">
            <v>-2363</v>
          </cell>
          <cell r="M17">
            <v>178026</v>
          </cell>
          <cell r="O17">
            <v>5887</v>
          </cell>
        </row>
        <row r="21">
          <cell r="B21">
            <v>0</v>
          </cell>
          <cell r="C21">
            <v>0</v>
          </cell>
          <cell r="E21">
            <v>0</v>
          </cell>
          <cell r="L21">
            <v>0</v>
          </cell>
          <cell r="M21">
            <v>0</v>
          </cell>
          <cell r="O21">
            <v>0</v>
          </cell>
        </row>
        <row r="22">
          <cell r="B22">
            <v>0</v>
          </cell>
          <cell r="C22">
            <v>0</v>
          </cell>
          <cell r="E22">
            <v>0</v>
          </cell>
          <cell r="L22">
            <v>0</v>
          </cell>
          <cell r="M22">
            <v>0</v>
          </cell>
          <cell r="O22">
            <v>0</v>
          </cell>
        </row>
        <row r="23">
          <cell r="B23">
            <v>0</v>
          </cell>
          <cell r="C23">
            <v>0</v>
          </cell>
          <cell r="E23">
            <v>0</v>
          </cell>
          <cell r="L23">
            <v>0</v>
          </cell>
          <cell r="M23">
            <v>0</v>
          </cell>
          <cell r="O23">
            <v>0</v>
          </cell>
        </row>
        <row r="24">
          <cell r="B24">
            <v>0</v>
          </cell>
          <cell r="C24">
            <v>0</v>
          </cell>
          <cell r="E24">
            <v>0</v>
          </cell>
          <cell r="L24">
            <v>0</v>
          </cell>
          <cell r="M24">
            <v>0</v>
          </cell>
          <cell r="O24">
            <v>0</v>
          </cell>
        </row>
        <row r="25">
          <cell r="B25">
            <v>0</v>
          </cell>
          <cell r="C25">
            <v>0</v>
          </cell>
          <cell r="E25">
            <v>0</v>
          </cell>
          <cell r="L25">
            <v>0</v>
          </cell>
          <cell r="M25">
            <v>0</v>
          </cell>
          <cell r="O25">
            <v>0</v>
          </cell>
        </row>
        <row r="26">
          <cell r="B26">
            <v>0</v>
          </cell>
          <cell r="C26">
            <v>0</v>
          </cell>
          <cell r="E26">
            <v>0</v>
          </cell>
          <cell r="L26">
            <v>0</v>
          </cell>
          <cell r="M26">
            <v>0</v>
          </cell>
          <cell r="O26">
            <v>0</v>
          </cell>
        </row>
        <row r="29">
          <cell r="B29">
            <v>0</v>
          </cell>
          <cell r="C29">
            <v>0</v>
          </cell>
          <cell r="E29">
            <v>0</v>
          </cell>
          <cell r="L29">
            <v>0</v>
          </cell>
          <cell r="M29">
            <v>0</v>
          </cell>
          <cell r="O29">
            <v>0</v>
          </cell>
        </row>
        <row r="30">
          <cell r="B30">
            <v>0</v>
          </cell>
          <cell r="C30">
            <v>0</v>
          </cell>
          <cell r="E30">
            <v>0</v>
          </cell>
          <cell r="L30">
            <v>0</v>
          </cell>
          <cell r="M30">
            <v>0</v>
          </cell>
          <cell r="O30">
            <v>0</v>
          </cell>
        </row>
        <row r="31">
          <cell r="B31">
            <v>0</v>
          </cell>
          <cell r="C31">
            <v>0</v>
          </cell>
          <cell r="E31">
            <v>0</v>
          </cell>
          <cell r="L31">
            <v>0</v>
          </cell>
          <cell r="M31">
            <v>0</v>
          </cell>
          <cell r="O31">
            <v>0</v>
          </cell>
        </row>
        <row r="32">
          <cell r="B32">
            <v>0</v>
          </cell>
          <cell r="C32">
            <v>0</v>
          </cell>
          <cell r="E32">
            <v>0</v>
          </cell>
          <cell r="L32">
            <v>0</v>
          </cell>
          <cell r="M32">
            <v>0</v>
          </cell>
          <cell r="O32">
            <v>0</v>
          </cell>
        </row>
        <row r="36">
          <cell r="C36">
            <v>0</v>
          </cell>
          <cell r="M36">
            <v>0</v>
          </cell>
        </row>
        <row r="37">
          <cell r="E37">
            <v>0</v>
          </cell>
          <cell r="O37">
            <v>0</v>
          </cell>
        </row>
        <row r="38">
          <cell r="C38">
            <v>0</v>
          </cell>
          <cell r="E38">
            <v>0</v>
          </cell>
          <cell r="M38">
            <v>0</v>
          </cell>
          <cell r="O38">
            <v>0</v>
          </cell>
        </row>
        <row r="40">
          <cell r="E40">
            <v>0</v>
          </cell>
          <cell r="O40">
            <v>0</v>
          </cell>
        </row>
        <row r="49">
          <cell r="C49">
            <v>0</v>
          </cell>
          <cell r="E49">
            <v>0</v>
          </cell>
          <cell r="M49">
            <v>0</v>
          </cell>
          <cell r="O49">
            <v>0</v>
          </cell>
        </row>
        <row r="50">
          <cell r="C50">
            <v>0</v>
          </cell>
          <cell r="E50">
            <v>0</v>
          </cell>
          <cell r="M50">
            <v>0</v>
          </cell>
          <cell r="O50">
            <v>0</v>
          </cell>
        </row>
        <row r="51">
          <cell r="C51">
            <v>0</v>
          </cell>
          <cell r="E51">
            <v>0</v>
          </cell>
          <cell r="M51">
            <v>0</v>
          </cell>
          <cell r="O51">
            <v>0</v>
          </cell>
        </row>
        <row r="52">
          <cell r="C52">
            <v>0</v>
          </cell>
          <cell r="E52">
            <v>0</v>
          </cell>
          <cell r="M52">
            <v>0</v>
          </cell>
          <cell r="O52">
            <v>0</v>
          </cell>
        </row>
        <row r="53">
          <cell r="C53">
            <v>0</v>
          </cell>
          <cell r="E53">
            <v>0</v>
          </cell>
          <cell r="M53">
            <v>0</v>
          </cell>
          <cell r="O53">
            <v>0</v>
          </cell>
        </row>
        <row r="54">
          <cell r="C54">
            <v>0</v>
          </cell>
          <cell r="E54">
            <v>0</v>
          </cell>
          <cell r="M54">
            <v>0</v>
          </cell>
          <cell r="O54">
            <v>0</v>
          </cell>
        </row>
        <row r="55">
          <cell r="B55">
            <v>0</v>
          </cell>
          <cell r="C55">
            <v>0</v>
          </cell>
          <cell r="E55">
            <v>0</v>
          </cell>
          <cell r="L55">
            <v>0</v>
          </cell>
          <cell r="M55">
            <v>0</v>
          </cell>
          <cell r="O55">
            <v>0</v>
          </cell>
        </row>
        <row r="56">
          <cell r="B56">
            <v>0</v>
          </cell>
          <cell r="C56">
            <v>0</v>
          </cell>
          <cell r="E56">
            <v>0</v>
          </cell>
          <cell r="L56">
            <v>0</v>
          </cell>
          <cell r="M56">
            <v>0</v>
          </cell>
          <cell r="O56">
            <v>0</v>
          </cell>
        </row>
        <row r="57">
          <cell r="C57">
            <v>0</v>
          </cell>
          <cell r="E57">
            <v>0</v>
          </cell>
          <cell r="M57">
            <v>0</v>
          </cell>
          <cell r="O57">
            <v>0</v>
          </cell>
        </row>
        <row r="60">
          <cell r="C60">
            <v>0</v>
          </cell>
          <cell r="E60">
            <v>0</v>
          </cell>
          <cell r="M60">
            <v>0</v>
          </cell>
          <cell r="O60">
            <v>0</v>
          </cell>
        </row>
        <row r="61">
          <cell r="C61">
            <v>0</v>
          </cell>
          <cell r="E61">
            <v>0</v>
          </cell>
        </row>
        <row r="62">
          <cell r="C62">
            <v>0</v>
          </cell>
          <cell r="E62">
            <v>0</v>
          </cell>
          <cell r="M62">
            <v>0</v>
          </cell>
          <cell r="O62">
            <v>0</v>
          </cell>
        </row>
        <row r="63">
          <cell r="C63">
            <v>0</v>
          </cell>
          <cell r="E63">
            <v>0</v>
          </cell>
          <cell r="M63">
            <v>0</v>
          </cell>
          <cell r="O63">
            <v>0</v>
          </cell>
        </row>
        <row r="64">
          <cell r="C64">
            <v>0</v>
          </cell>
          <cell r="E64">
            <v>0</v>
          </cell>
          <cell r="M64">
            <v>0</v>
          </cell>
          <cell r="O64">
            <v>0</v>
          </cell>
        </row>
        <row r="65">
          <cell r="B65">
            <v>0</v>
          </cell>
          <cell r="C65">
            <v>0</v>
          </cell>
          <cell r="E65">
            <v>0</v>
          </cell>
          <cell r="L65">
            <v>0</v>
          </cell>
          <cell r="M65">
            <v>0</v>
          </cell>
          <cell r="O65">
            <v>0</v>
          </cell>
        </row>
        <row r="66">
          <cell r="B66">
            <v>0</v>
          </cell>
          <cell r="C66">
            <v>0</v>
          </cell>
          <cell r="E66">
            <v>0</v>
          </cell>
          <cell r="L66">
            <v>0</v>
          </cell>
          <cell r="M66">
            <v>0</v>
          </cell>
          <cell r="O66">
            <v>0</v>
          </cell>
        </row>
        <row r="69">
          <cell r="C69">
            <v>0</v>
          </cell>
          <cell r="M69">
            <v>0</v>
          </cell>
        </row>
        <row r="70">
          <cell r="E70">
            <v>0</v>
          </cell>
          <cell r="O70">
            <v>0</v>
          </cell>
        </row>
        <row r="71">
          <cell r="C71">
            <v>0</v>
          </cell>
          <cell r="E71">
            <v>0</v>
          </cell>
          <cell r="M71">
            <v>0</v>
          </cell>
          <cell r="O71">
            <v>0</v>
          </cell>
        </row>
        <row r="72">
          <cell r="E72">
            <v>0</v>
          </cell>
          <cell r="O72">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PAGE 3"/>
      <sheetName val="Page 4"/>
      <sheetName val="Page 5"/>
      <sheetName val="Page 6"/>
      <sheetName val="Detail"/>
      <sheetName val="Manf COA"/>
      <sheetName val="Cross Ref"/>
      <sheetName val="WFPFFWTOT"/>
      <sheetName val="FFPXREFDTA"/>
      <sheetName val="FFPENVIOR"/>
      <sheetName val="Const"/>
      <sheetName val="Language"/>
      <sheetName val="Factory Accounts "/>
      <sheetName val="Change Log"/>
    </sheetNames>
    <sheetDataSet>
      <sheetData sheetId="0" refreshError="1"/>
      <sheetData sheetId="1" refreshError="1">
        <row r="1">
          <cell r="B1"/>
          <cell r="C1"/>
          <cell r="D1"/>
          <cell r="E1"/>
          <cell r="F1"/>
          <cell r="G1">
            <v>2016</v>
          </cell>
          <cell r="H1" t="str">
            <v>TOTAL INCOME AND EXPENSE</v>
          </cell>
          <cell r="I1"/>
          <cell r="J1"/>
          <cell r="K1"/>
          <cell r="L1"/>
          <cell r="M1"/>
          <cell r="N1"/>
          <cell r="O1"/>
          <cell r="P1"/>
          <cell r="Q1"/>
          <cell r="R1" t="str">
            <v>Page 2</v>
          </cell>
          <cell r="S1"/>
        </row>
        <row r="2">
          <cell r="B2" t="str">
            <v>NAME OF ACCOUNT</v>
          </cell>
          <cell r="C2"/>
          <cell r="D2" t="str">
            <v>ACCT.</v>
          </cell>
          <cell r="E2" t="str">
            <v>TOTAL DEALERSHIP</v>
          </cell>
          <cell r="F2"/>
          <cell r="G2"/>
          <cell r="H2"/>
          <cell r="I2"/>
          <cell r="J2"/>
          <cell r="K2" t="str">
            <v>(1) NEW VEHICLE DEPARTMENT</v>
          </cell>
          <cell r="L2"/>
          <cell r="M2"/>
          <cell r="N2"/>
          <cell r="O2" t="str">
            <v>(2) USED VEHICLE DEPARTMENT</v>
          </cell>
          <cell r="P2"/>
          <cell r="Q2"/>
          <cell r="R2"/>
          <cell r="S2" t="str">
            <v>Line No.</v>
          </cell>
        </row>
        <row r="3">
          <cell r="B3"/>
          <cell r="C3"/>
          <cell r="D3" t="str">
            <v>NO.</v>
          </cell>
          <cell r="E3" t="str">
            <v>MONTH</v>
          </cell>
          <cell r="F3"/>
          <cell r="G3" t="str">
            <v>G.P. % SALES</v>
          </cell>
          <cell r="H3" t="str">
            <v>YEAR TO DATE</v>
          </cell>
          <cell r="I3"/>
          <cell r="J3" t="str">
            <v>G.P. % SALES</v>
          </cell>
          <cell r="K3" t="str">
            <v>MONTH</v>
          </cell>
          <cell r="L3"/>
          <cell r="M3" t="str">
            <v>YEAR TO DATE</v>
          </cell>
          <cell r="N3"/>
          <cell r="O3" t="str">
            <v>MONTH</v>
          </cell>
          <cell r="P3"/>
          <cell r="Q3" t="str">
            <v>YEAR TO DATE</v>
          </cell>
          <cell r="R3"/>
          <cell r="S3"/>
        </row>
        <row r="4">
          <cell r="B4" t="str">
            <v>TOTAL SALES</v>
          </cell>
          <cell r="C4"/>
          <cell r="D4"/>
          <cell r="E4">
            <v>2846820</v>
          </cell>
          <cell r="F4"/>
          <cell r="G4"/>
          <cell r="H4">
            <v>11866954</v>
          </cell>
          <cell r="I4"/>
          <cell r="J4"/>
          <cell r="K4">
            <v>1727684</v>
          </cell>
          <cell r="L4"/>
          <cell r="M4">
            <v>7030685</v>
          </cell>
          <cell r="N4"/>
          <cell r="O4">
            <v>868472</v>
          </cell>
          <cell r="P4"/>
          <cell r="Q4">
            <v>3801882</v>
          </cell>
          <cell r="R4"/>
          <cell r="S4">
            <v>1</v>
          </cell>
        </row>
        <row r="5">
          <cell r="B5" t="str">
            <v>TOTAL GROSS PROFIT</v>
          </cell>
          <cell r="C5"/>
          <cell r="D5"/>
          <cell r="E5">
            <v>339580</v>
          </cell>
          <cell r="F5"/>
          <cell r="G5">
            <v>0.11928397299442887</v>
          </cell>
          <cell r="H5">
            <v>1487199</v>
          </cell>
          <cell r="I5"/>
          <cell r="J5">
            <v>0.12532272392730265</v>
          </cell>
          <cell r="K5">
            <v>120509</v>
          </cell>
          <cell r="L5"/>
          <cell r="M5">
            <v>549859</v>
          </cell>
          <cell r="N5"/>
          <cell r="O5">
            <v>82320</v>
          </cell>
          <cell r="P5"/>
          <cell r="Q5">
            <v>389128</v>
          </cell>
          <cell r="R5"/>
          <cell r="S5">
            <v>2</v>
          </cell>
        </row>
        <row r="6">
          <cell r="B6" t="str">
            <v>DEPARTMENTAL EXPENSES</v>
          </cell>
          <cell r="C6"/>
          <cell r="D6"/>
          <cell r="E6"/>
          <cell r="F6"/>
          <cell r="G6" t="str">
            <v>% G.P.</v>
          </cell>
          <cell r="H6"/>
          <cell r="I6"/>
          <cell r="J6" t="str">
            <v>% G.P.</v>
          </cell>
          <cell r="K6"/>
          <cell r="L6"/>
          <cell r="M6"/>
          <cell r="N6"/>
          <cell r="O6"/>
          <cell r="P6"/>
          <cell r="Q6"/>
          <cell r="R6"/>
          <cell r="S6">
            <v>3</v>
          </cell>
        </row>
        <row r="7">
          <cell r="B7" t="str">
            <v>Sales Compensation</v>
          </cell>
          <cell r="C7"/>
          <cell r="D7">
            <v>7000</v>
          </cell>
          <cell r="E7">
            <v>21320</v>
          </cell>
          <cell r="F7"/>
          <cell r="G7">
            <v>6.2783438365039163E-2</v>
          </cell>
          <cell r="H7">
            <v>218787</v>
          </cell>
          <cell r="I7"/>
          <cell r="J7">
            <v>0.14711346632158845</v>
          </cell>
          <cell r="K7">
            <v>6641</v>
          </cell>
          <cell r="L7"/>
          <cell r="M7">
            <v>87920</v>
          </cell>
          <cell r="N7"/>
          <cell r="O7">
            <v>2594</v>
          </cell>
          <cell r="P7"/>
          <cell r="Q7">
            <v>71681</v>
          </cell>
          <cell r="R7"/>
          <cell r="S7">
            <v>4</v>
          </cell>
        </row>
        <row r="8">
          <cell r="B8" t="str">
            <v>Sales Compensation - Scion only</v>
          </cell>
          <cell r="C8"/>
          <cell r="D8">
            <v>7006</v>
          </cell>
          <cell r="E8">
            <v>0</v>
          </cell>
          <cell r="F8"/>
          <cell r="G8" t="str">
            <v>-</v>
          </cell>
          <cell r="H8">
            <v>0</v>
          </cell>
          <cell r="I8"/>
          <cell r="J8" t="str">
            <v>-</v>
          </cell>
          <cell r="K8">
            <v>0</v>
          </cell>
          <cell r="L8"/>
          <cell r="M8">
            <v>0</v>
          </cell>
          <cell r="N8"/>
          <cell r="O8">
            <v>0</v>
          </cell>
          <cell r="P8"/>
          <cell r="Q8">
            <v>0</v>
          </cell>
          <cell r="R8"/>
          <cell r="S8">
            <v>5</v>
          </cell>
        </row>
        <row r="9">
          <cell r="B9" t="str">
            <v>Supervision Compensation</v>
          </cell>
          <cell r="C9"/>
          <cell r="D9">
            <v>7010</v>
          </cell>
          <cell r="E9">
            <v>71604</v>
          </cell>
          <cell r="F9"/>
          <cell r="G9">
            <v>0.21086047470404617</v>
          </cell>
          <cell r="H9">
            <v>198530</v>
          </cell>
          <cell r="I9"/>
          <cell r="J9">
            <v>0.13349255883039191</v>
          </cell>
          <cell r="K9">
            <v>36142</v>
          </cell>
          <cell r="L9"/>
          <cell r="M9">
            <v>96192</v>
          </cell>
          <cell r="N9"/>
          <cell r="O9">
            <v>22958</v>
          </cell>
          <cell r="P9"/>
          <cell r="Q9">
            <v>58063</v>
          </cell>
          <cell r="R9"/>
          <cell r="S9">
            <v>6</v>
          </cell>
        </row>
        <row r="10">
          <cell r="B10" t="str">
            <v>Supervision Compensation - Scion only</v>
          </cell>
          <cell r="C10"/>
          <cell r="D10">
            <v>7016</v>
          </cell>
          <cell r="E10">
            <v>0</v>
          </cell>
          <cell r="F10"/>
          <cell r="G10" t="str">
            <v>-</v>
          </cell>
          <cell r="H10">
            <v>0</v>
          </cell>
          <cell r="I10"/>
          <cell r="J10" t="str">
            <v>-</v>
          </cell>
          <cell r="K10">
            <v>0</v>
          </cell>
          <cell r="L10"/>
          <cell r="M10">
            <v>0</v>
          </cell>
          <cell r="N10"/>
          <cell r="O10">
            <v>0</v>
          </cell>
          <cell r="P10"/>
          <cell r="Q10">
            <v>0</v>
          </cell>
          <cell r="R10"/>
          <cell r="S10">
            <v>7</v>
          </cell>
        </row>
        <row r="11">
          <cell r="B11" t="str">
            <v>Delivery Expenses</v>
          </cell>
          <cell r="C11"/>
          <cell r="D11">
            <v>7020</v>
          </cell>
          <cell r="E11">
            <v>-1792</v>
          </cell>
          <cell r="F11"/>
          <cell r="G11">
            <v>-5.277107014547382E-3</v>
          </cell>
          <cell r="H11">
            <v>-6250</v>
          </cell>
          <cell r="I11"/>
          <cell r="J11">
            <v>-4.2025310667906579E-3</v>
          </cell>
          <cell r="K11">
            <v>-442</v>
          </cell>
          <cell r="L11"/>
          <cell r="M11">
            <v>-4529</v>
          </cell>
          <cell r="N11"/>
          <cell r="O11">
            <v>-1350</v>
          </cell>
          <cell r="P11"/>
          <cell r="Q11">
            <v>-1721</v>
          </cell>
          <cell r="R11"/>
          <cell r="S11">
            <v>8</v>
          </cell>
        </row>
        <row r="12">
          <cell r="B12" t="str">
            <v>Finance, Ins., &amp; Svc. Ctr. Commissions</v>
          </cell>
          <cell r="C12"/>
          <cell r="D12">
            <v>7030</v>
          </cell>
          <cell r="E12">
            <v>19528</v>
          </cell>
          <cell r="F12"/>
          <cell r="G12">
            <v>5.7506331350491782E-2</v>
          </cell>
          <cell r="H12">
            <v>89422</v>
          </cell>
          <cell r="I12"/>
          <cell r="J12">
            <v>6.0127797288728677E-2</v>
          </cell>
          <cell r="K12">
            <v>9764</v>
          </cell>
          <cell r="L12"/>
          <cell r="M12">
            <v>45711</v>
          </cell>
          <cell r="N12"/>
          <cell r="O12">
            <v>9764</v>
          </cell>
          <cell r="P12"/>
          <cell r="Q12">
            <v>43711</v>
          </cell>
          <cell r="R12"/>
          <cell r="S12">
            <v>9</v>
          </cell>
        </row>
        <row r="13">
          <cell r="B13" t="str">
            <v>Finc, Ins., &amp; Svc.Ctr.Com. - Scion only</v>
          </cell>
          <cell r="C13"/>
          <cell r="D13">
            <v>7036</v>
          </cell>
          <cell r="E13">
            <v>0</v>
          </cell>
          <cell r="F13"/>
          <cell r="G13" t="str">
            <v>-</v>
          </cell>
          <cell r="H13">
            <v>0</v>
          </cell>
          <cell r="I13"/>
          <cell r="J13" t="str">
            <v>-</v>
          </cell>
          <cell r="K13">
            <v>0</v>
          </cell>
          <cell r="L13"/>
          <cell r="M13">
            <v>0</v>
          </cell>
          <cell r="N13"/>
          <cell r="O13">
            <v>0</v>
          </cell>
          <cell r="P13"/>
          <cell r="Q13">
            <v>0</v>
          </cell>
          <cell r="R13"/>
          <cell r="S13">
            <v>10</v>
          </cell>
        </row>
        <row r="14">
          <cell r="B14" t="str">
            <v>Advertising - Departmental</v>
          </cell>
          <cell r="C14"/>
          <cell r="D14">
            <v>7040</v>
          </cell>
          <cell r="E14">
            <v>25919</v>
          </cell>
          <cell r="F14"/>
          <cell r="G14">
            <v>7.6326638789092405E-2</v>
          </cell>
          <cell r="H14">
            <v>165257</v>
          </cell>
          <cell r="I14"/>
          <cell r="J14">
            <v>0.1111196282407398</v>
          </cell>
          <cell r="K14">
            <v>21507</v>
          </cell>
          <cell r="L14"/>
          <cell r="M14">
            <v>134666</v>
          </cell>
          <cell r="N14"/>
          <cell r="O14">
            <v>1791</v>
          </cell>
          <cell r="P14"/>
          <cell r="Q14">
            <v>23714</v>
          </cell>
          <cell r="R14"/>
          <cell r="S14">
            <v>11</v>
          </cell>
        </row>
        <row r="15">
          <cell r="B15" t="str">
            <v>Interest - Floor Plan</v>
          </cell>
          <cell r="C15"/>
          <cell r="D15">
            <v>7050</v>
          </cell>
          <cell r="E15">
            <v>-7772</v>
          </cell>
          <cell r="F15"/>
          <cell r="G15">
            <v>-2.2887095824253488E-2</v>
          </cell>
          <cell r="H15">
            <v>-34076</v>
          </cell>
          <cell r="I15"/>
          <cell r="J15">
            <v>-2.2912871781113356E-2</v>
          </cell>
          <cell r="K15">
            <v>-5665</v>
          </cell>
          <cell r="L15"/>
          <cell r="M15">
            <v>-34076</v>
          </cell>
          <cell r="N15"/>
          <cell r="O15">
            <v>-2107</v>
          </cell>
          <cell r="P15"/>
          <cell r="Q15">
            <v>0</v>
          </cell>
          <cell r="R15"/>
          <cell r="S15">
            <v>12</v>
          </cell>
        </row>
        <row r="16">
          <cell r="B16" t="str">
            <v>TOTAL SELLING EXPENSES</v>
          </cell>
          <cell r="C16" t="str">
            <v xml:space="preserve">LINES 4-12 </v>
          </cell>
          <cell r="D16"/>
          <cell r="E16">
            <v>128807</v>
          </cell>
          <cell r="F16"/>
          <cell r="G16">
            <v>0.37931268036986865</v>
          </cell>
          <cell r="H16">
            <v>631670</v>
          </cell>
          <cell r="I16"/>
          <cell r="J16">
            <v>0.4247380478335448</v>
          </cell>
          <cell r="K16">
            <v>67947</v>
          </cell>
          <cell r="L16"/>
          <cell r="M16">
            <v>325884</v>
          </cell>
          <cell r="N16"/>
          <cell r="O16">
            <v>33650</v>
          </cell>
          <cell r="P16"/>
          <cell r="Q16">
            <v>195448</v>
          </cell>
          <cell r="R16"/>
          <cell r="S16">
            <v>13</v>
          </cell>
        </row>
        <row r="17">
          <cell r="B17" t="str">
            <v xml:space="preserve">Policy &amp; Claims Adjustments  </v>
          </cell>
          <cell r="C17"/>
          <cell r="D17" t="str">
            <v>7110/7120</v>
          </cell>
          <cell r="E17">
            <v>3118</v>
          </cell>
          <cell r="F17"/>
          <cell r="G17">
            <v>9.181930620177867E-3</v>
          </cell>
          <cell r="H17">
            <v>6756</v>
          </cell>
          <cell r="I17"/>
          <cell r="J17">
            <v>4.5427679819580302E-3</v>
          </cell>
          <cell r="K17">
            <v>210</v>
          </cell>
          <cell r="L17"/>
          <cell r="M17">
            <v>1368</v>
          </cell>
          <cell r="N17"/>
          <cell r="O17">
            <v>1529</v>
          </cell>
          <cell r="P17"/>
          <cell r="Q17">
            <v>2308</v>
          </cell>
          <cell r="R17"/>
          <cell r="S17">
            <v>14</v>
          </cell>
        </row>
        <row r="18">
          <cell r="B18" t="str">
            <v>Demos &amp; Company Vehicles - Dept'l</v>
          </cell>
          <cell r="C18"/>
          <cell r="D18">
            <v>7140</v>
          </cell>
          <cell r="E18">
            <v>20212</v>
          </cell>
          <cell r="F18"/>
          <cell r="G18">
            <v>5.9520584251133754E-2</v>
          </cell>
          <cell r="H18">
            <v>33865</v>
          </cell>
          <cell r="I18"/>
          <cell r="J18">
            <v>2.27709943322985E-2</v>
          </cell>
          <cell r="K18">
            <v>11359</v>
          </cell>
          <cell r="L18"/>
          <cell r="M18">
            <v>17240</v>
          </cell>
          <cell r="N18"/>
          <cell r="O18">
            <v>8823</v>
          </cell>
          <cell r="P18"/>
          <cell r="Q18">
            <v>14583</v>
          </cell>
          <cell r="R18"/>
          <cell r="S18">
            <v>15</v>
          </cell>
        </row>
        <row r="19">
          <cell r="B19" t="str">
            <v>Inventory Maintenance</v>
          </cell>
          <cell r="C19"/>
          <cell r="D19">
            <v>7150</v>
          </cell>
          <cell r="E19">
            <v>0</v>
          </cell>
          <cell r="F19"/>
          <cell r="G19" t="str">
            <v>-</v>
          </cell>
          <cell r="H19">
            <v>0</v>
          </cell>
          <cell r="I19"/>
          <cell r="J19" t="str">
            <v>-</v>
          </cell>
          <cell r="K19">
            <v>0</v>
          </cell>
          <cell r="L19"/>
          <cell r="M19">
            <v>0</v>
          </cell>
          <cell r="N19"/>
          <cell r="O19">
            <v>0</v>
          </cell>
          <cell r="P19"/>
          <cell r="Q19">
            <v>0</v>
          </cell>
          <cell r="R19"/>
          <cell r="S19">
            <v>16</v>
          </cell>
        </row>
        <row r="20">
          <cell r="B20" t="str">
            <v>Personnel Training</v>
          </cell>
          <cell r="C20"/>
          <cell r="D20">
            <v>7160</v>
          </cell>
          <cell r="E20">
            <v>2961</v>
          </cell>
          <cell r="F20"/>
          <cell r="G20">
            <v>8.7195947935685258E-3</v>
          </cell>
          <cell r="H20">
            <v>6671</v>
          </cell>
          <cell r="I20"/>
          <cell r="J20">
            <v>4.485613559449677E-3</v>
          </cell>
          <cell r="K20">
            <v>874</v>
          </cell>
          <cell r="L20"/>
          <cell r="M20">
            <v>1750</v>
          </cell>
          <cell r="N20"/>
          <cell r="O20">
            <v>375</v>
          </cell>
          <cell r="P20"/>
          <cell r="Q20">
            <v>750</v>
          </cell>
          <cell r="R20"/>
          <cell r="S20">
            <v>17</v>
          </cell>
        </row>
        <row r="21">
          <cell r="B21" t="str">
            <v>Outside Services - Departmental</v>
          </cell>
          <cell r="C21"/>
          <cell r="D21">
            <v>7170</v>
          </cell>
          <cell r="E21">
            <v>7257</v>
          </cell>
          <cell r="F21"/>
          <cell r="G21">
            <v>2.1370516520407563E-2</v>
          </cell>
          <cell r="H21">
            <v>47547</v>
          </cell>
          <cell r="I21"/>
          <cell r="J21">
            <v>3.1970839141231271E-2</v>
          </cell>
          <cell r="K21">
            <v>2779</v>
          </cell>
          <cell r="L21"/>
          <cell r="M21">
            <v>14542</v>
          </cell>
          <cell r="N21"/>
          <cell r="O21">
            <v>3826</v>
          </cell>
          <cell r="P21"/>
          <cell r="Q21">
            <v>11515</v>
          </cell>
          <cell r="R21"/>
          <cell r="S21">
            <v>18</v>
          </cell>
        </row>
        <row r="22">
          <cell r="B22" t="str">
            <v>Freight</v>
          </cell>
          <cell r="C22"/>
          <cell r="D22">
            <v>7180</v>
          </cell>
          <cell r="E22">
            <v>255</v>
          </cell>
          <cell r="F22"/>
          <cell r="G22">
            <v>7.5092761646740086E-4</v>
          </cell>
          <cell r="H22">
            <v>831</v>
          </cell>
          <cell r="I22"/>
          <cell r="J22">
            <v>5.5876853064048594E-4</v>
          </cell>
          <cell r="K22"/>
          <cell r="L22"/>
          <cell r="M22"/>
          <cell r="N22"/>
          <cell r="O22"/>
          <cell r="P22"/>
          <cell r="Q22"/>
          <cell r="R22"/>
          <cell r="S22">
            <v>19</v>
          </cell>
        </row>
        <row r="23">
          <cell r="B23" t="str">
            <v>Supplies &amp; Small Tools</v>
          </cell>
          <cell r="C23"/>
          <cell r="D23">
            <v>7190</v>
          </cell>
          <cell r="E23">
            <v>1238</v>
          </cell>
          <cell r="F23"/>
          <cell r="G23">
            <v>3.6456799575946756E-3</v>
          </cell>
          <cell r="H23">
            <v>9290</v>
          </cell>
          <cell r="I23"/>
          <cell r="J23">
            <v>6.2466421776776341E-3</v>
          </cell>
          <cell r="K23">
            <v>869</v>
          </cell>
          <cell r="L23"/>
          <cell r="M23">
            <v>9292</v>
          </cell>
          <cell r="N23"/>
          <cell r="O23">
            <v>705</v>
          </cell>
          <cell r="P23"/>
          <cell r="Q23">
            <v>6909</v>
          </cell>
          <cell r="R23"/>
          <cell r="S23">
            <v>20</v>
          </cell>
        </row>
        <row r="24">
          <cell r="B24" t="str">
            <v>Laundry &amp; Uniforms</v>
          </cell>
          <cell r="C24"/>
          <cell r="D24">
            <v>7200</v>
          </cell>
          <cell r="E24">
            <v>285</v>
          </cell>
          <cell r="F24"/>
          <cell r="G24">
            <v>8.3927204193415391E-4</v>
          </cell>
          <cell r="H24">
            <v>4004</v>
          </cell>
          <cell r="I24"/>
          <cell r="J24">
            <v>2.6923095026287671E-3</v>
          </cell>
          <cell r="K24">
            <v>-73</v>
          </cell>
          <cell r="L24"/>
          <cell r="M24">
            <v>1136</v>
          </cell>
          <cell r="N24"/>
          <cell r="O24">
            <v>-92</v>
          </cell>
          <cell r="P24"/>
          <cell r="Q24">
            <v>1049</v>
          </cell>
          <cell r="R24"/>
          <cell r="S24">
            <v>21</v>
          </cell>
        </row>
        <row r="25">
          <cell r="B25" t="str">
            <v>Depr. - Equip. &amp; Vehicles - Dept'l.</v>
          </cell>
          <cell r="C25"/>
          <cell r="D25">
            <v>7210</v>
          </cell>
          <cell r="E25">
            <v>0</v>
          </cell>
          <cell r="F25"/>
          <cell r="G25" t="str">
            <v>-</v>
          </cell>
          <cell r="H25">
            <v>3750</v>
          </cell>
          <cell r="I25"/>
          <cell r="J25">
            <v>2.5215186400743949E-3</v>
          </cell>
          <cell r="K25">
            <v>0</v>
          </cell>
          <cell r="L25"/>
          <cell r="M25">
            <v>0</v>
          </cell>
          <cell r="N25"/>
          <cell r="O25">
            <v>0</v>
          </cell>
          <cell r="P25"/>
          <cell r="Q25">
            <v>0</v>
          </cell>
          <cell r="R25"/>
          <cell r="S25">
            <v>22</v>
          </cell>
        </row>
        <row r="26">
          <cell r="B26" t="str">
            <v>Equip. - Maint., Repair &amp; Rental - Dept'l.</v>
          </cell>
          <cell r="C26"/>
          <cell r="D26">
            <v>7220</v>
          </cell>
          <cell r="E26">
            <v>1905</v>
          </cell>
          <cell r="F26"/>
          <cell r="G26">
            <v>5.6098710171388188E-3</v>
          </cell>
          <cell r="H26">
            <v>3039</v>
          </cell>
          <cell r="I26"/>
          <cell r="J26">
            <v>2.0434387059162897E-3</v>
          </cell>
          <cell r="K26">
            <v>1311</v>
          </cell>
          <cell r="L26"/>
          <cell r="M26">
            <v>2445</v>
          </cell>
          <cell r="N26"/>
          <cell r="O26">
            <v>137</v>
          </cell>
          <cell r="P26"/>
          <cell r="Q26">
            <v>137</v>
          </cell>
          <cell r="R26"/>
          <cell r="S26">
            <v>23</v>
          </cell>
        </row>
        <row r="27">
          <cell r="B27" t="str">
            <v>Miscellaneous Expenses</v>
          </cell>
          <cell r="C27"/>
          <cell r="D27">
            <v>7230</v>
          </cell>
          <cell r="E27">
            <v>0</v>
          </cell>
          <cell r="F27"/>
          <cell r="G27" t="str">
            <v>-</v>
          </cell>
          <cell r="H27">
            <v>191</v>
          </cell>
          <cell r="I27"/>
          <cell r="J27">
            <v>1.2842934940112251E-4</v>
          </cell>
          <cell r="K27">
            <v>0</v>
          </cell>
          <cell r="L27"/>
          <cell r="M27">
            <v>145</v>
          </cell>
          <cell r="N27"/>
          <cell r="O27">
            <v>0</v>
          </cell>
          <cell r="P27"/>
          <cell r="Q27">
            <v>4</v>
          </cell>
          <cell r="R27"/>
          <cell r="S27">
            <v>24</v>
          </cell>
        </row>
        <row r="28">
          <cell r="B28" t="str">
            <v>Salaries &amp; Wages</v>
          </cell>
          <cell r="C28"/>
          <cell r="D28" t="str">
            <v>7250</v>
          </cell>
          <cell r="E28">
            <v>28672</v>
          </cell>
          <cell r="F28"/>
          <cell r="G28">
            <v>8.4433712232758112E-2</v>
          </cell>
          <cell r="H28">
            <v>84902</v>
          </cell>
          <cell r="I28"/>
          <cell r="J28">
            <v>5.7088526821225671E-2</v>
          </cell>
          <cell r="K28">
            <v>5992</v>
          </cell>
          <cell r="L28"/>
          <cell r="M28">
            <v>18601</v>
          </cell>
          <cell r="N28"/>
          <cell r="O28">
            <v>4982</v>
          </cell>
          <cell r="P28"/>
          <cell r="Q28">
            <v>12416</v>
          </cell>
          <cell r="R28"/>
          <cell r="S28">
            <v>25</v>
          </cell>
        </row>
        <row r="29">
          <cell r="B29" t="str">
            <v>Clerical Salaries</v>
          </cell>
          <cell r="C29"/>
          <cell r="D29" t="str">
            <v>7260</v>
          </cell>
          <cell r="E29">
            <v>8248</v>
          </cell>
          <cell r="F29"/>
          <cell r="G29">
            <v>2.4288827374992637E-2</v>
          </cell>
          <cell r="H29">
            <v>22260</v>
          </cell>
          <cell r="I29"/>
          <cell r="J29">
            <v>1.4967734647481608E-2</v>
          </cell>
          <cell r="K29">
            <v>4109</v>
          </cell>
          <cell r="L29"/>
          <cell r="M29">
            <v>13745</v>
          </cell>
          <cell r="N29"/>
          <cell r="O29">
            <v>0</v>
          </cell>
          <cell r="P29"/>
          <cell r="Q29">
            <v>0</v>
          </cell>
          <cell r="R29"/>
          <cell r="S29">
            <v>26</v>
          </cell>
        </row>
        <row r="30">
          <cell r="B30" t="str">
            <v>Vacation &amp; Time Off Pay</v>
          </cell>
          <cell r="C30"/>
          <cell r="D30">
            <v>7270</v>
          </cell>
          <cell r="E30">
            <v>5549</v>
          </cell>
          <cell r="F30"/>
          <cell r="G30">
            <v>1.634077389716709E-2</v>
          </cell>
          <cell r="H30">
            <v>7706</v>
          </cell>
          <cell r="I30"/>
          <cell r="J30">
            <v>5.1815527041102101E-3</v>
          </cell>
          <cell r="K30">
            <v>1348</v>
          </cell>
          <cell r="L30"/>
          <cell r="M30">
            <v>1749</v>
          </cell>
          <cell r="N30"/>
          <cell r="O30">
            <v>656</v>
          </cell>
          <cell r="P30"/>
          <cell r="Q30">
            <v>843</v>
          </cell>
          <cell r="R30"/>
          <cell r="S30">
            <v>27</v>
          </cell>
        </row>
        <row r="31">
          <cell r="B31" t="str">
            <v>TOTAL OPERATING EXPENSES</v>
          </cell>
          <cell r="C31" t="str">
            <v xml:space="preserve">LINES 14-27 </v>
          </cell>
          <cell r="D31"/>
          <cell r="E31">
            <v>79700</v>
          </cell>
          <cell r="F31"/>
          <cell r="G31">
            <v>0.23470169032334059</v>
          </cell>
          <cell r="H31">
            <v>230812</v>
          </cell>
          <cell r="I31"/>
          <cell r="J31">
            <v>0.15519913609409366</v>
          </cell>
          <cell r="K31">
            <v>28778</v>
          </cell>
          <cell r="L31"/>
          <cell r="M31">
            <v>82013</v>
          </cell>
          <cell r="N31"/>
          <cell r="O31">
            <v>20941</v>
          </cell>
          <cell r="P31"/>
          <cell r="Q31">
            <v>50514</v>
          </cell>
          <cell r="R31"/>
          <cell r="S31">
            <v>28</v>
          </cell>
        </row>
        <row r="32">
          <cell r="B32" t="str">
            <v>TOTAL SELLING &amp; OPER. EXPS.</v>
          </cell>
          <cell r="C32" t="str">
            <v>LINES 13 &amp; 28</v>
          </cell>
          <cell r="D32"/>
          <cell r="E32">
            <v>208507</v>
          </cell>
          <cell r="F32"/>
          <cell r="G32"/>
          <cell r="H32">
            <v>862482</v>
          </cell>
          <cell r="I32"/>
          <cell r="J32"/>
          <cell r="K32">
            <v>96725</v>
          </cell>
          <cell r="L32"/>
          <cell r="M32">
            <v>407897</v>
          </cell>
          <cell r="N32"/>
          <cell r="O32">
            <v>54591</v>
          </cell>
          <cell r="P32"/>
          <cell r="Q32">
            <v>245962</v>
          </cell>
          <cell r="R32"/>
          <cell r="S32">
            <v>29</v>
          </cell>
        </row>
        <row r="33">
          <cell r="B33" t="str">
            <v>TTL. SELL. &amp; OPER. EXPS % OF GROSS PROFIT</v>
          </cell>
          <cell r="C33"/>
          <cell r="D33"/>
          <cell r="E33"/>
          <cell r="F33"/>
          <cell r="G33">
            <v>0.6140143706932093</v>
          </cell>
          <cell r="H33"/>
          <cell r="I33"/>
          <cell r="J33">
            <v>0.57993718392763849</v>
          </cell>
          <cell r="K33"/>
          <cell r="L33">
            <v>0.80263714743297176</v>
          </cell>
          <cell r="M33"/>
          <cell r="N33">
            <v>0.74182108504180166</v>
          </cell>
          <cell r="O33"/>
          <cell r="P33">
            <v>0.66315597667638482</v>
          </cell>
          <cell r="Q33"/>
          <cell r="R33">
            <v>0.63208507226413935</v>
          </cell>
          <cell r="S33">
            <v>30</v>
          </cell>
        </row>
        <row r="34">
          <cell r="B34" t="str">
            <v>DEPT'L. PROFIT (LOSS)</v>
          </cell>
          <cell r="C34" t="str">
            <v>LN 2 LESS LN 29</v>
          </cell>
          <cell r="D34"/>
          <cell r="E34">
            <v>131073</v>
          </cell>
          <cell r="F34"/>
          <cell r="G34">
            <v>0.38598562930679076</v>
          </cell>
          <cell r="H34">
            <v>624717</v>
          </cell>
          <cell r="I34"/>
          <cell r="J34">
            <v>0.42006281607236151</v>
          </cell>
          <cell r="K34">
            <v>23784</v>
          </cell>
          <cell r="L34"/>
          <cell r="M34">
            <v>141962</v>
          </cell>
          <cell r="N34"/>
          <cell r="O34">
            <v>27729</v>
          </cell>
          <cell r="P34"/>
          <cell r="Q34">
            <v>143166</v>
          </cell>
          <cell r="R34"/>
          <cell r="S34">
            <v>31</v>
          </cell>
        </row>
        <row r="35">
          <cell r="B35" t="str">
            <v>Rent &amp; Equivalent</v>
          </cell>
          <cell r="C35"/>
          <cell r="D35">
            <v>7400</v>
          </cell>
          <cell r="E35">
            <v>30000</v>
          </cell>
          <cell r="F35"/>
          <cell r="G35">
            <v>8.8344425466753043E-2</v>
          </cell>
          <cell r="H35">
            <v>119973</v>
          </cell>
          <cell r="I35"/>
          <cell r="J35">
            <v>8.06704415481721E-2</v>
          </cell>
          <cell r="K35">
            <v>10500</v>
          </cell>
          <cell r="L35"/>
          <cell r="M35">
            <v>41990</v>
          </cell>
          <cell r="N35"/>
          <cell r="O35">
            <v>4500</v>
          </cell>
          <cell r="P35"/>
          <cell r="Q35">
            <v>17996</v>
          </cell>
          <cell r="R35"/>
          <cell r="S35">
            <v>32</v>
          </cell>
        </row>
        <row r="36">
          <cell r="B36" t="str">
            <v>Salaries &amp; Wages - Admin. &amp; General</v>
          </cell>
          <cell r="C36"/>
          <cell r="D36">
            <v>7410</v>
          </cell>
          <cell r="E36">
            <v>30025</v>
          </cell>
          <cell r="F36"/>
          <cell r="G36">
            <v>8.8418045821308675E-2</v>
          </cell>
          <cell r="H36">
            <v>81587</v>
          </cell>
          <cell r="I36"/>
          <cell r="J36">
            <v>5.4859504343399909E-2</v>
          </cell>
          <cell r="K36">
            <v>10509</v>
          </cell>
          <cell r="L36"/>
          <cell r="M36">
            <v>28556</v>
          </cell>
          <cell r="N36"/>
          <cell r="O36">
            <v>4504</v>
          </cell>
          <cell r="P36"/>
          <cell r="Q36">
            <v>12238</v>
          </cell>
          <cell r="R36"/>
          <cell r="S36">
            <v>33</v>
          </cell>
        </row>
        <row r="37">
          <cell r="B37" t="str">
            <v>Owners Salaries</v>
          </cell>
          <cell r="C37"/>
          <cell r="D37">
            <v>7420</v>
          </cell>
          <cell r="E37">
            <v>20000</v>
          </cell>
          <cell r="F37"/>
          <cell r="G37">
            <v>5.8896283644502029E-2</v>
          </cell>
          <cell r="H37">
            <v>82251</v>
          </cell>
          <cell r="I37"/>
          <cell r="J37">
            <v>5.5305981243935751E-2</v>
          </cell>
          <cell r="K37">
            <v>7000</v>
          </cell>
          <cell r="L37"/>
          <cell r="M37">
            <v>28788</v>
          </cell>
          <cell r="N37"/>
          <cell r="O37">
            <v>3000</v>
          </cell>
          <cell r="P37"/>
          <cell r="Q37">
            <v>13838</v>
          </cell>
          <cell r="R37"/>
          <cell r="S37">
            <v>34</v>
          </cell>
        </row>
        <row r="38">
          <cell r="B38" t="str">
            <v>Payroll Taxes</v>
          </cell>
          <cell r="C38"/>
          <cell r="D38">
            <v>7430</v>
          </cell>
          <cell r="E38">
            <v>24218</v>
          </cell>
          <cell r="F38"/>
          <cell r="G38">
            <v>7.1317509865127512E-2</v>
          </cell>
          <cell r="H38">
            <v>69755</v>
          </cell>
          <cell r="I38"/>
          <cell r="J38">
            <v>4.6903608730237176E-2</v>
          </cell>
          <cell r="K38">
            <v>7806</v>
          </cell>
          <cell r="L38"/>
          <cell r="M38">
            <v>24257</v>
          </cell>
          <cell r="N38"/>
          <cell r="O38">
            <v>5888</v>
          </cell>
          <cell r="P38"/>
          <cell r="Q38">
            <v>17452</v>
          </cell>
          <cell r="R38"/>
          <cell r="S38">
            <v>35</v>
          </cell>
        </row>
        <row r="39">
          <cell r="B39" t="str">
            <v>Employee Benefits</v>
          </cell>
          <cell r="C39"/>
          <cell r="D39">
            <v>7440</v>
          </cell>
          <cell r="E39">
            <v>28458</v>
          </cell>
          <cell r="F39"/>
          <cell r="G39">
            <v>8.3803521997761934E-2</v>
          </cell>
          <cell r="H39">
            <v>68058</v>
          </cell>
          <cell r="I39"/>
          <cell r="J39">
            <v>4.5762537494982179E-2</v>
          </cell>
          <cell r="K39">
            <v>9432</v>
          </cell>
          <cell r="L39"/>
          <cell r="M39">
            <v>22266</v>
          </cell>
          <cell r="N39"/>
          <cell r="O39">
            <v>3579</v>
          </cell>
          <cell r="P39"/>
          <cell r="Q39">
            <v>7688</v>
          </cell>
          <cell r="R39"/>
          <cell r="S39">
            <v>36</v>
          </cell>
        </row>
        <row r="40">
          <cell r="B40" t="str">
            <v>Pension Fund/Profit Sharing</v>
          </cell>
          <cell r="C40"/>
          <cell r="D40">
            <v>7450</v>
          </cell>
          <cell r="E40">
            <v>0</v>
          </cell>
          <cell r="F40"/>
          <cell r="G40" t="str">
            <v>-</v>
          </cell>
          <cell r="H40">
            <v>0</v>
          </cell>
          <cell r="I40"/>
          <cell r="J40" t="str">
            <v>-</v>
          </cell>
          <cell r="K40">
            <v>0</v>
          </cell>
          <cell r="L40"/>
          <cell r="M40">
            <v>0</v>
          </cell>
          <cell r="N40"/>
          <cell r="O40">
            <v>0</v>
          </cell>
          <cell r="P40"/>
          <cell r="Q40">
            <v>0</v>
          </cell>
          <cell r="R40"/>
          <cell r="S40">
            <v>37</v>
          </cell>
        </row>
        <row r="41">
          <cell r="B41" t="str">
            <v>Advertising - General &amp; Institutional</v>
          </cell>
          <cell r="C41"/>
          <cell r="D41">
            <v>7460</v>
          </cell>
          <cell r="E41">
            <v>-38371</v>
          </cell>
          <cell r="F41"/>
          <cell r="G41">
            <v>-0.11299546498615938</v>
          </cell>
          <cell r="H41">
            <v>-36671</v>
          </cell>
          <cell r="I41"/>
          <cell r="J41">
            <v>-2.4657762680044836E-2</v>
          </cell>
          <cell r="K41">
            <v>-13430</v>
          </cell>
          <cell r="L41"/>
          <cell r="M41">
            <v>-12835</v>
          </cell>
          <cell r="N41"/>
          <cell r="O41">
            <v>-5756</v>
          </cell>
          <cell r="P41"/>
          <cell r="Q41">
            <v>-5501</v>
          </cell>
          <cell r="R41"/>
          <cell r="S41">
            <v>38</v>
          </cell>
        </row>
        <row r="42">
          <cell r="B42" t="str">
            <v>Stationery &amp; Office Supplies</v>
          </cell>
          <cell r="C42"/>
          <cell r="D42" t="str">
            <v>7470</v>
          </cell>
          <cell r="E42">
            <v>2386</v>
          </cell>
          <cell r="F42"/>
          <cell r="G42">
            <v>7.0263266387890922E-3</v>
          </cell>
          <cell r="H42">
            <v>9900</v>
          </cell>
          <cell r="I42"/>
          <cell r="J42">
            <v>6.6568092097964021E-3</v>
          </cell>
          <cell r="K42">
            <v>835</v>
          </cell>
          <cell r="L42"/>
          <cell r="M42">
            <v>3460</v>
          </cell>
          <cell r="N42"/>
          <cell r="O42">
            <v>358</v>
          </cell>
          <cell r="P42"/>
          <cell r="Q42">
            <v>1512</v>
          </cell>
          <cell r="R42"/>
          <cell r="S42">
            <v>39</v>
          </cell>
        </row>
        <row r="43">
          <cell r="B43" t="str">
            <v>Data Processing Services</v>
          </cell>
          <cell r="C43"/>
          <cell r="D43">
            <v>7480</v>
          </cell>
          <cell r="E43">
            <v>-15185</v>
          </cell>
          <cell r="F43"/>
          <cell r="G43">
            <v>-4.471700335708817E-2</v>
          </cell>
          <cell r="H43">
            <v>47864</v>
          </cell>
          <cell r="I43"/>
          <cell r="J43">
            <v>3.218399151693889E-2</v>
          </cell>
          <cell r="K43">
            <v>-5338</v>
          </cell>
          <cell r="L43"/>
          <cell r="M43">
            <v>16518</v>
          </cell>
          <cell r="N43"/>
          <cell r="O43">
            <v>-2288</v>
          </cell>
          <cell r="P43"/>
          <cell r="Q43">
            <v>7079</v>
          </cell>
          <cell r="R43"/>
          <cell r="S43">
            <v>40</v>
          </cell>
        </row>
        <row r="44">
          <cell r="B44" t="str">
            <v>Outside Services - Gen. &amp; Inst.</v>
          </cell>
          <cell r="C44"/>
          <cell r="D44">
            <v>7490</v>
          </cell>
          <cell r="E44">
            <v>1518</v>
          </cell>
          <cell r="F44"/>
          <cell r="G44">
            <v>4.4702279286177038E-3</v>
          </cell>
          <cell r="H44">
            <v>3792</v>
          </cell>
          <cell r="I44"/>
          <cell r="J44">
            <v>2.5497596488432282E-3</v>
          </cell>
          <cell r="K44">
            <v>525</v>
          </cell>
          <cell r="L44"/>
          <cell r="M44">
            <v>525</v>
          </cell>
          <cell r="N44"/>
          <cell r="O44">
            <v>243</v>
          </cell>
          <cell r="P44"/>
          <cell r="Q44">
            <v>2517</v>
          </cell>
          <cell r="R44"/>
          <cell r="S44">
            <v>41</v>
          </cell>
        </row>
        <row r="45">
          <cell r="B45" t="str">
            <v>Company Vehicles - Administration</v>
          </cell>
          <cell r="C45"/>
          <cell r="D45">
            <v>7500</v>
          </cell>
          <cell r="E45">
            <v>0</v>
          </cell>
          <cell r="F45"/>
          <cell r="G45" t="str">
            <v>-</v>
          </cell>
          <cell r="H45">
            <v>0</v>
          </cell>
          <cell r="I45"/>
          <cell r="J45" t="str">
            <v>-</v>
          </cell>
          <cell r="K45">
            <v>0</v>
          </cell>
          <cell r="L45"/>
          <cell r="M45">
            <v>0</v>
          </cell>
          <cell r="N45"/>
          <cell r="O45">
            <v>0</v>
          </cell>
          <cell r="P45"/>
          <cell r="Q45">
            <v>0</v>
          </cell>
          <cell r="R45"/>
          <cell r="S45">
            <v>42</v>
          </cell>
        </row>
        <row r="46">
          <cell r="B46" t="str">
            <v>Contributions</v>
          </cell>
          <cell r="C46"/>
          <cell r="D46">
            <v>7510</v>
          </cell>
          <cell r="E46">
            <v>197</v>
          </cell>
          <cell r="F46"/>
          <cell r="G46">
            <v>5.80128393898345E-4</v>
          </cell>
          <cell r="H46">
            <v>637</v>
          </cell>
          <cell r="I46"/>
          <cell r="J46">
            <v>4.2832196632730388E-4</v>
          </cell>
          <cell r="K46">
            <v>69</v>
          </cell>
          <cell r="L46"/>
          <cell r="M46">
            <v>223</v>
          </cell>
          <cell r="N46"/>
          <cell r="O46">
            <v>30</v>
          </cell>
          <cell r="P46"/>
          <cell r="Q46">
            <v>96</v>
          </cell>
          <cell r="R46"/>
          <cell r="S46">
            <v>43</v>
          </cell>
        </row>
        <row r="47">
          <cell r="B47" t="str">
            <v>Dues &amp; Subscriptions</v>
          </cell>
          <cell r="C47"/>
          <cell r="D47">
            <v>7520</v>
          </cell>
          <cell r="E47">
            <v>845</v>
          </cell>
          <cell r="F47"/>
          <cell r="G47">
            <v>2.4883679839802107E-3</v>
          </cell>
          <cell r="H47">
            <v>2934</v>
          </cell>
          <cell r="I47"/>
          <cell r="J47">
            <v>1.9728361839942065E-3</v>
          </cell>
          <cell r="K47">
            <v>296</v>
          </cell>
          <cell r="L47"/>
          <cell r="M47">
            <v>1027</v>
          </cell>
          <cell r="N47"/>
          <cell r="O47">
            <v>127</v>
          </cell>
          <cell r="P47"/>
          <cell r="Q47">
            <v>440</v>
          </cell>
          <cell r="R47"/>
          <cell r="S47">
            <v>44</v>
          </cell>
        </row>
        <row r="48">
          <cell r="B48" t="str">
            <v xml:space="preserve">Telephone  </v>
          </cell>
          <cell r="C48"/>
          <cell r="D48" t="str">
            <v>7530</v>
          </cell>
          <cell r="E48">
            <v>1395</v>
          </cell>
          <cell r="F48"/>
          <cell r="G48">
            <v>4.1080157842040164E-3</v>
          </cell>
          <cell r="H48">
            <v>8986</v>
          </cell>
          <cell r="I48"/>
          <cell r="J48">
            <v>6.042231066588937E-3</v>
          </cell>
          <cell r="K48">
            <v>488</v>
          </cell>
          <cell r="L48"/>
          <cell r="M48">
            <v>3145</v>
          </cell>
          <cell r="N48"/>
          <cell r="O48">
            <v>209</v>
          </cell>
          <cell r="P48"/>
          <cell r="Q48">
            <v>1348</v>
          </cell>
          <cell r="R48"/>
          <cell r="S48">
            <v>45</v>
          </cell>
        </row>
        <row r="49">
          <cell r="B49" t="str">
            <v>Legal &amp; Auditing</v>
          </cell>
          <cell r="C49"/>
          <cell r="D49">
            <v>7540</v>
          </cell>
          <cell r="E49">
            <v>-4277</v>
          </cell>
          <cell r="F49"/>
          <cell r="G49">
            <v>-1.2594970257376759E-2</v>
          </cell>
          <cell r="H49">
            <v>10845</v>
          </cell>
          <cell r="I49"/>
          <cell r="J49">
            <v>7.2922319070951504E-3</v>
          </cell>
          <cell r="K49">
            <v>-1497</v>
          </cell>
          <cell r="L49"/>
          <cell r="M49">
            <v>3796</v>
          </cell>
          <cell r="N49"/>
          <cell r="O49">
            <v>-641</v>
          </cell>
          <cell r="P49"/>
          <cell r="Q49">
            <v>1627</v>
          </cell>
          <cell r="R49"/>
          <cell r="S49">
            <v>46</v>
          </cell>
        </row>
        <row r="50">
          <cell r="B50" t="str">
            <v>Postage</v>
          </cell>
          <cell r="C50"/>
          <cell r="D50">
            <v>7550</v>
          </cell>
          <cell r="E50">
            <v>1933</v>
          </cell>
          <cell r="F50"/>
          <cell r="G50">
            <v>5.6923258142411214E-3</v>
          </cell>
          <cell r="H50">
            <v>5579</v>
          </cell>
          <cell r="I50"/>
          <cell r="J50">
            <v>3.751347331460013E-3</v>
          </cell>
          <cell r="K50">
            <v>676</v>
          </cell>
          <cell r="L50"/>
          <cell r="M50">
            <v>1952</v>
          </cell>
          <cell r="N50"/>
          <cell r="O50">
            <v>290</v>
          </cell>
          <cell r="P50"/>
          <cell r="Q50">
            <v>837</v>
          </cell>
          <cell r="R50"/>
          <cell r="S50">
            <v>47</v>
          </cell>
        </row>
        <row r="51">
          <cell r="B51" t="str">
            <v>Travel &amp; Entertainment</v>
          </cell>
          <cell r="C51"/>
          <cell r="D51">
            <v>7560</v>
          </cell>
          <cell r="E51">
            <v>1369</v>
          </cell>
          <cell r="F51"/>
          <cell r="G51">
            <v>4.0314506154661639E-3</v>
          </cell>
          <cell r="H51">
            <v>5515</v>
          </cell>
          <cell r="I51"/>
          <cell r="J51">
            <v>3.7083134133360767E-3</v>
          </cell>
          <cell r="K51">
            <v>479</v>
          </cell>
          <cell r="L51"/>
          <cell r="M51">
            <v>1930</v>
          </cell>
          <cell r="N51"/>
          <cell r="O51">
            <v>205</v>
          </cell>
          <cell r="P51"/>
          <cell r="Q51">
            <v>827</v>
          </cell>
          <cell r="R51"/>
          <cell r="S51">
            <v>48</v>
          </cell>
        </row>
        <row r="52">
          <cell r="B52" t="str">
            <v>Heat, Light, Power &amp; Water</v>
          </cell>
          <cell r="C52"/>
          <cell r="D52">
            <v>7570</v>
          </cell>
          <cell r="E52">
            <v>2015</v>
          </cell>
          <cell r="F52"/>
          <cell r="G52">
            <v>5.9338005771835799E-3</v>
          </cell>
          <cell r="H52">
            <v>19852</v>
          </cell>
          <cell r="I52"/>
          <cell r="J52">
            <v>1.3348583478068504E-2</v>
          </cell>
          <cell r="K52">
            <v>705</v>
          </cell>
          <cell r="L52"/>
          <cell r="M52">
            <v>6948</v>
          </cell>
          <cell r="N52"/>
          <cell r="O52">
            <v>302</v>
          </cell>
          <cell r="P52"/>
          <cell r="Q52">
            <v>2978</v>
          </cell>
          <cell r="R52"/>
          <cell r="S52">
            <v>49</v>
          </cell>
        </row>
        <row r="53">
          <cell r="B53" t="str">
            <v>Furniture, Signs, Fixtures &amp; Equipment - Depreciation, Maintenance, Repair &amp; Rental</v>
          </cell>
          <cell r="C53"/>
          <cell r="D53">
            <v>7580</v>
          </cell>
          <cell r="E53">
            <v>2078</v>
          </cell>
          <cell r="F53"/>
          <cell r="G53">
            <v>6.119323870663761E-3</v>
          </cell>
          <cell r="H53">
            <v>10094</v>
          </cell>
          <cell r="I53"/>
          <cell r="J53">
            <v>6.7872557741095844E-3</v>
          </cell>
          <cell r="K53">
            <v>727</v>
          </cell>
          <cell r="L53"/>
          <cell r="M53">
            <v>4508</v>
          </cell>
          <cell r="N53"/>
          <cell r="O53">
            <v>312</v>
          </cell>
          <cell r="P53"/>
          <cell r="Q53">
            <v>1289</v>
          </cell>
          <cell r="R53"/>
          <cell r="S53">
            <v>50</v>
          </cell>
        </row>
        <row r="54">
          <cell r="B54" t="str">
            <v>Ins. - Other Than Bldgs. &amp; Improvements</v>
          </cell>
          <cell r="C54"/>
          <cell r="D54">
            <v>7590</v>
          </cell>
          <cell r="E54">
            <v>5265</v>
          </cell>
          <cell r="F54"/>
          <cell r="G54">
            <v>1.550444666941516E-2</v>
          </cell>
          <cell r="H54">
            <v>15794</v>
          </cell>
          <cell r="I54"/>
          <cell r="J54">
            <v>1.0619964107022664E-2</v>
          </cell>
          <cell r="K54">
            <v>2694</v>
          </cell>
          <cell r="L54"/>
          <cell r="M54">
            <v>6772</v>
          </cell>
          <cell r="N54"/>
          <cell r="O54">
            <v>593</v>
          </cell>
          <cell r="P54"/>
          <cell r="Q54">
            <v>3089</v>
          </cell>
          <cell r="R54"/>
          <cell r="S54">
            <v>51</v>
          </cell>
        </row>
        <row r="55">
          <cell r="B55" t="str">
            <v>Taxes - Other Than R.E., Pay. &amp; Inc.</v>
          </cell>
          <cell r="C55"/>
          <cell r="D55">
            <v>7600</v>
          </cell>
          <cell r="E55">
            <v>-3538</v>
          </cell>
          <cell r="F55"/>
          <cell r="G55">
            <v>-1.0418752576712409E-2</v>
          </cell>
          <cell r="H55">
            <v>586</v>
          </cell>
          <cell r="I55"/>
          <cell r="J55">
            <v>3.9402931282229211E-4</v>
          </cell>
          <cell r="K55">
            <v>-1238</v>
          </cell>
          <cell r="L55"/>
          <cell r="M55">
            <v>205</v>
          </cell>
          <cell r="N55"/>
          <cell r="O55">
            <v>-531</v>
          </cell>
          <cell r="P55"/>
          <cell r="Q55">
            <v>88</v>
          </cell>
          <cell r="R55"/>
          <cell r="S55">
            <v>52</v>
          </cell>
        </row>
        <row r="56">
          <cell r="B56" t="str">
            <v>Interest - Other Than Floor Plan &amp; R.E Mortgage</v>
          </cell>
          <cell r="C56"/>
          <cell r="D56">
            <v>7610</v>
          </cell>
          <cell r="E56">
            <v>26566</v>
          </cell>
          <cell r="F56"/>
          <cell r="G56">
            <v>7.8231933564992043E-2</v>
          </cell>
          <cell r="H56">
            <v>26566</v>
          </cell>
          <cell r="I56"/>
          <cell r="J56">
            <v>1.7863110451257699E-2</v>
          </cell>
          <cell r="K56">
            <v>9298</v>
          </cell>
          <cell r="L56"/>
          <cell r="M56">
            <v>9298</v>
          </cell>
          <cell r="N56"/>
          <cell r="O56">
            <v>3985</v>
          </cell>
          <cell r="P56"/>
          <cell r="Q56">
            <v>3985</v>
          </cell>
          <cell r="R56"/>
          <cell r="S56">
            <v>53</v>
          </cell>
        </row>
        <row r="57">
          <cell r="B57" t="str">
            <v>TOTAL OVERHEAD EXPENSES</v>
          </cell>
          <cell r="C57" t="str">
            <v xml:space="preserve">LINES 32 - 53 </v>
          </cell>
          <cell r="D57"/>
          <cell r="E57">
            <v>116897</v>
          </cell>
          <cell r="F57"/>
          <cell r="G57">
            <v>0.34423994345956771</v>
          </cell>
          <cell r="H57">
            <v>553897</v>
          </cell>
          <cell r="I57"/>
          <cell r="J57">
            <v>0.37244309604834325</v>
          </cell>
          <cell r="K57">
            <v>40536</v>
          </cell>
          <cell r="L57"/>
          <cell r="M57">
            <v>193329</v>
          </cell>
          <cell r="N57"/>
          <cell r="O57">
            <v>18909</v>
          </cell>
          <cell r="P57"/>
          <cell r="Q57">
            <v>91423</v>
          </cell>
          <cell r="R57"/>
          <cell r="S57">
            <v>54</v>
          </cell>
        </row>
        <row r="58">
          <cell r="B58" t="str">
            <v>TOTAL EXPENSES</v>
          </cell>
          <cell r="C58" t="str">
            <v>LINES 29 &amp; 54</v>
          </cell>
          <cell r="D58"/>
          <cell r="E58">
            <v>325404</v>
          </cell>
          <cell r="F58"/>
          <cell r="G58">
            <v>0.95825431415277695</v>
          </cell>
          <cell r="H58">
            <v>1416379</v>
          </cell>
          <cell r="I58"/>
          <cell r="J58">
            <v>0.95238027997598174</v>
          </cell>
          <cell r="K58">
            <v>137261</v>
          </cell>
          <cell r="L58"/>
          <cell r="M58">
            <v>601226</v>
          </cell>
          <cell r="N58"/>
          <cell r="O58">
            <v>73500</v>
          </cell>
          <cell r="P58"/>
          <cell r="Q58">
            <v>337385</v>
          </cell>
          <cell r="R58"/>
          <cell r="S58">
            <v>55</v>
          </cell>
        </row>
        <row r="59">
          <cell r="B59" t="str">
            <v>OPERATING PROFIT (LOSS)</v>
          </cell>
          <cell r="C59" t="str">
            <v>LN 2 LESS LN 55</v>
          </cell>
          <cell r="D59"/>
          <cell r="E59">
            <v>14176</v>
          </cell>
          <cell r="F59"/>
          <cell r="G59">
            <v>4.1745685847223039E-2</v>
          </cell>
          <cell r="H59">
            <v>70820</v>
          </cell>
          <cell r="I59"/>
          <cell r="J59">
            <v>4.7619720024018306E-2</v>
          </cell>
          <cell r="K59">
            <v>-16752</v>
          </cell>
          <cell r="L59"/>
          <cell r="M59">
            <v>-51367</v>
          </cell>
          <cell r="N59"/>
          <cell r="O59">
            <v>8820</v>
          </cell>
          <cell r="P59"/>
          <cell r="Q59">
            <v>51743</v>
          </cell>
          <cell r="R59"/>
          <cell r="S59">
            <v>56</v>
          </cell>
        </row>
        <row r="60">
          <cell r="B60"/>
          <cell r="C60"/>
          <cell r="D60"/>
          <cell r="E60"/>
          <cell r="F60"/>
          <cell r="G60"/>
          <cell r="H60"/>
          <cell r="I60"/>
          <cell r="J60"/>
          <cell r="K60"/>
          <cell r="L60"/>
          <cell r="M60"/>
          <cell r="N60"/>
          <cell r="O60"/>
          <cell r="P60"/>
          <cell r="Q60"/>
          <cell r="R60"/>
          <cell r="S60">
            <v>57</v>
          </cell>
        </row>
        <row r="61">
          <cell r="B61"/>
          <cell r="C61"/>
          <cell r="D61"/>
          <cell r="E61"/>
          <cell r="F61"/>
          <cell r="G61"/>
          <cell r="H61"/>
          <cell r="I61"/>
          <cell r="J61"/>
          <cell r="K61"/>
          <cell r="L61"/>
          <cell r="M61"/>
          <cell r="N61"/>
          <cell r="O61"/>
          <cell r="P61"/>
          <cell r="Q61"/>
          <cell r="R61"/>
          <cell r="S61">
            <v>58</v>
          </cell>
        </row>
        <row r="62">
          <cell r="B62" t="str">
            <v>NET ADDITIONS OR DEDUCTIONS</v>
          </cell>
          <cell r="C62" t="str">
            <v>LINE  78</v>
          </cell>
          <cell r="D62"/>
          <cell r="E62">
            <v>156073</v>
          </cell>
          <cell r="F62"/>
          <cell r="G62">
            <v>0.4596059838624183</v>
          </cell>
          <cell r="H62">
            <v>633413</v>
          </cell>
          <cell r="I62"/>
          <cell r="J62">
            <v>0.42591004969745139</v>
          </cell>
          <cell r="K62" t="str">
            <v xml:space="preserve">   TOTAL PERSONNEL EXPENSES</v>
          </cell>
          <cell r="L62"/>
          <cell r="M62"/>
          <cell r="N62" t="str">
            <v>MONTH</v>
          </cell>
          <cell r="O62"/>
          <cell r="Q62" t="str">
            <v>YEAR TO DATE</v>
          </cell>
          <cell r="R62"/>
          <cell r="S62">
            <v>59</v>
          </cell>
        </row>
        <row r="63">
          <cell r="B63" t="str">
            <v>NET PROFIT (LOSS) BEFORE BONUS</v>
          </cell>
          <cell r="C63" t="str">
            <v>LN 56+/-LN 59</v>
          </cell>
          <cell r="D63"/>
          <cell r="E63">
            <v>170249</v>
          </cell>
          <cell r="F63"/>
          <cell r="G63">
            <v>0.50135166970964129</v>
          </cell>
          <cell r="H63">
            <v>704233</v>
          </cell>
          <cell r="I63"/>
          <cell r="J63">
            <v>0.47352976972146971</v>
          </cell>
          <cell r="K63"/>
          <cell r="L63"/>
          <cell r="M63"/>
          <cell r="N63">
            <v>237622</v>
          </cell>
          <cell r="O63"/>
          <cell r="Q63">
            <v>841007</v>
          </cell>
          <cell r="R63"/>
          <cell r="S63">
            <v>60</v>
          </cell>
        </row>
        <row r="64">
          <cell r="B64" t="str">
            <v>BONUSES - EMPLOYEES</v>
          </cell>
          <cell r="C64"/>
          <cell r="D64">
            <v>7700</v>
          </cell>
          <cell r="E64">
            <v>25917</v>
          </cell>
          <cell r="F64"/>
          <cell r="G64">
            <v>7.6320749160727952E-2</v>
          </cell>
          <cell r="H64">
            <v>107318</v>
          </cell>
          <cell r="I64"/>
          <cell r="J64">
            <v>7.2161156644134375E-2</v>
          </cell>
          <cell r="K64" t="str">
            <v>LINES 4,5,6,7,9,10,25,26,27,33,35,36&amp;37</v>
          </cell>
          <cell r="L64"/>
          <cell r="M64"/>
          <cell r="N64" t="str">
            <v xml:space="preserve">% G.P. </v>
          </cell>
          <cell r="O64">
            <v>0.69975263560869305</v>
          </cell>
          <cell r="Q64" t="str">
            <v>% G.P.</v>
          </cell>
          <cell r="R64">
            <v>0.56549728718214576</v>
          </cell>
          <cell r="S64">
            <v>61</v>
          </cell>
        </row>
        <row r="65">
          <cell r="B65" t="str">
            <v>BONUSES - OWNERS</v>
          </cell>
          <cell r="C65"/>
          <cell r="D65">
            <v>7710</v>
          </cell>
          <cell r="E65">
            <v>0</v>
          </cell>
          <cell r="F65"/>
          <cell r="G65" t="str">
            <v>-</v>
          </cell>
          <cell r="H65">
            <v>0</v>
          </cell>
          <cell r="I65"/>
          <cell r="J65" t="str">
            <v>-</v>
          </cell>
          <cell r="K65"/>
          <cell r="L65"/>
          <cell r="M65"/>
          <cell r="N65"/>
          <cell r="O65"/>
          <cell r="P65"/>
          <cell r="Q65"/>
          <cell r="R65"/>
          <cell r="S65">
            <v>62</v>
          </cell>
        </row>
        <row r="66">
          <cell r="B66" t="str">
            <v>NET PROFIT (LOSS) BEFORE TAXES</v>
          </cell>
          <cell r="C66" t="str">
            <v>LN 60 Less LNS 61 &amp; 62</v>
          </cell>
          <cell r="D66"/>
          <cell r="E66">
            <v>144332</v>
          </cell>
          <cell r="F66"/>
          <cell r="G66">
            <v>0.42503092054891334</v>
          </cell>
          <cell r="H66">
            <v>596915</v>
          </cell>
          <cell r="I66"/>
          <cell r="J66">
            <v>0.40136861307733529</v>
          </cell>
          <cell r="K66"/>
          <cell r="L66"/>
          <cell r="M66"/>
          <cell r="N66"/>
          <cell r="O66"/>
          <cell r="P66"/>
          <cell r="Q66"/>
          <cell r="R66"/>
          <cell r="S66">
            <v>63</v>
          </cell>
        </row>
        <row r="67">
          <cell r="B67" t="str">
            <v>ESTIMATED INCOME TAXES</v>
          </cell>
          <cell r="C67"/>
          <cell r="D67">
            <v>7800</v>
          </cell>
          <cell r="E67">
            <v>0</v>
          </cell>
          <cell r="F67"/>
          <cell r="G67" t="str">
            <v>-</v>
          </cell>
          <cell r="H67">
            <v>0</v>
          </cell>
          <cell r="I67"/>
          <cell r="J67" t="str">
            <v>-</v>
          </cell>
          <cell r="K67"/>
          <cell r="L67"/>
          <cell r="M67"/>
          <cell r="N67"/>
          <cell r="O67"/>
          <cell r="P67"/>
          <cell r="Q67"/>
          <cell r="R67"/>
          <cell r="S67">
            <v>64</v>
          </cell>
        </row>
        <row r="68">
          <cell r="B68" t="str">
            <v>NET PROFIT (LOSS) AFTER TAXES</v>
          </cell>
          <cell r="C68" t="str">
            <v>LN 63 Less LN 64</v>
          </cell>
          <cell r="D68"/>
          <cell r="E68">
            <v>144332</v>
          </cell>
          <cell r="F68"/>
          <cell r="G68">
            <v>0.42503092054891334</v>
          </cell>
          <cell r="H68">
            <v>596915</v>
          </cell>
          <cell r="I68"/>
          <cell r="J68">
            <v>0.40136861307733529</v>
          </cell>
          <cell r="K68"/>
          <cell r="L68"/>
          <cell r="M68"/>
          <cell r="N68"/>
          <cell r="O68"/>
          <cell r="P68"/>
          <cell r="Q68"/>
          <cell r="R68"/>
          <cell r="S68">
            <v>65</v>
          </cell>
        </row>
        <row r="69">
          <cell r="B69"/>
          <cell r="C69"/>
          <cell r="D69"/>
          <cell r="E69"/>
          <cell r="F69"/>
          <cell r="G69"/>
          <cell r="H69"/>
          <cell r="I69"/>
          <cell r="J69"/>
          <cell r="K69"/>
          <cell r="L69"/>
          <cell r="M69"/>
          <cell r="N69"/>
          <cell r="O69"/>
          <cell r="P69"/>
          <cell r="Q69"/>
          <cell r="R69"/>
          <cell r="S69">
            <v>66</v>
          </cell>
        </row>
        <row r="70">
          <cell r="B70"/>
          <cell r="C70"/>
          <cell r="D70"/>
          <cell r="E70"/>
          <cell r="F70"/>
          <cell r="G70"/>
          <cell r="H70"/>
          <cell r="I70"/>
          <cell r="J70"/>
          <cell r="K70"/>
          <cell r="L70"/>
          <cell r="M70"/>
          <cell r="N70"/>
          <cell r="O70"/>
          <cell r="P70"/>
          <cell r="Q70"/>
          <cell r="R70"/>
          <cell r="S70">
            <v>67</v>
          </cell>
        </row>
        <row r="71">
          <cell r="B71"/>
          <cell r="C71"/>
          <cell r="D71"/>
          <cell r="E71"/>
          <cell r="F71"/>
          <cell r="G71"/>
          <cell r="H71"/>
          <cell r="I71"/>
          <cell r="J71"/>
          <cell r="K71"/>
          <cell r="L71"/>
          <cell r="M71"/>
          <cell r="N71"/>
          <cell r="O71"/>
          <cell r="P71"/>
          <cell r="Q71"/>
          <cell r="R71"/>
          <cell r="S71">
            <v>68</v>
          </cell>
        </row>
        <row r="72">
          <cell r="B72" t="str">
            <v>ADDITIONS TO INCOME</v>
          </cell>
          <cell r="C72"/>
          <cell r="D72"/>
          <cell r="E72"/>
          <cell r="F72"/>
          <cell r="G72"/>
          <cell r="H72"/>
          <cell r="I72"/>
          <cell r="J72" t="str">
            <v>DEDUCTIONS FROM INCOME</v>
          </cell>
          <cell r="K72"/>
          <cell r="L72"/>
          <cell r="M72"/>
          <cell r="N72"/>
          <cell r="O72"/>
          <cell r="P72"/>
          <cell r="Q72"/>
          <cell r="R72"/>
          <cell r="S72">
            <v>69</v>
          </cell>
        </row>
        <row r="73">
          <cell r="B73" t="str">
            <v>ACCOUNT NAME</v>
          </cell>
          <cell r="C73"/>
          <cell r="D73" t="str">
            <v>ACCT. NO.</v>
          </cell>
          <cell r="E73" t="str">
            <v>MONTH</v>
          </cell>
          <cell r="F73"/>
          <cell r="G73" t="str">
            <v>YEAR TO DATE</v>
          </cell>
          <cell r="H73"/>
          <cell r="I73"/>
          <cell r="J73" t="str">
            <v>ACCOUNT NAME</v>
          </cell>
          <cell r="K73"/>
          <cell r="L73"/>
          <cell r="M73" t="str">
            <v>ACCT. NO.</v>
          </cell>
          <cell r="N73" t="str">
            <v>MONTH</v>
          </cell>
          <cell r="O73"/>
          <cell r="P73" t="str">
            <v>YEAR TO DATE</v>
          </cell>
          <cell r="Q73"/>
          <cell r="R73"/>
          <cell r="S73">
            <v>70</v>
          </cell>
        </row>
        <row r="74">
          <cell r="B74" t="str">
            <v>MCBP</v>
          </cell>
          <cell r="C74"/>
          <cell r="D74">
            <v>8080</v>
          </cell>
          <cell r="E74">
            <v>0</v>
          </cell>
          <cell r="F74"/>
          <cell r="G74">
            <v>0</v>
          </cell>
          <cell r="H74"/>
          <cell r="I74"/>
          <cell r="J74" t="str">
            <v>MCBP Chargeback</v>
          </cell>
          <cell r="K74"/>
          <cell r="L74"/>
          <cell r="M74">
            <v>8180</v>
          </cell>
          <cell r="N74">
            <v>0</v>
          </cell>
          <cell r="O74"/>
          <cell r="P74">
            <v>0</v>
          </cell>
          <cell r="Q74"/>
          <cell r="R74"/>
          <cell r="S74">
            <v>71</v>
          </cell>
        </row>
        <row r="75">
          <cell r="B75" t="str">
            <v>Cash Discounts/Interest Earned</v>
          </cell>
          <cell r="C75"/>
          <cell r="D75" t="str">
            <v>8000/8010</v>
          </cell>
          <cell r="E75">
            <v>-265</v>
          </cell>
          <cell r="F75"/>
          <cell r="G75">
            <v>0</v>
          </cell>
          <cell r="H75"/>
          <cell r="I75"/>
          <cell r="J75" t="str">
            <v>Cash Discounts Allowed</v>
          </cell>
          <cell r="K75"/>
          <cell r="L75"/>
          <cell r="M75">
            <v>8100</v>
          </cell>
          <cell r="N75">
            <v>0</v>
          </cell>
          <cell r="O75"/>
          <cell r="P75">
            <v>0</v>
          </cell>
          <cell r="Q75"/>
          <cell r="R75"/>
          <cell r="S75">
            <v>72</v>
          </cell>
        </row>
        <row r="76">
          <cell r="B76" t="str">
            <v>Bad Debts Recovered</v>
          </cell>
          <cell r="C76"/>
          <cell r="D76">
            <v>8020</v>
          </cell>
          <cell r="E76">
            <v>0</v>
          </cell>
          <cell r="F76"/>
          <cell r="G76">
            <v>0</v>
          </cell>
          <cell r="H76"/>
          <cell r="I76"/>
          <cell r="J76" t="str">
            <v>Adj. For Doubtful Accounts</v>
          </cell>
          <cell r="K76"/>
          <cell r="L76"/>
          <cell r="M76">
            <v>8140</v>
          </cell>
          <cell r="N76">
            <v>4254</v>
          </cell>
          <cell r="O76"/>
          <cell r="P76">
            <v>5085</v>
          </cell>
          <cell r="Q76"/>
          <cell r="R76"/>
          <cell r="S76">
            <v>73</v>
          </cell>
        </row>
        <row r="77">
          <cell r="B77" t="str">
            <v>Other Income</v>
          </cell>
          <cell r="C77"/>
          <cell r="D77">
            <v>8040</v>
          </cell>
          <cell r="E77">
            <v>169097</v>
          </cell>
          <cell r="F77"/>
          <cell r="G77">
            <v>651233</v>
          </cell>
          <cell r="H77"/>
          <cell r="I77"/>
          <cell r="J77" t="str">
            <v>Other Deductions</v>
          </cell>
          <cell r="K77"/>
          <cell r="L77"/>
          <cell r="M77">
            <v>8150</v>
          </cell>
          <cell r="N77">
            <v>0</v>
          </cell>
          <cell r="O77"/>
          <cell r="P77">
            <v>0</v>
          </cell>
          <cell r="Q77"/>
          <cell r="R77"/>
          <cell r="S77">
            <v>74</v>
          </cell>
        </row>
        <row r="78">
          <cell r="B78" t="str">
            <v>Lease Income</v>
          </cell>
          <cell r="C78"/>
          <cell r="D78">
            <v>8050</v>
          </cell>
          <cell r="E78">
            <v>0</v>
          </cell>
          <cell r="F78"/>
          <cell r="G78">
            <v>0</v>
          </cell>
          <cell r="H78"/>
          <cell r="I78"/>
          <cell r="J78" t="str">
            <v>Lease Expenses</v>
          </cell>
          <cell r="K78"/>
          <cell r="L78"/>
          <cell r="M78">
            <v>8155</v>
          </cell>
          <cell r="N78">
            <v>9670</v>
          </cell>
          <cell r="O78"/>
          <cell r="P78">
            <v>15152</v>
          </cell>
          <cell r="Q78"/>
          <cell r="R78"/>
          <cell r="S78">
            <v>75</v>
          </cell>
        </row>
        <row r="79">
          <cell r="B79" t="str">
            <v>Rental Income - TRAC only</v>
          </cell>
          <cell r="C79"/>
          <cell r="D79">
            <v>8055</v>
          </cell>
          <cell r="E79">
            <v>1165</v>
          </cell>
          <cell r="F79"/>
          <cell r="G79">
            <v>2417</v>
          </cell>
          <cell r="H79"/>
          <cell r="I79"/>
          <cell r="J79" t="str">
            <v>Rental Expenses</v>
          </cell>
          <cell r="K79"/>
          <cell r="L79"/>
          <cell r="M79">
            <v>8160</v>
          </cell>
          <cell r="N79">
            <v>0</v>
          </cell>
          <cell r="O79"/>
          <cell r="P79">
            <v>0</v>
          </cell>
          <cell r="Q79"/>
          <cell r="R79"/>
          <cell r="S79">
            <v>76</v>
          </cell>
        </row>
        <row r="80">
          <cell r="B80" t="str">
            <v>Rental Income - Other</v>
          </cell>
          <cell r="C80"/>
          <cell r="D80">
            <v>8060</v>
          </cell>
          <cell r="E80">
            <v>0</v>
          </cell>
          <cell r="F80"/>
          <cell r="G80">
            <v>0</v>
          </cell>
          <cell r="H80"/>
          <cell r="I80"/>
          <cell r="J80" t="str">
            <v>Amort. Non-Franchised Assets</v>
          </cell>
          <cell r="K80"/>
          <cell r="L80"/>
          <cell r="M80">
            <v>8170</v>
          </cell>
          <cell r="N80">
            <v>0</v>
          </cell>
          <cell r="O80"/>
          <cell r="P80">
            <v>0</v>
          </cell>
          <cell r="Q80"/>
          <cell r="R80"/>
          <cell r="S80">
            <v>77</v>
          </cell>
        </row>
        <row r="81">
          <cell r="B81" t="str">
            <v>TOTAL ADDITIONS                                             LINES 72-77</v>
          </cell>
          <cell r="C81"/>
          <cell r="D81"/>
          <cell r="E81">
            <v>169997</v>
          </cell>
          <cell r="F81"/>
          <cell r="G81">
            <v>653650</v>
          </cell>
          <cell r="H81"/>
          <cell r="I81"/>
          <cell r="J81" t="str">
            <v>TOTAL DEDUCTIONS                LINES 72-77</v>
          </cell>
          <cell r="K81"/>
          <cell r="L81"/>
          <cell r="M81"/>
          <cell r="N81">
            <v>13924</v>
          </cell>
          <cell r="O81"/>
          <cell r="P81">
            <v>20237</v>
          </cell>
          <cell r="Q81"/>
          <cell r="R81"/>
          <cell r="S81">
            <v>78</v>
          </cell>
        </row>
        <row r="82">
          <cell r="B82"/>
          <cell r="C82"/>
          <cell r="D82"/>
          <cell r="E82"/>
          <cell r="F82"/>
          <cell r="G82"/>
          <cell r="H82"/>
          <cell r="I82"/>
          <cell r="J82"/>
          <cell r="K82"/>
          <cell r="L82"/>
          <cell r="M82"/>
          <cell r="N82"/>
          <cell r="O82"/>
          <cell r="P82"/>
          <cell r="Q82" t="str">
            <v>Version</v>
          </cell>
          <cell r="R82" t="str">
            <v>1.3-9</v>
          </cell>
          <cell r="S82"/>
        </row>
        <row r="83">
          <cell r="B83"/>
          <cell r="C83"/>
          <cell r="D83"/>
          <cell r="E83"/>
          <cell r="F83"/>
          <cell r="G83"/>
          <cell r="H83"/>
          <cell r="I83"/>
          <cell r="J83"/>
          <cell r="K83"/>
          <cell r="L83"/>
          <cell r="M83"/>
          <cell r="N83"/>
          <cell r="O83"/>
          <cell r="P83"/>
          <cell r="Q83"/>
          <cell r="R83"/>
          <cell r="S83"/>
        </row>
        <row r="84">
          <cell r="B84"/>
          <cell r="C84"/>
          <cell r="D84"/>
          <cell r="E84"/>
          <cell r="F84"/>
          <cell r="G84"/>
          <cell r="H84"/>
          <cell r="I84"/>
          <cell r="J84"/>
          <cell r="K84"/>
          <cell r="L84"/>
          <cell r="M84"/>
          <cell r="N84"/>
          <cell r="O84"/>
          <cell r="P84"/>
          <cell r="Q84"/>
          <cell r="R84"/>
          <cell r="S84"/>
        </row>
        <row r="85">
          <cell r="B85"/>
          <cell r="C85"/>
          <cell r="D85"/>
          <cell r="E85"/>
          <cell r="F85"/>
          <cell r="G85"/>
          <cell r="H85"/>
          <cell r="I85"/>
          <cell r="J85"/>
          <cell r="K85"/>
          <cell r="L85"/>
          <cell r="M85"/>
          <cell r="N85"/>
          <cell r="O85"/>
          <cell r="P85"/>
          <cell r="Q85"/>
          <cell r="R85"/>
        </row>
        <row r="86">
          <cell r="B86"/>
          <cell r="C86"/>
          <cell r="D86"/>
          <cell r="E86"/>
          <cell r="F86"/>
          <cell r="G86"/>
          <cell r="H86"/>
          <cell r="I86"/>
          <cell r="J86"/>
          <cell r="K86"/>
          <cell r="L86"/>
          <cell r="M86"/>
          <cell r="N86"/>
          <cell r="O86"/>
          <cell r="P86"/>
          <cell r="Q86"/>
          <cell r="R86"/>
        </row>
        <row r="87">
          <cell r="B87"/>
          <cell r="C87"/>
          <cell r="D87"/>
          <cell r="E87"/>
          <cell r="F87"/>
          <cell r="G87"/>
          <cell r="H87"/>
          <cell r="I87"/>
          <cell r="J87"/>
          <cell r="K87"/>
          <cell r="L87"/>
          <cell r="M87"/>
          <cell r="N87"/>
          <cell r="O87"/>
          <cell r="P87"/>
          <cell r="Q87"/>
          <cell r="R87"/>
        </row>
        <row r="88">
          <cell r="B88"/>
          <cell r="C88"/>
          <cell r="D88"/>
          <cell r="E88"/>
          <cell r="F88"/>
          <cell r="G88"/>
          <cell r="H88"/>
          <cell r="I88"/>
          <cell r="J88"/>
          <cell r="K88"/>
          <cell r="L88"/>
          <cell r="M88"/>
          <cell r="N88"/>
          <cell r="O88"/>
          <cell r="P88"/>
          <cell r="Q88"/>
          <cell r="R88"/>
        </row>
        <row r="89">
          <cell r="B89"/>
          <cell r="C89"/>
          <cell r="D89"/>
          <cell r="E89"/>
          <cell r="F89"/>
          <cell r="G89"/>
          <cell r="H89"/>
          <cell r="I89"/>
          <cell r="J89"/>
          <cell r="K89"/>
          <cell r="L89"/>
          <cell r="M89"/>
          <cell r="N89"/>
          <cell r="O89"/>
          <cell r="P89"/>
          <cell r="Q89"/>
          <cell r="R89"/>
        </row>
      </sheetData>
      <sheetData sheetId="2" refreshError="1">
        <row r="1">
          <cell r="B1"/>
          <cell r="C1"/>
          <cell r="D1"/>
          <cell r="E1"/>
          <cell r="F1"/>
          <cell r="G1">
            <v>2016</v>
          </cell>
          <cell r="H1"/>
          <cell r="I1" t="str">
            <v>TOTAL INCOME AND EXPENSE</v>
          </cell>
          <cell r="J1"/>
          <cell r="K1"/>
          <cell r="L1"/>
          <cell r="M1"/>
          <cell r="N1"/>
          <cell r="O1"/>
          <cell r="P1"/>
          <cell r="Q1"/>
          <cell r="R1" t="str">
            <v>Page 3</v>
          </cell>
          <cell r="S1"/>
        </row>
        <row r="2">
          <cell r="B2" t="str">
            <v>NAME OF ACCOUNT</v>
          </cell>
          <cell r="C2"/>
          <cell r="D2"/>
          <cell r="E2"/>
          <cell r="F2" t="str">
            <v>ACCT. NO.</v>
          </cell>
          <cell r="G2" t="str">
            <v>(3) SERVICE DEPARTMENT</v>
          </cell>
          <cell r="H2"/>
          <cell r="I2"/>
          <cell r="J2"/>
          <cell r="K2" t="str">
            <v>(4) BODY SHOP DEPARTMENT</v>
          </cell>
          <cell r="L2"/>
          <cell r="M2"/>
          <cell r="N2"/>
          <cell r="O2" t="str">
            <v>(5) PARTS AND ACCESS. DEPARTMENT</v>
          </cell>
          <cell r="P2"/>
          <cell r="Q2"/>
          <cell r="R2"/>
          <cell r="S2" t="str">
            <v>Line No.</v>
          </cell>
        </row>
        <row r="3">
          <cell r="B3"/>
          <cell r="C3"/>
          <cell r="D3"/>
          <cell r="E3"/>
          <cell r="F3"/>
          <cell r="G3" t="str">
            <v>MONTH</v>
          </cell>
          <cell r="H3"/>
          <cell r="I3" t="str">
            <v>YEAR TO DATE</v>
          </cell>
          <cell r="J3"/>
          <cell r="K3" t="str">
            <v>MONTH</v>
          </cell>
          <cell r="L3"/>
          <cell r="M3" t="str">
            <v>YEAR TO DATE</v>
          </cell>
          <cell r="N3"/>
          <cell r="O3" t="str">
            <v>MONTH</v>
          </cell>
          <cell r="P3"/>
          <cell r="Q3" t="str">
            <v>YEAR TO DATE</v>
          </cell>
          <cell r="R3"/>
          <cell r="S3"/>
        </row>
        <row r="4">
          <cell r="B4" t="str">
            <v>TOTAL SALES</v>
          </cell>
          <cell r="C4"/>
          <cell r="D4"/>
          <cell r="E4"/>
          <cell r="F4"/>
          <cell r="G4">
            <v>119061</v>
          </cell>
          <cell r="H4"/>
          <cell r="I4">
            <v>485650</v>
          </cell>
          <cell r="J4"/>
          <cell r="K4">
            <v>0</v>
          </cell>
          <cell r="L4"/>
          <cell r="M4">
            <v>0</v>
          </cell>
          <cell r="N4"/>
          <cell r="O4">
            <v>131603</v>
          </cell>
          <cell r="P4"/>
          <cell r="Q4">
            <v>548737</v>
          </cell>
          <cell r="R4"/>
          <cell r="S4">
            <v>1</v>
          </cell>
        </row>
        <row r="5">
          <cell r="B5" t="str">
            <v>TOTAL GROSS PROFIT</v>
          </cell>
          <cell r="C5"/>
          <cell r="D5"/>
          <cell r="E5"/>
          <cell r="F5"/>
          <cell r="G5">
            <v>85204</v>
          </cell>
          <cell r="H5"/>
          <cell r="I5">
            <v>360174</v>
          </cell>
          <cell r="J5"/>
          <cell r="K5">
            <v>0</v>
          </cell>
          <cell r="L5"/>
          <cell r="M5">
            <v>0</v>
          </cell>
          <cell r="N5"/>
          <cell r="O5">
            <v>51547</v>
          </cell>
          <cell r="P5"/>
          <cell r="Q5">
            <v>188038</v>
          </cell>
          <cell r="R5"/>
          <cell r="S5">
            <v>2</v>
          </cell>
        </row>
        <row r="6">
          <cell r="B6" t="str">
            <v>DEPARTMENTAL EXPENSES</v>
          </cell>
          <cell r="C6"/>
          <cell r="D6"/>
          <cell r="E6"/>
          <cell r="F6"/>
          <cell r="G6"/>
          <cell r="H6"/>
          <cell r="I6"/>
          <cell r="J6"/>
          <cell r="K6"/>
          <cell r="L6"/>
          <cell r="M6"/>
          <cell r="N6"/>
          <cell r="O6"/>
          <cell r="P6"/>
          <cell r="Q6"/>
          <cell r="R6"/>
          <cell r="S6">
            <v>3</v>
          </cell>
        </row>
        <row r="7">
          <cell r="B7" t="str">
            <v xml:space="preserve">Sales Compensation                                  </v>
          </cell>
          <cell r="C7"/>
          <cell r="D7"/>
          <cell r="E7"/>
          <cell r="F7">
            <v>7000</v>
          </cell>
          <cell r="G7">
            <v>12000</v>
          </cell>
          <cell r="H7"/>
          <cell r="I7">
            <v>54585</v>
          </cell>
          <cell r="J7"/>
          <cell r="K7">
            <v>0</v>
          </cell>
          <cell r="L7"/>
          <cell r="M7">
            <v>0</v>
          </cell>
          <cell r="N7"/>
          <cell r="O7">
            <v>85</v>
          </cell>
          <cell r="P7"/>
          <cell r="Q7">
            <v>4601</v>
          </cell>
          <cell r="R7"/>
          <cell r="S7">
            <v>4</v>
          </cell>
        </row>
        <row r="8">
          <cell r="B8" t="str">
            <v xml:space="preserve">Sales Compensation - Scion only                                  </v>
          </cell>
          <cell r="C8"/>
          <cell r="D8"/>
          <cell r="E8"/>
          <cell r="F8">
            <v>7006</v>
          </cell>
          <cell r="G8"/>
          <cell r="H8"/>
          <cell r="I8"/>
          <cell r="J8"/>
          <cell r="K8"/>
          <cell r="L8"/>
          <cell r="M8"/>
          <cell r="N8"/>
          <cell r="O8"/>
          <cell r="P8"/>
          <cell r="Q8"/>
          <cell r="R8"/>
          <cell r="S8">
            <v>5</v>
          </cell>
        </row>
        <row r="9">
          <cell r="B9" t="str">
            <v xml:space="preserve">Supervision Compensation                     </v>
          </cell>
          <cell r="C9"/>
          <cell r="D9"/>
          <cell r="E9"/>
          <cell r="F9">
            <v>7010</v>
          </cell>
          <cell r="G9">
            <v>3000</v>
          </cell>
          <cell r="H9"/>
          <cell r="I9">
            <v>20500</v>
          </cell>
          <cell r="J9"/>
          <cell r="K9">
            <v>0</v>
          </cell>
          <cell r="L9"/>
          <cell r="M9">
            <v>0</v>
          </cell>
          <cell r="N9"/>
          <cell r="O9">
            <v>9504</v>
          </cell>
          <cell r="P9"/>
          <cell r="Q9">
            <v>23775</v>
          </cell>
          <cell r="R9"/>
          <cell r="S9">
            <v>6</v>
          </cell>
        </row>
        <row r="10">
          <cell r="B10" t="str">
            <v xml:space="preserve">Supervision Compensation - Scion only                     </v>
          </cell>
          <cell r="C10"/>
          <cell r="D10"/>
          <cell r="E10"/>
          <cell r="F10">
            <v>7016</v>
          </cell>
          <cell r="G10"/>
          <cell r="H10"/>
          <cell r="I10"/>
          <cell r="J10"/>
          <cell r="K10"/>
          <cell r="L10"/>
          <cell r="M10"/>
          <cell r="N10"/>
          <cell r="O10"/>
          <cell r="P10"/>
          <cell r="Q10"/>
          <cell r="R10"/>
          <cell r="S10">
            <v>7</v>
          </cell>
        </row>
        <row r="11">
          <cell r="B11" t="str">
            <v>Delivery Expenses</v>
          </cell>
          <cell r="C11"/>
          <cell r="D11"/>
          <cell r="E11"/>
          <cell r="F11">
            <v>7020</v>
          </cell>
          <cell r="G11"/>
          <cell r="H11"/>
          <cell r="I11"/>
          <cell r="J11"/>
          <cell r="K11"/>
          <cell r="L11"/>
          <cell r="M11"/>
          <cell r="N11"/>
          <cell r="O11"/>
          <cell r="P11"/>
          <cell r="Q11"/>
          <cell r="R11"/>
          <cell r="S11">
            <v>8</v>
          </cell>
        </row>
        <row r="12">
          <cell r="B12" t="str">
            <v>Finance, Ins., &amp; Svc. Ctr. Commissions</v>
          </cell>
          <cell r="C12"/>
          <cell r="D12"/>
          <cell r="E12"/>
          <cell r="F12">
            <v>7030</v>
          </cell>
          <cell r="G12"/>
          <cell r="H12"/>
          <cell r="I12"/>
          <cell r="J12"/>
          <cell r="K12"/>
          <cell r="L12"/>
          <cell r="M12"/>
          <cell r="N12"/>
          <cell r="O12"/>
          <cell r="P12"/>
          <cell r="Q12"/>
          <cell r="R12"/>
          <cell r="S12">
            <v>9</v>
          </cell>
        </row>
        <row r="13">
          <cell r="B13" t="str">
            <v>Finc, Ins., &amp; Svc.Ctr.Com. - Scion only</v>
          </cell>
          <cell r="C13"/>
          <cell r="D13"/>
          <cell r="E13"/>
          <cell r="F13">
            <v>7036</v>
          </cell>
          <cell r="G13"/>
          <cell r="H13"/>
          <cell r="I13"/>
          <cell r="J13"/>
          <cell r="K13"/>
          <cell r="L13"/>
          <cell r="M13"/>
          <cell r="N13"/>
          <cell r="O13"/>
          <cell r="P13"/>
          <cell r="Q13"/>
          <cell r="R13"/>
          <cell r="S13">
            <v>10</v>
          </cell>
        </row>
        <row r="14">
          <cell r="B14" t="str">
            <v>Advertising - Departmental</v>
          </cell>
          <cell r="C14"/>
          <cell r="D14"/>
          <cell r="E14"/>
          <cell r="F14">
            <v>7040</v>
          </cell>
          <cell r="G14">
            <v>1835</v>
          </cell>
          <cell r="H14"/>
          <cell r="I14">
            <v>4814</v>
          </cell>
          <cell r="J14"/>
          <cell r="K14">
            <v>0</v>
          </cell>
          <cell r="L14"/>
          <cell r="M14">
            <v>0</v>
          </cell>
          <cell r="N14"/>
          <cell r="O14">
            <v>786</v>
          </cell>
          <cell r="P14"/>
          <cell r="Q14">
            <v>2063</v>
          </cell>
          <cell r="R14"/>
          <cell r="S14">
            <v>11</v>
          </cell>
        </row>
        <row r="15">
          <cell r="B15" t="str">
            <v>Interest - Floor Plan</v>
          </cell>
          <cell r="C15"/>
          <cell r="D15"/>
          <cell r="E15"/>
          <cell r="F15">
            <v>7050</v>
          </cell>
          <cell r="G15"/>
          <cell r="H15"/>
          <cell r="I15"/>
          <cell r="J15"/>
          <cell r="K15"/>
          <cell r="L15"/>
          <cell r="M15"/>
          <cell r="N15"/>
          <cell r="O15"/>
          <cell r="P15"/>
          <cell r="Q15"/>
          <cell r="R15"/>
          <cell r="S15">
            <v>12</v>
          </cell>
        </row>
        <row r="16">
          <cell r="B16" t="str">
            <v xml:space="preserve">TOTAL SELLING EXPENSES  </v>
          </cell>
          <cell r="C16"/>
          <cell r="D16"/>
          <cell r="E16" t="str">
            <v>LINES 4 TO 12</v>
          </cell>
          <cell r="F16"/>
          <cell r="G16">
            <v>16835</v>
          </cell>
          <cell r="H16"/>
          <cell r="I16">
            <v>79899</v>
          </cell>
          <cell r="J16"/>
          <cell r="K16">
            <v>0</v>
          </cell>
          <cell r="L16"/>
          <cell r="M16">
            <v>0</v>
          </cell>
          <cell r="N16"/>
          <cell r="O16">
            <v>10375</v>
          </cell>
          <cell r="P16"/>
          <cell r="Q16">
            <v>30439</v>
          </cell>
          <cell r="R16"/>
          <cell r="S16">
            <v>13</v>
          </cell>
        </row>
        <row r="17">
          <cell r="B17" t="str">
            <v>Policy &amp; Claims Adjustments</v>
          </cell>
          <cell r="C17"/>
          <cell r="D17"/>
          <cell r="F17" t="str">
            <v>7110/7120</v>
          </cell>
          <cell r="G17">
            <v>1075</v>
          </cell>
          <cell r="H17"/>
          <cell r="I17">
            <v>2223</v>
          </cell>
          <cell r="J17"/>
          <cell r="K17">
            <v>0</v>
          </cell>
          <cell r="L17"/>
          <cell r="M17">
            <v>0</v>
          </cell>
          <cell r="N17"/>
          <cell r="O17">
            <v>304</v>
          </cell>
          <cell r="P17"/>
          <cell r="Q17">
            <v>857</v>
          </cell>
          <cell r="R17"/>
          <cell r="S17">
            <v>14</v>
          </cell>
        </row>
        <row r="18">
          <cell r="B18" t="str">
            <v>Demos. &amp; Company Vehicles - Dept'l.</v>
          </cell>
          <cell r="C18"/>
          <cell r="D18"/>
          <cell r="E18"/>
          <cell r="F18">
            <v>7140</v>
          </cell>
          <cell r="G18">
            <v>30</v>
          </cell>
          <cell r="H18"/>
          <cell r="I18">
            <v>993</v>
          </cell>
          <cell r="J18"/>
          <cell r="K18">
            <v>0</v>
          </cell>
          <cell r="L18"/>
          <cell r="M18">
            <v>0</v>
          </cell>
          <cell r="N18"/>
          <cell r="O18">
            <v>0</v>
          </cell>
          <cell r="P18"/>
          <cell r="Q18">
            <v>1049</v>
          </cell>
          <cell r="R18"/>
          <cell r="S18">
            <v>15</v>
          </cell>
        </row>
        <row r="19">
          <cell r="B19" t="str">
            <v>Inventory Maintenance</v>
          </cell>
          <cell r="C19"/>
          <cell r="D19"/>
          <cell r="E19"/>
          <cell r="F19">
            <v>7150</v>
          </cell>
          <cell r="G19"/>
          <cell r="H19"/>
          <cell r="I19"/>
          <cell r="J19"/>
          <cell r="K19"/>
          <cell r="L19"/>
          <cell r="M19"/>
          <cell r="N19"/>
          <cell r="O19">
            <v>0</v>
          </cell>
          <cell r="P19"/>
          <cell r="Q19">
            <v>0</v>
          </cell>
          <cell r="R19"/>
          <cell r="S19">
            <v>16</v>
          </cell>
        </row>
        <row r="20">
          <cell r="B20" t="str">
            <v>Personnel Training</v>
          </cell>
          <cell r="C20"/>
          <cell r="D20"/>
          <cell r="E20"/>
          <cell r="F20">
            <v>7160</v>
          </cell>
          <cell r="G20">
            <v>1031</v>
          </cell>
          <cell r="H20"/>
          <cell r="I20">
            <v>2348</v>
          </cell>
          <cell r="J20"/>
          <cell r="K20">
            <v>0</v>
          </cell>
          <cell r="L20"/>
          <cell r="M20">
            <v>0</v>
          </cell>
          <cell r="N20"/>
          <cell r="O20">
            <v>681</v>
          </cell>
          <cell r="P20"/>
          <cell r="Q20">
            <v>1823</v>
          </cell>
          <cell r="R20"/>
          <cell r="S20">
            <v>17</v>
          </cell>
        </row>
        <row r="21">
          <cell r="B21" t="str">
            <v>Outside Services - Departmental</v>
          </cell>
          <cell r="C21"/>
          <cell r="D21"/>
          <cell r="E21"/>
          <cell r="F21">
            <v>7170</v>
          </cell>
          <cell r="G21">
            <v>157</v>
          </cell>
          <cell r="H21"/>
          <cell r="I21">
            <v>13637</v>
          </cell>
          <cell r="J21"/>
          <cell r="K21">
            <v>0</v>
          </cell>
          <cell r="L21"/>
          <cell r="M21">
            <v>0</v>
          </cell>
          <cell r="N21"/>
          <cell r="O21">
            <v>495</v>
          </cell>
          <cell r="P21"/>
          <cell r="Q21">
            <v>7853</v>
          </cell>
          <cell r="R21"/>
          <cell r="S21">
            <v>18</v>
          </cell>
        </row>
        <row r="22">
          <cell r="B22" t="str">
            <v>Freight</v>
          </cell>
          <cell r="C22"/>
          <cell r="D22"/>
          <cell r="E22"/>
          <cell r="F22">
            <v>7180</v>
          </cell>
          <cell r="G22"/>
          <cell r="H22"/>
          <cell r="I22"/>
          <cell r="J22"/>
          <cell r="K22"/>
          <cell r="L22"/>
          <cell r="M22"/>
          <cell r="N22"/>
          <cell r="O22">
            <v>255</v>
          </cell>
          <cell r="P22"/>
          <cell r="Q22">
            <v>831</v>
          </cell>
          <cell r="R22"/>
          <cell r="S22">
            <v>19</v>
          </cell>
        </row>
        <row r="23">
          <cell r="B23" t="str">
            <v>Supplies &amp; Small Tools</v>
          </cell>
          <cell r="C23"/>
          <cell r="D23"/>
          <cell r="E23"/>
          <cell r="F23">
            <v>7190</v>
          </cell>
          <cell r="G23">
            <v>-500</v>
          </cell>
          <cell r="H23"/>
          <cell r="I23">
            <v>-7331</v>
          </cell>
          <cell r="J23"/>
          <cell r="K23">
            <v>0</v>
          </cell>
          <cell r="L23"/>
          <cell r="M23">
            <v>0</v>
          </cell>
          <cell r="N23"/>
          <cell r="O23">
            <v>164</v>
          </cell>
          <cell r="P23"/>
          <cell r="Q23">
            <v>420</v>
          </cell>
          <cell r="R23"/>
          <cell r="S23">
            <v>20</v>
          </cell>
        </row>
        <row r="24">
          <cell r="B24" t="str">
            <v>Laundry &amp; Uniforms</v>
          </cell>
          <cell r="C24"/>
          <cell r="D24"/>
          <cell r="E24"/>
          <cell r="F24">
            <v>7200</v>
          </cell>
          <cell r="G24">
            <v>337</v>
          </cell>
          <cell r="H24"/>
          <cell r="I24">
            <v>1564</v>
          </cell>
          <cell r="J24"/>
          <cell r="K24">
            <v>0</v>
          </cell>
          <cell r="L24"/>
          <cell r="M24">
            <v>0</v>
          </cell>
          <cell r="N24"/>
          <cell r="O24">
            <v>113</v>
          </cell>
          <cell r="P24"/>
          <cell r="Q24">
            <v>255</v>
          </cell>
          <cell r="R24"/>
          <cell r="S24">
            <v>21</v>
          </cell>
        </row>
        <row r="25">
          <cell r="B25" t="str">
            <v>Depr. - Equip. &amp; Vehicles - Dept'l.</v>
          </cell>
          <cell r="C25"/>
          <cell r="D25"/>
          <cell r="E25"/>
          <cell r="F25">
            <v>7210</v>
          </cell>
          <cell r="G25">
            <v>0</v>
          </cell>
          <cell r="H25"/>
          <cell r="I25">
            <v>2250</v>
          </cell>
          <cell r="J25"/>
          <cell r="K25">
            <v>0</v>
          </cell>
          <cell r="L25"/>
          <cell r="M25">
            <v>0</v>
          </cell>
          <cell r="N25"/>
          <cell r="O25">
            <v>0</v>
          </cell>
          <cell r="P25"/>
          <cell r="Q25">
            <v>1500</v>
          </cell>
          <cell r="R25"/>
          <cell r="S25">
            <v>22</v>
          </cell>
        </row>
        <row r="26">
          <cell r="B26" t="str">
            <v>Equip. - Maint., Repair &amp; Rental - Dept'l.</v>
          </cell>
          <cell r="C26"/>
          <cell r="D26"/>
          <cell r="E26"/>
          <cell r="F26">
            <v>7220</v>
          </cell>
          <cell r="G26">
            <v>274</v>
          </cell>
          <cell r="H26"/>
          <cell r="I26">
            <v>274</v>
          </cell>
          <cell r="J26"/>
          <cell r="K26">
            <v>0</v>
          </cell>
          <cell r="L26"/>
          <cell r="M26">
            <v>0</v>
          </cell>
          <cell r="N26"/>
          <cell r="O26">
            <v>183</v>
          </cell>
          <cell r="P26"/>
          <cell r="Q26">
            <v>183</v>
          </cell>
          <cell r="R26"/>
          <cell r="S26">
            <v>23</v>
          </cell>
        </row>
        <row r="27">
          <cell r="B27" t="str">
            <v>Miscellaneous Expenses</v>
          </cell>
          <cell r="C27"/>
          <cell r="D27"/>
          <cell r="E27"/>
          <cell r="F27">
            <v>7230</v>
          </cell>
          <cell r="G27">
            <v>0</v>
          </cell>
          <cell r="H27"/>
          <cell r="I27">
            <v>36</v>
          </cell>
          <cell r="J27"/>
          <cell r="K27">
            <v>0</v>
          </cell>
          <cell r="L27"/>
          <cell r="M27">
            <v>0</v>
          </cell>
          <cell r="N27"/>
          <cell r="O27">
            <v>0</v>
          </cell>
          <cell r="P27"/>
          <cell r="Q27">
            <v>6</v>
          </cell>
          <cell r="R27"/>
          <cell r="S27">
            <v>24</v>
          </cell>
        </row>
        <row r="28">
          <cell r="B28" t="str">
            <v xml:space="preserve">Salaries &amp; Wages                    </v>
          </cell>
          <cell r="C28"/>
          <cell r="D28"/>
          <cell r="E28"/>
          <cell r="F28" t="str">
            <v>7250</v>
          </cell>
          <cell r="G28">
            <v>11268</v>
          </cell>
          <cell r="H28"/>
          <cell r="I28">
            <v>33258</v>
          </cell>
          <cell r="J28"/>
          <cell r="K28">
            <v>0</v>
          </cell>
          <cell r="L28"/>
          <cell r="M28">
            <v>0</v>
          </cell>
          <cell r="N28"/>
          <cell r="O28">
            <v>6430</v>
          </cell>
          <cell r="P28"/>
          <cell r="Q28">
            <v>20627</v>
          </cell>
          <cell r="R28"/>
          <cell r="S28">
            <v>25</v>
          </cell>
        </row>
        <row r="29">
          <cell r="B29" t="str">
            <v xml:space="preserve">Clerical Salaries                                  </v>
          </cell>
          <cell r="C29"/>
          <cell r="D29"/>
          <cell r="E29"/>
          <cell r="F29" t="str">
            <v>7260</v>
          </cell>
          <cell r="G29">
            <v>4139</v>
          </cell>
          <cell r="H29"/>
          <cell r="I29">
            <v>8515</v>
          </cell>
          <cell r="J29"/>
          <cell r="K29">
            <v>0</v>
          </cell>
          <cell r="L29"/>
          <cell r="M29">
            <v>0</v>
          </cell>
          <cell r="N29"/>
          <cell r="O29">
            <v>0</v>
          </cell>
          <cell r="P29"/>
          <cell r="Q29">
            <v>0</v>
          </cell>
          <cell r="R29"/>
          <cell r="S29">
            <v>26</v>
          </cell>
        </row>
        <row r="30">
          <cell r="B30" t="str">
            <v xml:space="preserve">Vacation &amp; Time Off Pay                     </v>
          </cell>
          <cell r="C30"/>
          <cell r="D30"/>
          <cell r="E30"/>
          <cell r="F30">
            <v>7270</v>
          </cell>
          <cell r="G30">
            <v>3049</v>
          </cell>
          <cell r="H30"/>
          <cell r="I30">
            <v>4453</v>
          </cell>
          <cell r="J30"/>
          <cell r="K30">
            <v>0</v>
          </cell>
          <cell r="L30"/>
          <cell r="M30">
            <v>0</v>
          </cell>
          <cell r="N30"/>
          <cell r="O30">
            <v>496</v>
          </cell>
          <cell r="P30"/>
          <cell r="Q30">
            <v>661</v>
          </cell>
          <cell r="R30"/>
          <cell r="S30">
            <v>27</v>
          </cell>
        </row>
        <row r="31">
          <cell r="B31" t="str">
            <v>TOTAL OPERATING EXPENSES</v>
          </cell>
          <cell r="C31"/>
          <cell r="D31"/>
          <cell r="E31" t="str">
            <v xml:space="preserve">LINES 14 - 27 </v>
          </cell>
          <cell r="F31"/>
          <cell r="G31">
            <v>20860</v>
          </cell>
          <cell r="H31"/>
          <cell r="I31">
            <v>62220</v>
          </cell>
          <cell r="J31"/>
          <cell r="K31">
            <v>0</v>
          </cell>
          <cell r="L31"/>
          <cell r="M31">
            <v>0</v>
          </cell>
          <cell r="N31"/>
          <cell r="O31">
            <v>9121</v>
          </cell>
          <cell r="P31"/>
          <cell r="Q31">
            <v>36065</v>
          </cell>
          <cell r="R31"/>
          <cell r="S31">
            <v>28</v>
          </cell>
        </row>
        <row r="32">
          <cell r="B32" t="str">
            <v>TOTAL SELLING &amp; OPER. EXPS.</v>
          </cell>
          <cell r="C32"/>
          <cell r="D32"/>
          <cell r="E32" t="str">
            <v>LINES 13 &amp; 28</v>
          </cell>
          <cell r="F32"/>
          <cell r="G32">
            <v>37695</v>
          </cell>
          <cell r="H32"/>
          <cell r="I32">
            <v>142119</v>
          </cell>
          <cell r="J32"/>
          <cell r="K32">
            <v>0</v>
          </cell>
          <cell r="L32"/>
          <cell r="M32">
            <v>0</v>
          </cell>
          <cell r="N32"/>
          <cell r="O32">
            <v>19496</v>
          </cell>
          <cell r="P32"/>
          <cell r="Q32">
            <v>66504</v>
          </cell>
          <cell r="R32"/>
          <cell r="S32">
            <v>29</v>
          </cell>
        </row>
        <row r="33">
          <cell r="B33" t="str">
            <v>TOTAL SELL. &amp; OPER. EXPS % OF G.P.</v>
          </cell>
          <cell r="C33"/>
          <cell r="D33"/>
          <cell r="E33"/>
          <cell r="F33"/>
          <cell r="G33"/>
          <cell r="H33">
            <v>0.44240880709825831</v>
          </cell>
          <cell r="I33"/>
          <cell r="J33">
            <v>0.39458428426260639</v>
          </cell>
          <cell r="K33"/>
          <cell r="L33" t="str">
            <v>-</v>
          </cell>
          <cell r="M33"/>
          <cell r="N33" t="str">
            <v>-</v>
          </cell>
          <cell r="O33"/>
          <cell r="P33">
            <v>0.37821793702834305</v>
          </cell>
          <cell r="Q33"/>
          <cell r="R33">
            <v>0.35367319371616374</v>
          </cell>
          <cell r="S33">
            <v>30</v>
          </cell>
        </row>
        <row r="34">
          <cell r="B34" t="str">
            <v>DEPT'L PROFIT (LOSS)</v>
          </cell>
          <cell r="C34"/>
          <cell r="D34"/>
          <cell r="E34" t="str">
            <v>LINE 2 LESS 29</v>
          </cell>
          <cell r="F34"/>
          <cell r="G34">
            <v>47509</v>
          </cell>
          <cell r="H34"/>
          <cell r="I34">
            <v>218055</v>
          </cell>
          <cell r="J34"/>
          <cell r="K34">
            <v>0</v>
          </cell>
          <cell r="L34"/>
          <cell r="M34">
            <v>0</v>
          </cell>
          <cell r="N34"/>
          <cell r="O34">
            <v>32051</v>
          </cell>
          <cell r="P34"/>
          <cell r="Q34">
            <v>121534</v>
          </cell>
          <cell r="R34"/>
          <cell r="S34">
            <v>31</v>
          </cell>
        </row>
        <row r="35">
          <cell r="B35" t="str">
            <v>Rent &amp; Equivalent</v>
          </cell>
          <cell r="C35"/>
          <cell r="D35"/>
          <cell r="E35"/>
          <cell r="F35">
            <v>7400</v>
          </cell>
          <cell r="G35">
            <v>9000</v>
          </cell>
          <cell r="H35"/>
          <cell r="I35">
            <v>35992</v>
          </cell>
          <cell r="J35"/>
          <cell r="K35">
            <v>0</v>
          </cell>
          <cell r="L35"/>
          <cell r="M35">
            <v>0</v>
          </cell>
          <cell r="N35"/>
          <cell r="O35">
            <v>6000</v>
          </cell>
          <cell r="P35"/>
          <cell r="Q35">
            <v>23995</v>
          </cell>
          <cell r="R35"/>
          <cell r="S35">
            <v>32</v>
          </cell>
        </row>
        <row r="36">
          <cell r="B36" t="str">
            <v xml:space="preserve">Salaries &amp; Wages - Admin. &amp; General     </v>
          </cell>
          <cell r="C36"/>
          <cell r="D36"/>
          <cell r="E36"/>
          <cell r="F36">
            <v>7410</v>
          </cell>
          <cell r="G36">
            <v>9007</v>
          </cell>
          <cell r="H36"/>
          <cell r="I36">
            <v>24476</v>
          </cell>
          <cell r="J36"/>
          <cell r="K36">
            <v>0</v>
          </cell>
          <cell r="L36"/>
          <cell r="M36">
            <v>0</v>
          </cell>
          <cell r="N36"/>
          <cell r="O36">
            <v>6005</v>
          </cell>
          <cell r="P36"/>
          <cell r="Q36">
            <v>16317</v>
          </cell>
          <cell r="R36"/>
          <cell r="S36">
            <v>33</v>
          </cell>
        </row>
        <row r="37">
          <cell r="B37" t="str">
            <v>Owners Salaries</v>
          </cell>
          <cell r="C37"/>
          <cell r="D37"/>
          <cell r="E37"/>
          <cell r="F37">
            <v>7420</v>
          </cell>
          <cell r="G37">
            <v>6000</v>
          </cell>
          <cell r="H37"/>
          <cell r="I37">
            <v>23675</v>
          </cell>
          <cell r="J37"/>
          <cell r="K37">
            <v>0</v>
          </cell>
          <cell r="L37"/>
          <cell r="M37">
            <v>0</v>
          </cell>
          <cell r="N37"/>
          <cell r="O37">
            <v>4000</v>
          </cell>
          <cell r="P37"/>
          <cell r="Q37">
            <v>15950</v>
          </cell>
          <cell r="R37"/>
          <cell r="S37">
            <v>34</v>
          </cell>
        </row>
        <row r="38">
          <cell r="B38" t="str">
            <v xml:space="preserve">Payroll Taxes                                         </v>
          </cell>
          <cell r="C38"/>
          <cell r="D38"/>
          <cell r="E38"/>
          <cell r="F38">
            <v>7430</v>
          </cell>
          <cell r="G38">
            <v>8298</v>
          </cell>
          <cell r="H38"/>
          <cell r="I38">
            <v>21777</v>
          </cell>
          <cell r="J38"/>
          <cell r="K38">
            <v>0</v>
          </cell>
          <cell r="L38"/>
          <cell r="M38">
            <v>0</v>
          </cell>
          <cell r="N38"/>
          <cell r="O38">
            <v>2226</v>
          </cell>
          <cell r="P38"/>
          <cell r="Q38">
            <v>6269</v>
          </cell>
          <cell r="R38"/>
          <cell r="S38">
            <v>35</v>
          </cell>
        </row>
        <row r="39">
          <cell r="B39" t="str">
            <v xml:space="preserve">Employee Benefits                                 </v>
          </cell>
          <cell r="C39"/>
          <cell r="D39"/>
          <cell r="E39"/>
          <cell r="F39">
            <v>7440</v>
          </cell>
          <cell r="G39">
            <v>8534</v>
          </cell>
          <cell r="H39"/>
          <cell r="I39">
            <v>21570</v>
          </cell>
          <cell r="J39"/>
          <cell r="K39">
            <v>0</v>
          </cell>
          <cell r="L39"/>
          <cell r="M39">
            <v>0</v>
          </cell>
          <cell r="N39"/>
          <cell r="O39">
            <v>6913</v>
          </cell>
          <cell r="P39"/>
          <cell r="Q39">
            <v>16534</v>
          </cell>
          <cell r="R39"/>
          <cell r="S39">
            <v>36</v>
          </cell>
        </row>
        <row r="40">
          <cell r="B40" t="str">
            <v xml:space="preserve">Pension Fund/Profit Sharing                  </v>
          </cell>
          <cell r="C40"/>
          <cell r="D40"/>
          <cell r="E40"/>
          <cell r="F40">
            <v>7450</v>
          </cell>
          <cell r="G40">
            <v>0</v>
          </cell>
          <cell r="H40"/>
          <cell r="I40">
            <v>0</v>
          </cell>
          <cell r="J40"/>
          <cell r="K40">
            <v>0</v>
          </cell>
          <cell r="L40"/>
          <cell r="M40">
            <v>0</v>
          </cell>
          <cell r="N40"/>
          <cell r="O40">
            <v>0</v>
          </cell>
          <cell r="P40"/>
          <cell r="Q40">
            <v>0</v>
          </cell>
          <cell r="R40"/>
          <cell r="S40">
            <v>37</v>
          </cell>
        </row>
        <row r="41">
          <cell r="B41" t="str">
            <v>Advertising General &amp; Institutional</v>
          </cell>
          <cell r="C41"/>
          <cell r="D41"/>
          <cell r="E41"/>
          <cell r="F41">
            <v>7460</v>
          </cell>
          <cell r="G41">
            <v>-11511</v>
          </cell>
          <cell r="H41"/>
          <cell r="I41">
            <v>-11001</v>
          </cell>
          <cell r="J41"/>
          <cell r="K41">
            <v>0</v>
          </cell>
          <cell r="L41"/>
          <cell r="M41">
            <v>0</v>
          </cell>
          <cell r="N41"/>
          <cell r="O41">
            <v>-7674</v>
          </cell>
          <cell r="P41"/>
          <cell r="Q41">
            <v>-7334</v>
          </cell>
          <cell r="R41"/>
          <cell r="S41">
            <v>38</v>
          </cell>
        </row>
        <row r="42">
          <cell r="B42" t="str">
            <v>Stationery &amp; Office Supplies</v>
          </cell>
          <cell r="C42"/>
          <cell r="D42"/>
          <cell r="E42"/>
          <cell r="F42" t="str">
            <v>7470</v>
          </cell>
          <cell r="G42">
            <v>716</v>
          </cell>
          <cell r="H42"/>
          <cell r="I42">
            <v>2969</v>
          </cell>
          <cell r="J42"/>
          <cell r="K42">
            <v>0</v>
          </cell>
          <cell r="L42"/>
          <cell r="M42">
            <v>0</v>
          </cell>
          <cell r="N42"/>
          <cell r="O42">
            <v>477</v>
          </cell>
          <cell r="P42"/>
          <cell r="Q42">
            <v>1959</v>
          </cell>
          <cell r="R42"/>
          <cell r="S42">
            <v>39</v>
          </cell>
        </row>
        <row r="43">
          <cell r="B43" t="str">
            <v>Data Processing Services</v>
          </cell>
          <cell r="C43"/>
          <cell r="D43"/>
          <cell r="E43"/>
          <cell r="F43">
            <v>7480</v>
          </cell>
          <cell r="G43">
            <v>-4509</v>
          </cell>
          <cell r="H43"/>
          <cell r="I43">
            <v>14828</v>
          </cell>
          <cell r="J43"/>
          <cell r="K43">
            <v>0</v>
          </cell>
          <cell r="L43"/>
          <cell r="M43">
            <v>0</v>
          </cell>
          <cell r="N43"/>
          <cell r="O43">
            <v>-3050</v>
          </cell>
          <cell r="P43"/>
          <cell r="Q43">
            <v>9439</v>
          </cell>
          <cell r="R43"/>
          <cell r="S43">
            <v>40</v>
          </cell>
        </row>
        <row r="44">
          <cell r="B44" t="str">
            <v>Outside Services - Gen. &amp; Inst.</v>
          </cell>
          <cell r="C44"/>
          <cell r="D44"/>
          <cell r="E44"/>
          <cell r="F44">
            <v>7490</v>
          </cell>
          <cell r="G44">
            <v>450</v>
          </cell>
          <cell r="H44"/>
          <cell r="I44">
            <v>450</v>
          </cell>
          <cell r="J44"/>
          <cell r="K44">
            <v>0</v>
          </cell>
          <cell r="L44"/>
          <cell r="M44">
            <v>0</v>
          </cell>
          <cell r="N44"/>
          <cell r="O44">
            <v>300</v>
          </cell>
          <cell r="P44"/>
          <cell r="Q44">
            <v>300</v>
          </cell>
          <cell r="R44"/>
          <cell r="S44">
            <v>41</v>
          </cell>
        </row>
        <row r="45">
          <cell r="B45" t="str">
            <v>Company Vehicles- Administration</v>
          </cell>
          <cell r="C45"/>
          <cell r="D45"/>
          <cell r="E45"/>
          <cell r="F45">
            <v>7500</v>
          </cell>
          <cell r="G45">
            <v>0</v>
          </cell>
          <cell r="H45"/>
          <cell r="I45">
            <v>0</v>
          </cell>
          <cell r="J45"/>
          <cell r="K45">
            <v>0</v>
          </cell>
          <cell r="L45"/>
          <cell r="M45">
            <v>0</v>
          </cell>
          <cell r="N45"/>
          <cell r="O45">
            <v>0</v>
          </cell>
          <cell r="P45"/>
          <cell r="Q45">
            <v>0</v>
          </cell>
          <cell r="R45"/>
          <cell r="S45">
            <v>42</v>
          </cell>
        </row>
        <row r="46">
          <cell r="B46" t="str">
            <v>Contributions</v>
          </cell>
          <cell r="C46"/>
          <cell r="D46"/>
          <cell r="E46"/>
          <cell r="F46">
            <v>7510</v>
          </cell>
          <cell r="G46">
            <v>59</v>
          </cell>
          <cell r="H46"/>
          <cell r="I46">
            <v>191</v>
          </cell>
          <cell r="J46"/>
          <cell r="K46">
            <v>0</v>
          </cell>
          <cell r="L46"/>
          <cell r="M46">
            <v>0</v>
          </cell>
          <cell r="N46"/>
          <cell r="O46">
            <v>39</v>
          </cell>
          <cell r="P46"/>
          <cell r="Q46">
            <v>127</v>
          </cell>
          <cell r="R46"/>
          <cell r="S46">
            <v>43</v>
          </cell>
        </row>
        <row r="47">
          <cell r="B47" t="str">
            <v>Dues &amp; Subscriptions</v>
          </cell>
          <cell r="C47"/>
          <cell r="D47"/>
          <cell r="E47"/>
          <cell r="F47">
            <v>7520</v>
          </cell>
          <cell r="G47">
            <v>253</v>
          </cell>
          <cell r="H47"/>
          <cell r="I47">
            <v>880</v>
          </cell>
          <cell r="J47"/>
          <cell r="K47">
            <v>0</v>
          </cell>
          <cell r="L47"/>
          <cell r="M47">
            <v>0</v>
          </cell>
          <cell r="N47"/>
          <cell r="O47">
            <v>169</v>
          </cell>
          <cell r="P47"/>
          <cell r="Q47">
            <v>587</v>
          </cell>
          <cell r="R47"/>
          <cell r="S47">
            <v>44</v>
          </cell>
        </row>
        <row r="48">
          <cell r="B48" t="str">
            <v xml:space="preserve">Telephone </v>
          </cell>
          <cell r="C48"/>
          <cell r="D48"/>
          <cell r="E48"/>
          <cell r="F48" t="str">
            <v>7530</v>
          </cell>
          <cell r="G48">
            <v>419</v>
          </cell>
          <cell r="H48"/>
          <cell r="I48">
            <v>2696</v>
          </cell>
          <cell r="J48"/>
          <cell r="K48">
            <v>0</v>
          </cell>
          <cell r="L48"/>
          <cell r="M48">
            <v>0</v>
          </cell>
          <cell r="N48"/>
          <cell r="O48">
            <v>279</v>
          </cell>
          <cell r="P48"/>
          <cell r="Q48">
            <v>1797</v>
          </cell>
          <cell r="R48"/>
          <cell r="S48">
            <v>45</v>
          </cell>
        </row>
        <row r="49">
          <cell r="B49" t="str">
            <v>Legal and Auditing</v>
          </cell>
          <cell r="C49"/>
          <cell r="D49"/>
          <cell r="E49"/>
          <cell r="F49">
            <v>7540</v>
          </cell>
          <cell r="G49">
            <v>-1284</v>
          </cell>
          <cell r="H49"/>
          <cell r="I49">
            <v>3253</v>
          </cell>
          <cell r="J49"/>
          <cell r="K49">
            <v>0</v>
          </cell>
          <cell r="L49"/>
          <cell r="M49">
            <v>0</v>
          </cell>
          <cell r="N49"/>
          <cell r="O49">
            <v>-855</v>
          </cell>
          <cell r="P49"/>
          <cell r="Q49">
            <v>2169</v>
          </cell>
          <cell r="R49"/>
          <cell r="S49">
            <v>46</v>
          </cell>
        </row>
        <row r="50">
          <cell r="B50" t="str">
            <v>Postage</v>
          </cell>
          <cell r="C50"/>
          <cell r="D50"/>
          <cell r="E50"/>
          <cell r="F50" t="str">
            <v>7550</v>
          </cell>
          <cell r="G50">
            <v>580</v>
          </cell>
          <cell r="H50"/>
          <cell r="I50">
            <v>1674</v>
          </cell>
          <cell r="J50"/>
          <cell r="K50">
            <v>0</v>
          </cell>
          <cell r="L50"/>
          <cell r="M50">
            <v>0</v>
          </cell>
          <cell r="N50"/>
          <cell r="O50">
            <v>387</v>
          </cell>
          <cell r="P50"/>
          <cell r="Q50">
            <v>1116</v>
          </cell>
          <cell r="R50"/>
          <cell r="S50">
            <v>47</v>
          </cell>
        </row>
        <row r="51">
          <cell r="B51" t="str">
            <v>Travel &amp; Entertainments</v>
          </cell>
          <cell r="C51"/>
          <cell r="D51"/>
          <cell r="E51"/>
          <cell r="F51">
            <v>7560</v>
          </cell>
          <cell r="G51">
            <v>411</v>
          </cell>
          <cell r="H51"/>
          <cell r="I51">
            <v>1655</v>
          </cell>
          <cell r="J51"/>
          <cell r="K51">
            <v>0</v>
          </cell>
          <cell r="L51"/>
          <cell r="M51">
            <v>0</v>
          </cell>
          <cell r="N51"/>
          <cell r="O51">
            <v>274</v>
          </cell>
          <cell r="P51"/>
          <cell r="Q51">
            <v>1103</v>
          </cell>
          <cell r="R51"/>
          <cell r="S51">
            <v>48</v>
          </cell>
        </row>
        <row r="52">
          <cell r="B52" t="str">
            <v>Heat, Light, Power &amp; Water</v>
          </cell>
          <cell r="C52"/>
          <cell r="D52"/>
          <cell r="E52"/>
          <cell r="F52">
            <v>7570</v>
          </cell>
          <cell r="G52">
            <v>605</v>
          </cell>
          <cell r="H52"/>
          <cell r="I52">
            <v>5956</v>
          </cell>
          <cell r="J52"/>
          <cell r="K52">
            <v>0</v>
          </cell>
          <cell r="L52"/>
          <cell r="M52">
            <v>0</v>
          </cell>
          <cell r="N52"/>
          <cell r="O52">
            <v>403</v>
          </cell>
          <cell r="P52"/>
          <cell r="Q52">
            <v>3970</v>
          </cell>
          <cell r="R52"/>
          <cell r="S52">
            <v>49</v>
          </cell>
        </row>
        <row r="53">
          <cell r="B53" t="str">
            <v>Furniture, Signs, Fixtures &amp; Equipment - Depreciation, Maintenance, Repair &amp; Rental</v>
          </cell>
          <cell r="C53"/>
          <cell r="D53"/>
          <cell r="E53"/>
          <cell r="F53">
            <v>7580</v>
          </cell>
          <cell r="G53">
            <v>623</v>
          </cell>
          <cell r="H53"/>
          <cell r="I53">
            <v>2578</v>
          </cell>
          <cell r="J53"/>
          <cell r="K53">
            <v>0</v>
          </cell>
          <cell r="L53"/>
          <cell r="M53">
            <v>0</v>
          </cell>
          <cell r="N53"/>
          <cell r="O53">
            <v>416</v>
          </cell>
          <cell r="P53"/>
          <cell r="Q53">
            <v>1719</v>
          </cell>
          <cell r="R53"/>
          <cell r="S53">
            <v>50</v>
          </cell>
        </row>
        <row r="54">
          <cell r="B54" t="str">
            <v>Insurance - Other Than Bldgs. &amp; Improvements</v>
          </cell>
          <cell r="C54"/>
          <cell r="D54"/>
          <cell r="E54"/>
          <cell r="F54">
            <v>7590</v>
          </cell>
          <cell r="G54">
            <v>1187</v>
          </cell>
          <cell r="H54"/>
          <cell r="I54">
            <v>3560</v>
          </cell>
          <cell r="J54"/>
          <cell r="K54">
            <v>0</v>
          </cell>
          <cell r="L54"/>
          <cell r="M54">
            <v>0</v>
          </cell>
          <cell r="N54"/>
          <cell r="O54">
            <v>791</v>
          </cell>
          <cell r="P54"/>
          <cell r="Q54">
            <v>2373</v>
          </cell>
          <cell r="R54"/>
          <cell r="S54">
            <v>51</v>
          </cell>
        </row>
        <row r="55">
          <cell r="B55" t="str">
            <v>Taxes - Other Than R.E., Pay. &amp; Inc.</v>
          </cell>
          <cell r="C55"/>
          <cell r="D55"/>
          <cell r="E55"/>
          <cell r="F55">
            <v>7600</v>
          </cell>
          <cell r="G55">
            <v>-1061</v>
          </cell>
          <cell r="H55"/>
          <cell r="I55">
            <v>176</v>
          </cell>
          <cell r="J55"/>
          <cell r="K55">
            <v>0</v>
          </cell>
          <cell r="L55"/>
          <cell r="M55">
            <v>0</v>
          </cell>
          <cell r="N55"/>
          <cell r="O55">
            <v>-708</v>
          </cell>
          <cell r="P55"/>
          <cell r="Q55">
            <v>117</v>
          </cell>
          <cell r="R55"/>
          <cell r="S55">
            <v>52</v>
          </cell>
        </row>
        <row r="56">
          <cell r="B56" t="str">
            <v>Interest - Other Than Floor Plan &amp; R.E. Mortgage</v>
          </cell>
          <cell r="C56"/>
          <cell r="D56"/>
          <cell r="E56"/>
          <cell r="F56">
            <v>7610</v>
          </cell>
          <cell r="G56">
            <v>7970</v>
          </cell>
          <cell r="H56"/>
          <cell r="I56">
            <v>7970</v>
          </cell>
          <cell r="J56"/>
          <cell r="K56">
            <v>0</v>
          </cell>
          <cell r="L56"/>
          <cell r="M56">
            <v>0</v>
          </cell>
          <cell r="N56"/>
          <cell r="O56">
            <v>5313</v>
          </cell>
          <cell r="P56"/>
          <cell r="Q56">
            <v>5313</v>
          </cell>
          <cell r="R56"/>
          <cell r="S56">
            <v>53</v>
          </cell>
        </row>
        <row r="57">
          <cell r="B57" t="str">
            <v>TOTAL OVERHEAD EXPENSES</v>
          </cell>
          <cell r="C57"/>
          <cell r="D57"/>
          <cell r="E57" t="str">
            <v xml:space="preserve">LINES 32 - 53 </v>
          </cell>
          <cell r="F57"/>
          <cell r="G57">
            <v>35747</v>
          </cell>
          <cell r="H57"/>
          <cell r="I57">
            <v>165325</v>
          </cell>
          <cell r="J57"/>
          <cell r="K57">
            <v>0</v>
          </cell>
          <cell r="L57"/>
          <cell r="M57">
            <v>0</v>
          </cell>
          <cell r="N57"/>
          <cell r="O57">
            <v>21705</v>
          </cell>
          <cell r="P57"/>
          <cell r="Q57">
            <v>103820</v>
          </cell>
          <cell r="R57"/>
          <cell r="S57">
            <v>54</v>
          </cell>
        </row>
        <row r="58">
          <cell r="B58" t="str">
            <v>TOTAL EXPENSES</v>
          </cell>
          <cell r="C58"/>
          <cell r="D58"/>
          <cell r="E58" t="str">
            <v>LINES 29 &amp; 54</v>
          </cell>
          <cell r="F58"/>
          <cell r="G58">
            <v>73442</v>
          </cell>
          <cell r="H58"/>
          <cell r="I58">
            <v>307444</v>
          </cell>
          <cell r="J58"/>
          <cell r="K58">
            <v>0</v>
          </cell>
          <cell r="L58"/>
          <cell r="M58">
            <v>0</v>
          </cell>
          <cell r="N58"/>
          <cell r="O58">
            <v>41201</v>
          </cell>
          <cell r="P58"/>
          <cell r="Q58">
            <v>170324</v>
          </cell>
          <cell r="R58"/>
          <cell r="S58">
            <v>55</v>
          </cell>
        </row>
        <row r="59">
          <cell r="B59" t="str">
            <v>OPERATING PROFIT (LOSS)</v>
          </cell>
          <cell r="C59"/>
          <cell r="D59"/>
          <cell r="E59" t="str">
            <v>LINE 2 LESS 55</v>
          </cell>
          <cell r="F59"/>
          <cell r="G59">
            <v>11762</v>
          </cell>
          <cell r="H59"/>
          <cell r="I59">
            <v>52730</v>
          </cell>
          <cell r="J59"/>
          <cell r="K59">
            <v>0</v>
          </cell>
          <cell r="L59"/>
          <cell r="M59">
            <v>0</v>
          </cell>
          <cell r="N59"/>
          <cell r="O59">
            <v>10346</v>
          </cell>
          <cell r="P59"/>
          <cell r="Q59">
            <v>17714</v>
          </cell>
          <cell r="R59"/>
          <cell r="S59">
            <v>56</v>
          </cell>
        </row>
        <row r="60">
          <cell r="B60" t="str">
            <v>ANALYSIS OF OPERATION</v>
          </cell>
          <cell r="C60"/>
          <cell r="D60"/>
          <cell r="E60" t="str">
            <v>MONTH</v>
          </cell>
          <cell r="F60"/>
          <cell r="G60"/>
          <cell r="H60" t="str">
            <v>MONTH Prior Year</v>
          </cell>
          <cell r="I60"/>
          <cell r="J60"/>
          <cell r="K60" t="str">
            <v>YEAR TO DATE</v>
          </cell>
          <cell r="L60"/>
          <cell r="M60"/>
          <cell r="N60"/>
          <cell r="O60" t="str">
            <v>YEAR TO DATE  Prior Year</v>
          </cell>
          <cell r="P60"/>
          <cell r="Q60"/>
          <cell r="R60"/>
          <cell r="S60">
            <v>57</v>
          </cell>
        </row>
        <row r="61">
          <cell r="B61"/>
          <cell r="C61"/>
          <cell r="D61"/>
          <cell r="E61" t="str">
            <v>UNIT SALES</v>
          </cell>
          <cell r="F61" t="str">
            <v>DOLLARS</v>
          </cell>
          <cell r="G61" t="str">
            <v>% SALES</v>
          </cell>
          <cell r="H61" t="str">
            <v>UNIT SALES</v>
          </cell>
          <cell r="I61" t="str">
            <v>DOLLARS</v>
          </cell>
          <cell r="J61" t="str">
            <v>% SALES</v>
          </cell>
          <cell r="K61" t="str">
            <v>UNIT SALES</v>
          </cell>
          <cell r="L61" t="str">
            <v>DOLLARS</v>
          </cell>
          <cell r="M61"/>
          <cell r="N61" t="str">
            <v>% SALES</v>
          </cell>
          <cell r="O61" t="str">
            <v>UNIT SALES</v>
          </cell>
          <cell r="P61" t="str">
            <v>DOLLARS</v>
          </cell>
          <cell r="Q61"/>
          <cell r="R61" t="str">
            <v>% SALES</v>
          </cell>
          <cell r="S61">
            <v>58</v>
          </cell>
        </row>
        <row r="62">
          <cell r="B62" t="str">
            <v>Total Dollar Sales</v>
          </cell>
          <cell r="C62"/>
          <cell r="D62"/>
          <cell r="E62"/>
          <cell r="F62">
            <v>2846820</v>
          </cell>
          <cell r="G62"/>
          <cell r="H62"/>
          <cell r="I62">
            <v>0</v>
          </cell>
          <cell r="J62"/>
          <cell r="K62"/>
          <cell r="L62">
            <v>11866954</v>
          </cell>
          <cell r="M62"/>
          <cell r="N62"/>
          <cell r="O62"/>
          <cell r="P62">
            <v>0</v>
          </cell>
          <cell r="Q62"/>
          <cell r="R62"/>
          <cell r="S62">
            <v>59</v>
          </cell>
        </row>
        <row r="63">
          <cell r="B63" t="str">
            <v>New Vehicle Gross</v>
          </cell>
          <cell r="C63"/>
          <cell r="D63"/>
          <cell r="E63">
            <v>60</v>
          </cell>
          <cell r="F63">
            <v>120509</v>
          </cell>
          <cell r="G63">
            <v>4.2331092236249569E-2</v>
          </cell>
          <cell r="H63">
            <v>0</v>
          </cell>
          <cell r="I63">
            <v>0</v>
          </cell>
          <cell r="J63" t="str">
            <v>-</v>
          </cell>
          <cell r="K63">
            <v>239</v>
          </cell>
          <cell r="L63">
            <v>549859</v>
          </cell>
          <cell r="M63"/>
          <cell r="N63">
            <v>4.6335310645006289E-2</v>
          </cell>
          <cell r="O63">
            <v>0</v>
          </cell>
          <cell r="P63">
            <v>0</v>
          </cell>
          <cell r="Q63"/>
          <cell r="R63" t="str">
            <v>-</v>
          </cell>
          <cell r="S63">
            <v>60</v>
          </cell>
        </row>
        <row r="64">
          <cell r="B64" t="str">
            <v>Used Vehicle Gross</v>
          </cell>
          <cell r="C64"/>
          <cell r="D64"/>
          <cell r="E64">
            <v>39</v>
          </cell>
          <cell r="F64">
            <v>82320</v>
          </cell>
          <cell r="G64">
            <v>2.891647522498788E-2</v>
          </cell>
          <cell r="H64">
            <v>0</v>
          </cell>
          <cell r="I64">
            <v>0</v>
          </cell>
          <cell r="J64" t="str">
            <v>-</v>
          </cell>
          <cell r="K64">
            <v>173</v>
          </cell>
          <cell r="L64">
            <v>389128</v>
          </cell>
          <cell r="M64"/>
          <cell r="N64">
            <v>3.2790891411561891E-2</v>
          </cell>
          <cell r="O64">
            <v>0</v>
          </cell>
          <cell r="P64">
            <v>0</v>
          </cell>
          <cell r="Q64"/>
          <cell r="R64" t="str">
            <v>-</v>
          </cell>
          <cell r="S64">
            <v>61</v>
          </cell>
        </row>
        <row r="65">
          <cell r="B65" t="str">
            <v>Service Gross</v>
          </cell>
          <cell r="C65"/>
          <cell r="D65"/>
          <cell r="E65"/>
          <cell r="F65">
            <v>85204</v>
          </cell>
          <cell r="G65">
            <v>2.9929535411441537E-2</v>
          </cell>
          <cell r="H65"/>
          <cell r="I65">
            <v>0</v>
          </cell>
          <cell r="J65" t="str">
            <v>-</v>
          </cell>
          <cell r="K65"/>
          <cell r="L65">
            <v>360174</v>
          </cell>
          <cell r="M65"/>
          <cell r="N65">
            <v>3.0351006669445253E-2</v>
          </cell>
          <cell r="O65"/>
          <cell r="P65">
            <v>0</v>
          </cell>
          <cell r="Q65"/>
          <cell r="R65" t="str">
            <v>-</v>
          </cell>
          <cell r="S65">
            <v>62</v>
          </cell>
        </row>
        <row r="66">
          <cell r="B66" t="str">
            <v>Body Shop Gross</v>
          </cell>
          <cell r="C66"/>
          <cell r="D66"/>
          <cell r="E66"/>
          <cell r="F66">
            <v>0</v>
          </cell>
          <cell r="G66" t="str">
            <v>-</v>
          </cell>
          <cell r="H66"/>
          <cell r="I66">
            <v>0</v>
          </cell>
          <cell r="J66" t="str">
            <v>-</v>
          </cell>
          <cell r="K66"/>
          <cell r="L66">
            <v>0</v>
          </cell>
          <cell r="M66"/>
          <cell r="N66" t="str">
            <v>-</v>
          </cell>
          <cell r="O66"/>
          <cell r="P66">
            <v>0</v>
          </cell>
          <cell r="Q66"/>
          <cell r="R66" t="str">
            <v>-</v>
          </cell>
          <cell r="S66">
            <v>63</v>
          </cell>
        </row>
        <row r="67">
          <cell r="B67" t="str">
            <v>Parts &amp; Access Gross</v>
          </cell>
          <cell r="C67"/>
          <cell r="D67"/>
          <cell r="E67"/>
          <cell r="F67">
            <v>51547</v>
          </cell>
          <cell r="G67">
            <v>1.8106870121749882E-2</v>
          </cell>
          <cell r="H67"/>
          <cell r="I67">
            <v>0</v>
          </cell>
          <cell r="J67" t="str">
            <v>-</v>
          </cell>
          <cell r="K67"/>
          <cell r="L67">
            <v>188038</v>
          </cell>
          <cell r="M67"/>
          <cell r="N67">
            <v>1.5845515201289226E-2</v>
          </cell>
          <cell r="O67"/>
          <cell r="P67">
            <v>0</v>
          </cell>
          <cell r="Q67"/>
          <cell r="R67" t="str">
            <v>-</v>
          </cell>
          <cell r="S67">
            <v>64</v>
          </cell>
        </row>
        <row r="68">
          <cell r="B68" t="str">
            <v>Total Gross</v>
          </cell>
          <cell r="C68"/>
          <cell r="D68"/>
          <cell r="E68"/>
          <cell r="F68">
            <v>339580</v>
          </cell>
          <cell r="G68">
            <v>0.11928397299442887</v>
          </cell>
          <cell r="H68"/>
          <cell r="I68">
            <v>0</v>
          </cell>
          <cell r="J68" t="str">
            <v>-</v>
          </cell>
          <cell r="K68"/>
          <cell r="L68">
            <v>1487199</v>
          </cell>
          <cell r="M68"/>
          <cell r="N68">
            <v>0.12532272392730265</v>
          </cell>
          <cell r="O68"/>
          <cell r="P68">
            <v>0</v>
          </cell>
          <cell r="Q68"/>
          <cell r="R68" t="str">
            <v>-</v>
          </cell>
          <cell r="S68">
            <v>65</v>
          </cell>
        </row>
        <row r="69">
          <cell r="B69" t="str">
            <v>Total Expenses</v>
          </cell>
          <cell r="C69"/>
          <cell r="D69"/>
          <cell r="E69"/>
          <cell r="F69">
            <v>325404</v>
          </cell>
          <cell r="G69">
            <v>0.11430438173119481</v>
          </cell>
          <cell r="H69"/>
          <cell r="I69">
            <v>0</v>
          </cell>
          <cell r="J69" t="str">
            <v>-</v>
          </cell>
          <cell r="K69"/>
          <cell r="L69">
            <v>1416379</v>
          </cell>
          <cell r="M69"/>
          <cell r="N69">
            <v>0.11935489090123717</v>
          </cell>
          <cell r="O69"/>
          <cell r="P69">
            <v>0</v>
          </cell>
          <cell r="Q69"/>
          <cell r="R69" t="str">
            <v>-</v>
          </cell>
          <cell r="S69">
            <v>66</v>
          </cell>
        </row>
        <row r="70">
          <cell r="B70" t="str">
            <v>Oper. Profit (Loss)</v>
          </cell>
          <cell r="C70"/>
          <cell r="D70"/>
          <cell r="E70"/>
          <cell r="F70">
            <v>14176</v>
          </cell>
          <cell r="G70">
            <v>4.979591263234065E-3</v>
          </cell>
          <cell r="H70"/>
          <cell r="I70">
            <v>0</v>
          </cell>
          <cell r="J70" t="str">
            <v>-</v>
          </cell>
          <cell r="K70"/>
          <cell r="L70">
            <v>70820</v>
          </cell>
          <cell r="M70"/>
          <cell r="N70">
            <v>5.9678330260654923E-3</v>
          </cell>
          <cell r="O70"/>
          <cell r="P70">
            <v>0</v>
          </cell>
          <cell r="Q70"/>
          <cell r="R70" t="str">
            <v>-</v>
          </cell>
          <cell r="S70">
            <v>67</v>
          </cell>
        </row>
        <row r="71">
          <cell r="B71" t="str">
            <v>Net Additions Or Deductions</v>
          </cell>
          <cell r="C71"/>
          <cell r="D71"/>
          <cell r="E71"/>
          <cell r="F71">
            <v>156073</v>
          </cell>
          <cell r="G71">
            <v>5.4823627767122615E-2</v>
          </cell>
          <cell r="H71"/>
          <cell r="I71">
            <v>0</v>
          </cell>
          <cell r="J71" t="str">
            <v>-</v>
          </cell>
          <cell r="K71"/>
          <cell r="L71">
            <v>633413</v>
          </cell>
          <cell r="M71"/>
          <cell r="N71">
            <v>5.3376207576097456E-2</v>
          </cell>
          <cell r="O71"/>
          <cell r="P71">
            <v>0</v>
          </cell>
          <cell r="Q71"/>
          <cell r="R71" t="str">
            <v>-</v>
          </cell>
          <cell r="S71">
            <v>68</v>
          </cell>
        </row>
        <row r="72">
          <cell r="B72" t="str">
            <v>Total Bonuses</v>
          </cell>
          <cell r="C72"/>
          <cell r="D72"/>
          <cell r="E72"/>
          <cell r="F72">
            <v>-25917</v>
          </cell>
          <cell r="G72">
            <v>-9.1038421818028532E-3</v>
          </cell>
          <cell r="H72"/>
          <cell r="I72">
            <v>0</v>
          </cell>
          <cell r="J72" t="str">
            <v>-</v>
          </cell>
          <cell r="K72"/>
          <cell r="L72">
            <v>-107318</v>
          </cell>
          <cell r="M72"/>
          <cell r="N72">
            <v>-9.0434327123876945E-3</v>
          </cell>
          <cell r="O72"/>
          <cell r="P72">
            <v>0</v>
          </cell>
          <cell r="Q72"/>
          <cell r="R72" t="str">
            <v>-</v>
          </cell>
          <cell r="S72">
            <v>69</v>
          </cell>
        </row>
        <row r="73">
          <cell r="B73" t="str">
            <v>Net Profit (Loss) Before Taxes</v>
          </cell>
          <cell r="C73"/>
          <cell r="D73"/>
          <cell r="E73"/>
          <cell r="F73">
            <v>144332</v>
          </cell>
          <cell r="G73">
            <v>5.0699376848553822E-2</v>
          </cell>
          <cell r="H73"/>
          <cell r="I73">
            <v>0</v>
          </cell>
          <cell r="J73" t="str">
            <v>-</v>
          </cell>
          <cell r="K73"/>
          <cell r="L73">
            <v>596915</v>
          </cell>
          <cell r="M73"/>
          <cell r="N73">
            <v>5.0300607889775251E-2</v>
          </cell>
          <cell r="O73"/>
          <cell r="P73">
            <v>0</v>
          </cell>
          <cell r="Q73"/>
          <cell r="R73" t="str">
            <v>-</v>
          </cell>
          <cell r="S73">
            <v>70</v>
          </cell>
        </row>
        <row r="74">
          <cell r="B74" t="str">
            <v>PERSONNEL SUMMARY - Use Whole No. Only</v>
          </cell>
          <cell r="C74"/>
          <cell r="D74"/>
          <cell r="E74" t="str">
            <v>NEW</v>
          </cell>
          <cell r="F74" t="str">
            <v>SCION</v>
          </cell>
          <cell r="G74" t="str">
            <v>USED</v>
          </cell>
          <cell r="H74" t="str">
            <v>COMB</v>
          </cell>
          <cell r="I74" t="str">
            <v>TRAC</v>
          </cell>
          <cell r="J74" t="str">
            <v>F&amp;I</v>
          </cell>
          <cell r="K74" t="str">
            <v>SERV</v>
          </cell>
          <cell r="L74" t="str">
            <v>B.S.</v>
          </cell>
          <cell r="M74" t="str">
            <v>P&amp;A</v>
          </cell>
          <cell r="N74" t="str">
            <v>ADMIN</v>
          </cell>
          <cell r="O74" t="str">
            <v>TOTAL</v>
          </cell>
          <cell r="P74"/>
          <cell r="Q74"/>
          <cell r="R74"/>
          <cell r="S74">
            <v>71</v>
          </cell>
        </row>
        <row r="75">
          <cell r="B75" t="str">
            <v>Dealers</v>
          </cell>
          <cell r="C75"/>
          <cell r="D75"/>
          <cell r="E75"/>
          <cell r="F75"/>
          <cell r="G75"/>
          <cell r="H75"/>
          <cell r="I75"/>
          <cell r="J75"/>
          <cell r="K75"/>
          <cell r="L75"/>
          <cell r="M75"/>
          <cell r="N75">
            <v>1</v>
          </cell>
          <cell r="O75">
            <v>1</v>
          </cell>
          <cell r="P75"/>
          <cell r="Q75"/>
          <cell r="R75"/>
          <cell r="S75">
            <v>72</v>
          </cell>
        </row>
        <row r="76">
          <cell r="B76" t="str">
            <v>Managers/Foremen</v>
          </cell>
          <cell r="C76"/>
          <cell r="D76"/>
          <cell r="E76">
            <v>0</v>
          </cell>
          <cell r="F76">
            <v>0</v>
          </cell>
          <cell r="G76">
            <v>0</v>
          </cell>
          <cell r="H76">
            <v>0</v>
          </cell>
          <cell r="I76">
            <v>0</v>
          </cell>
          <cell r="J76">
            <v>0</v>
          </cell>
          <cell r="K76">
            <v>0</v>
          </cell>
          <cell r="L76">
            <v>0</v>
          </cell>
          <cell r="M76">
            <v>0</v>
          </cell>
          <cell r="N76">
            <v>0</v>
          </cell>
          <cell r="O76">
            <v>0</v>
          </cell>
          <cell r="P76"/>
          <cell r="Q76"/>
          <cell r="R76"/>
          <cell r="S76">
            <v>73</v>
          </cell>
        </row>
        <row r="77">
          <cell r="B77" t="str">
            <v>Slsprs/Asst Svc Mgr</v>
          </cell>
          <cell r="C77"/>
          <cell r="D77"/>
          <cell r="E77">
            <v>0</v>
          </cell>
          <cell r="F77">
            <v>0</v>
          </cell>
          <cell r="G77">
            <v>0</v>
          </cell>
          <cell r="H77">
            <v>0</v>
          </cell>
          <cell r="I77">
            <v>0</v>
          </cell>
          <cell r="J77">
            <v>0</v>
          </cell>
          <cell r="K77">
            <v>0</v>
          </cell>
          <cell r="L77">
            <v>0</v>
          </cell>
          <cell r="M77">
            <v>0</v>
          </cell>
          <cell r="N77"/>
          <cell r="O77">
            <v>0</v>
          </cell>
          <cell r="P77"/>
          <cell r="Q77"/>
          <cell r="R77"/>
          <cell r="S77">
            <v>74</v>
          </cell>
        </row>
        <row r="78">
          <cell r="B78" t="str">
            <v>Svc/B.S. Tech</v>
          </cell>
          <cell r="C78"/>
          <cell r="D78"/>
          <cell r="E78">
            <v>0</v>
          </cell>
          <cell r="F78">
            <v>0</v>
          </cell>
          <cell r="G78">
            <v>0</v>
          </cell>
          <cell r="H78"/>
          <cell r="I78"/>
          <cell r="J78"/>
          <cell r="K78">
            <v>0</v>
          </cell>
          <cell r="L78">
            <v>0</v>
          </cell>
          <cell r="M78"/>
          <cell r="N78"/>
          <cell r="O78">
            <v>0</v>
          </cell>
          <cell r="P78"/>
          <cell r="Q78"/>
          <cell r="R78"/>
          <cell r="S78">
            <v>75</v>
          </cell>
        </row>
        <row r="79">
          <cell r="B79" t="str">
            <v>Clerical</v>
          </cell>
          <cell r="C79"/>
          <cell r="D79"/>
          <cell r="E79">
            <v>0</v>
          </cell>
          <cell r="F79">
            <v>0</v>
          </cell>
          <cell r="G79">
            <v>0</v>
          </cell>
          <cell r="H79"/>
          <cell r="I79">
            <v>0</v>
          </cell>
          <cell r="J79"/>
          <cell r="K79">
            <v>0</v>
          </cell>
          <cell r="L79">
            <v>0</v>
          </cell>
          <cell r="M79">
            <v>0</v>
          </cell>
          <cell r="N79">
            <v>0</v>
          </cell>
          <cell r="O79">
            <v>0</v>
          </cell>
          <cell r="P79"/>
          <cell r="Q79"/>
          <cell r="R79"/>
          <cell r="S79">
            <v>76</v>
          </cell>
        </row>
        <row r="80">
          <cell r="B80" t="str">
            <v>Other</v>
          </cell>
          <cell r="C80"/>
          <cell r="D80"/>
          <cell r="E80">
            <v>0</v>
          </cell>
          <cell r="F80">
            <v>0</v>
          </cell>
          <cell r="G80">
            <v>0</v>
          </cell>
          <cell r="H80"/>
          <cell r="I80">
            <v>0</v>
          </cell>
          <cell r="J80"/>
          <cell r="K80">
            <v>0</v>
          </cell>
          <cell r="L80">
            <v>0</v>
          </cell>
          <cell r="M80">
            <v>0</v>
          </cell>
          <cell r="N80">
            <v>0</v>
          </cell>
          <cell r="O80">
            <v>0</v>
          </cell>
          <cell r="P80"/>
          <cell r="Q80"/>
          <cell r="R80"/>
          <cell r="S80">
            <v>77</v>
          </cell>
        </row>
        <row r="81">
          <cell r="B81" t="str">
            <v>TOTAL PERSONNEL</v>
          </cell>
          <cell r="C81"/>
          <cell r="D81"/>
          <cell r="E81">
            <v>0</v>
          </cell>
          <cell r="F81">
            <v>0</v>
          </cell>
          <cell r="G81">
            <v>0</v>
          </cell>
          <cell r="H81">
            <v>0</v>
          </cell>
          <cell r="I81">
            <v>0</v>
          </cell>
          <cell r="J81">
            <v>0</v>
          </cell>
          <cell r="K81">
            <v>0</v>
          </cell>
          <cell r="L81">
            <v>0</v>
          </cell>
          <cell r="M81">
            <v>0</v>
          </cell>
          <cell r="N81">
            <v>1</v>
          </cell>
          <cell r="O81">
            <v>1</v>
          </cell>
          <cell r="P81"/>
          <cell r="Q81"/>
          <cell r="R81"/>
          <cell r="S81">
            <v>78</v>
          </cell>
        </row>
        <row r="82">
          <cell r="B82"/>
          <cell r="C82"/>
          <cell r="D82"/>
          <cell r="E82"/>
          <cell r="F82"/>
          <cell r="G82"/>
          <cell r="H82"/>
          <cell r="I82"/>
          <cell r="J82"/>
          <cell r="K82"/>
          <cell r="L82"/>
          <cell r="M82"/>
          <cell r="N82"/>
          <cell r="O82"/>
          <cell r="P82" t="str">
            <v>Version</v>
          </cell>
          <cell r="Q82" t="str">
            <v>1.3-9</v>
          </cell>
          <cell r="R82"/>
          <cell r="S82"/>
        </row>
      </sheetData>
      <sheetData sheetId="3" refreshError="1">
        <row r="71">
          <cell r="B71">
            <v>60</v>
          </cell>
          <cell r="C71">
            <v>1631136</v>
          </cell>
          <cell r="D71">
            <v>31934</v>
          </cell>
          <cell r="M71">
            <v>239</v>
          </cell>
          <cell r="N71">
            <v>6593900</v>
          </cell>
          <cell r="O71">
            <v>137619</v>
          </cell>
        </row>
      </sheetData>
      <sheetData sheetId="4" refreshError="1">
        <row r="5">
          <cell r="D5">
            <v>33722</v>
          </cell>
          <cell r="G5">
            <v>156746</v>
          </cell>
          <cell r="M5">
            <v>0</v>
          </cell>
          <cell r="P5">
            <v>0</v>
          </cell>
        </row>
        <row r="6">
          <cell r="D6">
            <v>33722</v>
          </cell>
          <cell r="G6">
            <v>153730</v>
          </cell>
          <cell r="M6">
            <v>0</v>
          </cell>
          <cell r="P6">
            <v>0</v>
          </cell>
        </row>
        <row r="7">
          <cell r="D7">
            <v>884</v>
          </cell>
          <cell r="G7">
            <v>4396</v>
          </cell>
          <cell r="M7">
            <v>0</v>
          </cell>
          <cell r="P7">
            <v>0</v>
          </cell>
        </row>
        <row r="8">
          <cell r="D8">
            <v>884</v>
          </cell>
          <cell r="G8">
            <v>4396</v>
          </cell>
          <cell r="M8">
            <v>0</v>
          </cell>
          <cell r="P8">
            <v>0</v>
          </cell>
        </row>
        <row r="9">
          <cell r="D9">
            <v>35634</v>
          </cell>
          <cell r="G9">
            <v>159987</v>
          </cell>
          <cell r="M9">
            <v>0</v>
          </cell>
          <cell r="P9">
            <v>0</v>
          </cell>
        </row>
        <row r="10">
          <cell r="D10">
            <v>33169</v>
          </cell>
          <cell r="G10">
            <v>154381</v>
          </cell>
          <cell r="M10">
            <v>0</v>
          </cell>
          <cell r="P10">
            <v>0</v>
          </cell>
        </row>
        <row r="11">
          <cell r="D11">
            <v>0</v>
          </cell>
          <cell r="G11">
            <v>0</v>
          </cell>
          <cell r="M11">
            <v>0</v>
          </cell>
          <cell r="P11">
            <v>0</v>
          </cell>
        </row>
        <row r="12">
          <cell r="D12">
            <v>0</v>
          </cell>
          <cell r="G12">
            <v>-176</v>
          </cell>
          <cell r="M12">
            <v>0</v>
          </cell>
          <cell r="P12">
            <v>0</v>
          </cell>
        </row>
        <row r="13">
          <cell r="D13">
            <v>13607</v>
          </cell>
          <cell r="G13">
            <v>66447</v>
          </cell>
          <cell r="M13">
            <v>0</v>
          </cell>
          <cell r="P13">
            <v>0</v>
          </cell>
        </row>
        <row r="14">
          <cell r="D14">
            <v>13053</v>
          </cell>
          <cell r="G14">
            <v>63848</v>
          </cell>
          <cell r="M14">
            <v>0</v>
          </cell>
          <cell r="P14">
            <v>0</v>
          </cell>
        </row>
        <row r="15">
          <cell r="D15">
            <v>0</v>
          </cell>
          <cell r="G15">
            <v>0</v>
          </cell>
          <cell r="M15">
            <v>0</v>
          </cell>
          <cell r="P15">
            <v>0</v>
          </cell>
        </row>
        <row r="16">
          <cell r="D16">
            <v>0</v>
          </cell>
          <cell r="G16">
            <v>0</v>
          </cell>
          <cell r="M16">
            <v>0</v>
          </cell>
          <cell r="P16">
            <v>0</v>
          </cell>
        </row>
        <row r="17">
          <cell r="D17">
            <v>0</v>
          </cell>
          <cell r="G17">
            <v>0</v>
          </cell>
          <cell r="M17">
            <v>0</v>
          </cell>
          <cell r="P17">
            <v>0</v>
          </cell>
        </row>
        <row r="18">
          <cell r="D18">
            <v>0</v>
          </cell>
          <cell r="G18">
            <v>0</v>
          </cell>
          <cell r="M18">
            <v>0</v>
          </cell>
          <cell r="P18">
            <v>0</v>
          </cell>
        </row>
        <row r="20">
          <cell r="D20">
            <v>7747</v>
          </cell>
          <cell r="G20">
            <v>36061</v>
          </cell>
          <cell r="M20">
            <v>0</v>
          </cell>
          <cell r="P20">
            <v>0</v>
          </cell>
        </row>
        <row r="22">
          <cell r="D22">
            <v>5232</v>
          </cell>
          <cell r="G22">
            <v>57630</v>
          </cell>
          <cell r="M22">
            <v>985</v>
          </cell>
          <cell r="P22">
            <v>6806</v>
          </cell>
        </row>
        <row r="23">
          <cell r="D23">
            <v>4839</v>
          </cell>
          <cell r="G23">
            <v>52570</v>
          </cell>
          <cell r="M23">
            <v>985</v>
          </cell>
          <cell r="P23">
            <v>6806</v>
          </cell>
        </row>
        <row r="24">
          <cell r="D24">
            <v>200</v>
          </cell>
          <cell r="G24">
            <v>200</v>
          </cell>
          <cell r="M24">
            <v>0</v>
          </cell>
          <cell r="P24">
            <v>0</v>
          </cell>
        </row>
        <row r="25">
          <cell r="D25">
            <v>200</v>
          </cell>
          <cell r="G25">
            <v>200</v>
          </cell>
          <cell r="M25">
            <v>0</v>
          </cell>
          <cell r="P25">
            <v>0</v>
          </cell>
        </row>
        <row r="26">
          <cell r="D26">
            <v>10319</v>
          </cell>
          <cell r="G26">
            <v>75797</v>
          </cell>
          <cell r="M26">
            <v>101</v>
          </cell>
          <cell r="P26">
            <v>5787</v>
          </cell>
        </row>
        <row r="27">
          <cell r="D27">
            <v>9068</v>
          </cell>
          <cell r="G27">
            <v>73246</v>
          </cell>
          <cell r="M27">
            <v>101</v>
          </cell>
          <cell r="P27">
            <v>5787</v>
          </cell>
        </row>
        <row r="28">
          <cell r="D28">
            <v>0</v>
          </cell>
          <cell r="G28">
            <v>0</v>
          </cell>
          <cell r="M28">
            <v>0</v>
          </cell>
          <cell r="P28">
            <v>0</v>
          </cell>
        </row>
        <row r="29">
          <cell r="D29">
            <v>0</v>
          </cell>
          <cell r="G29">
            <v>0</v>
          </cell>
          <cell r="M29">
            <v>0</v>
          </cell>
          <cell r="P29">
            <v>0</v>
          </cell>
        </row>
        <row r="30">
          <cell r="D30">
            <v>4166</v>
          </cell>
          <cell r="G30">
            <v>28489</v>
          </cell>
          <cell r="M30">
            <v>0</v>
          </cell>
          <cell r="P30">
            <v>1860</v>
          </cell>
        </row>
        <row r="31">
          <cell r="D31">
            <v>4166</v>
          </cell>
          <cell r="G31">
            <v>28489</v>
          </cell>
          <cell r="M31">
            <v>0</v>
          </cell>
          <cell r="P31">
            <v>1860</v>
          </cell>
        </row>
        <row r="32">
          <cell r="D32">
            <v>0</v>
          </cell>
          <cell r="G32">
            <v>0</v>
          </cell>
          <cell r="M32">
            <v>0</v>
          </cell>
          <cell r="P32">
            <v>0</v>
          </cell>
        </row>
        <row r="33">
          <cell r="D33">
            <v>0</v>
          </cell>
          <cell r="G33">
            <v>0</v>
          </cell>
          <cell r="M33">
            <v>0</v>
          </cell>
          <cell r="P33">
            <v>0</v>
          </cell>
        </row>
        <row r="35">
          <cell r="D35">
            <v>3088</v>
          </cell>
          <cell r="G35">
            <v>11810</v>
          </cell>
          <cell r="M35">
            <v>0</v>
          </cell>
          <cell r="P35">
            <v>641</v>
          </cell>
        </row>
      </sheetData>
      <sheetData sheetId="5" refreshError="1">
        <row r="4">
          <cell r="B4">
            <v>4</v>
          </cell>
          <cell r="C4">
            <v>68487</v>
          </cell>
          <cell r="L4">
            <v>14</v>
          </cell>
          <cell r="M4">
            <v>238030</v>
          </cell>
        </row>
        <row r="7">
          <cell r="B7">
            <v>18</v>
          </cell>
          <cell r="C7">
            <v>334873</v>
          </cell>
          <cell r="L7">
            <v>98</v>
          </cell>
          <cell r="M7">
            <v>1729008</v>
          </cell>
        </row>
        <row r="11">
          <cell r="B11">
            <v>17</v>
          </cell>
          <cell r="C11">
            <v>317032</v>
          </cell>
          <cell r="L11">
            <v>61</v>
          </cell>
          <cell r="M11">
            <v>1064126</v>
          </cell>
        </row>
        <row r="13">
          <cell r="E13">
            <v>45684</v>
          </cell>
          <cell r="O13">
            <v>146045</v>
          </cell>
        </row>
        <row r="17">
          <cell r="C17">
            <v>108999</v>
          </cell>
          <cell r="E17">
            <v>14189</v>
          </cell>
          <cell r="M17">
            <v>554679</v>
          </cell>
          <cell r="O17">
            <v>61674</v>
          </cell>
        </row>
        <row r="21">
          <cell r="B21">
            <v>626</v>
          </cell>
          <cell r="C21">
            <v>52484</v>
          </cell>
          <cell r="E21">
            <v>38363</v>
          </cell>
          <cell r="L21">
            <v>2453</v>
          </cell>
          <cell r="M21">
            <v>211121</v>
          </cell>
          <cell r="O21">
            <v>155964</v>
          </cell>
        </row>
        <row r="22">
          <cell r="B22">
            <v>2</v>
          </cell>
          <cell r="C22">
            <v>114</v>
          </cell>
          <cell r="E22">
            <v>96</v>
          </cell>
          <cell r="L22">
            <v>8</v>
          </cell>
          <cell r="M22">
            <v>673</v>
          </cell>
          <cell r="O22">
            <v>535</v>
          </cell>
        </row>
        <row r="23">
          <cell r="B23">
            <v>344</v>
          </cell>
          <cell r="C23">
            <v>38529</v>
          </cell>
          <cell r="E23">
            <v>30310</v>
          </cell>
          <cell r="L23">
            <v>1543</v>
          </cell>
          <cell r="M23">
            <v>136752</v>
          </cell>
          <cell r="O23">
            <v>108496</v>
          </cell>
        </row>
        <row r="24">
          <cell r="B24">
            <v>101</v>
          </cell>
          <cell r="C24">
            <v>19230</v>
          </cell>
          <cell r="E24">
            <v>15285</v>
          </cell>
          <cell r="L24">
            <v>623</v>
          </cell>
          <cell r="M24">
            <v>115313</v>
          </cell>
          <cell r="O24">
            <v>93210</v>
          </cell>
        </row>
        <row r="25">
          <cell r="B25">
            <v>0</v>
          </cell>
          <cell r="C25">
            <v>0</v>
          </cell>
          <cell r="E25">
            <v>0</v>
          </cell>
          <cell r="L25">
            <v>0</v>
          </cell>
          <cell r="M25">
            <v>0</v>
          </cell>
          <cell r="O25">
            <v>-878</v>
          </cell>
        </row>
        <row r="26">
          <cell r="B26">
            <v>0</v>
          </cell>
          <cell r="C26">
            <v>0</v>
          </cell>
          <cell r="E26">
            <v>0</v>
          </cell>
          <cell r="L26">
            <v>0</v>
          </cell>
          <cell r="M26">
            <v>0</v>
          </cell>
          <cell r="O26">
            <v>0</v>
          </cell>
        </row>
        <row r="29">
          <cell r="B29">
            <v>0</v>
          </cell>
          <cell r="C29">
            <v>0</v>
          </cell>
          <cell r="E29">
            <v>0</v>
          </cell>
          <cell r="L29">
            <v>0</v>
          </cell>
          <cell r="M29">
            <v>0</v>
          </cell>
          <cell r="O29">
            <v>0</v>
          </cell>
        </row>
        <row r="30">
          <cell r="B30">
            <v>0</v>
          </cell>
          <cell r="C30">
            <v>0</v>
          </cell>
          <cell r="E30">
            <v>0</v>
          </cell>
          <cell r="L30">
            <v>0</v>
          </cell>
          <cell r="M30">
            <v>0</v>
          </cell>
          <cell r="O30">
            <v>0</v>
          </cell>
        </row>
        <row r="31">
          <cell r="B31">
            <v>0</v>
          </cell>
          <cell r="C31">
            <v>0</v>
          </cell>
          <cell r="E31">
            <v>0</v>
          </cell>
          <cell r="L31">
            <v>0</v>
          </cell>
          <cell r="M31">
            <v>0</v>
          </cell>
          <cell r="O31">
            <v>0</v>
          </cell>
        </row>
        <row r="32">
          <cell r="B32">
            <v>0</v>
          </cell>
          <cell r="C32">
            <v>0</v>
          </cell>
          <cell r="E32">
            <v>0</v>
          </cell>
          <cell r="L32">
            <v>0</v>
          </cell>
          <cell r="M32">
            <v>0</v>
          </cell>
          <cell r="O32">
            <v>0</v>
          </cell>
        </row>
        <row r="36">
          <cell r="C36">
            <v>0</v>
          </cell>
          <cell r="M36">
            <v>0</v>
          </cell>
        </row>
        <row r="37">
          <cell r="E37">
            <v>0</v>
          </cell>
          <cell r="O37">
            <v>0</v>
          </cell>
        </row>
        <row r="38">
          <cell r="C38">
            <v>8704</v>
          </cell>
          <cell r="E38">
            <v>1150</v>
          </cell>
          <cell r="M38">
            <v>21791</v>
          </cell>
          <cell r="O38">
            <v>2847</v>
          </cell>
        </row>
        <row r="40">
          <cell r="E40">
            <v>85204</v>
          </cell>
          <cell r="O40">
            <v>360174</v>
          </cell>
        </row>
        <row r="49">
          <cell r="C49">
            <v>31471</v>
          </cell>
          <cell r="E49">
            <v>11175</v>
          </cell>
          <cell r="M49">
            <v>135246</v>
          </cell>
          <cell r="O49">
            <v>45860</v>
          </cell>
        </row>
        <row r="50">
          <cell r="C50">
            <v>0</v>
          </cell>
          <cell r="E50">
            <v>0</v>
          </cell>
          <cell r="M50">
            <v>0</v>
          </cell>
          <cell r="O50">
            <v>0</v>
          </cell>
        </row>
        <row r="51">
          <cell r="C51">
            <v>0</v>
          </cell>
          <cell r="E51">
            <v>0</v>
          </cell>
          <cell r="M51">
            <v>0</v>
          </cell>
          <cell r="O51">
            <v>0</v>
          </cell>
        </row>
        <row r="52">
          <cell r="C52">
            <v>60834</v>
          </cell>
          <cell r="E52">
            <v>23929</v>
          </cell>
          <cell r="M52">
            <v>207051</v>
          </cell>
          <cell r="O52">
            <v>80868</v>
          </cell>
        </row>
        <row r="53">
          <cell r="C53">
            <v>4539</v>
          </cell>
          <cell r="E53">
            <v>3104</v>
          </cell>
          <cell r="M53">
            <v>42818</v>
          </cell>
          <cell r="O53">
            <v>6004</v>
          </cell>
        </row>
        <row r="54">
          <cell r="C54">
            <v>8133</v>
          </cell>
          <cell r="E54">
            <v>3468</v>
          </cell>
          <cell r="M54">
            <v>50882</v>
          </cell>
          <cell r="O54">
            <v>19047</v>
          </cell>
        </row>
        <row r="55">
          <cell r="B55">
            <v>171</v>
          </cell>
          <cell r="C55">
            <v>5181</v>
          </cell>
          <cell r="E55">
            <v>1777</v>
          </cell>
          <cell r="L55">
            <v>597</v>
          </cell>
          <cell r="M55">
            <v>18490</v>
          </cell>
          <cell r="O55">
            <v>6351</v>
          </cell>
        </row>
        <row r="56">
          <cell r="B56">
            <v>94</v>
          </cell>
          <cell r="C56">
            <v>11616</v>
          </cell>
          <cell r="E56">
            <v>2441</v>
          </cell>
          <cell r="L56">
            <v>344</v>
          </cell>
          <cell r="M56">
            <v>54029</v>
          </cell>
          <cell r="O56">
            <v>11532</v>
          </cell>
        </row>
        <row r="57">
          <cell r="C57">
            <v>0</v>
          </cell>
          <cell r="E57">
            <v>0</v>
          </cell>
          <cell r="M57">
            <v>0</v>
          </cell>
          <cell r="O57">
            <v>0</v>
          </cell>
        </row>
        <row r="60">
          <cell r="C60">
            <v>0</v>
          </cell>
          <cell r="E60">
            <v>0</v>
          </cell>
          <cell r="M60">
            <v>0</v>
          </cell>
          <cell r="O60">
            <v>0</v>
          </cell>
        </row>
        <row r="61">
          <cell r="C61">
            <v>0</v>
          </cell>
          <cell r="E61">
            <v>0</v>
          </cell>
        </row>
        <row r="62">
          <cell r="C62">
            <v>0</v>
          </cell>
          <cell r="E62">
            <v>0</v>
          </cell>
          <cell r="M62">
            <v>0</v>
          </cell>
          <cell r="O62">
            <v>0</v>
          </cell>
        </row>
        <row r="63">
          <cell r="C63">
            <v>0</v>
          </cell>
          <cell r="E63">
            <v>0</v>
          </cell>
          <cell r="M63">
            <v>70</v>
          </cell>
          <cell r="O63">
            <v>27</v>
          </cell>
        </row>
        <row r="64">
          <cell r="C64">
            <v>0</v>
          </cell>
          <cell r="E64">
            <v>0</v>
          </cell>
          <cell r="M64">
            <v>0</v>
          </cell>
          <cell r="O64">
            <v>0</v>
          </cell>
        </row>
        <row r="65">
          <cell r="B65">
            <v>0</v>
          </cell>
          <cell r="C65">
            <v>0</v>
          </cell>
          <cell r="E65">
            <v>0</v>
          </cell>
          <cell r="L65">
            <v>0</v>
          </cell>
          <cell r="M65">
            <v>0</v>
          </cell>
          <cell r="O65">
            <v>0</v>
          </cell>
        </row>
        <row r="66">
          <cell r="B66">
            <v>0</v>
          </cell>
          <cell r="C66">
            <v>0</v>
          </cell>
          <cell r="E66">
            <v>0</v>
          </cell>
          <cell r="L66">
            <v>0</v>
          </cell>
          <cell r="M66">
            <v>0</v>
          </cell>
          <cell r="O66">
            <v>0</v>
          </cell>
        </row>
        <row r="69">
          <cell r="C69">
            <v>0</v>
          </cell>
          <cell r="M69">
            <v>0</v>
          </cell>
        </row>
        <row r="70">
          <cell r="E70">
            <v>0</v>
          </cell>
          <cell r="O70">
            <v>0</v>
          </cell>
        </row>
        <row r="71">
          <cell r="C71">
            <v>9829</v>
          </cell>
          <cell r="E71">
            <v>5653</v>
          </cell>
          <cell r="M71">
            <v>40151</v>
          </cell>
          <cell r="O71">
            <v>18349</v>
          </cell>
        </row>
        <row r="72">
          <cell r="E72">
            <v>51547</v>
          </cell>
          <cell r="O72">
            <v>188038</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
      <sheetName val="P2"/>
      <sheetName val="P3C"/>
      <sheetName val="P3T"/>
      <sheetName val="P4"/>
      <sheetName val="P5"/>
      <sheetName val="P6"/>
      <sheetName val="P7"/>
      <sheetName val="Hidden"/>
    </sheetNames>
    <sheetDataSet>
      <sheetData sheetId="0" refreshError="1"/>
      <sheetData sheetId="1" refreshError="1">
        <row r="9">
          <cell r="J9">
            <v>985319</v>
          </cell>
          <cell r="R9">
            <v>15527669</v>
          </cell>
          <cell r="BE9">
            <v>7763</v>
          </cell>
        </row>
        <row r="11">
          <cell r="BE11">
            <v>106140</v>
          </cell>
        </row>
        <row r="13">
          <cell r="J13">
            <v>119062</v>
          </cell>
          <cell r="R13">
            <v>1829634</v>
          </cell>
          <cell r="BE13">
            <v>1581</v>
          </cell>
        </row>
        <row r="15">
          <cell r="BE15">
            <v>31600</v>
          </cell>
        </row>
        <row r="17">
          <cell r="BE17">
            <v>-676</v>
          </cell>
        </row>
        <row r="19">
          <cell r="BE19">
            <v>-5836</v>
          </cell>
        </row>
        <row r="25">
          <cell r="J25">
            <v>51158</v>
          </cell>
          <cell r="AL25">
            <v>27114</v>
          </cell>
          <cell r="AQ25">
            <v>8185</v>
          </cell>
          <cell r="AW25">
            <v>13813</v>
          </cell>
          <cell r="BE25">
            <v>2046</v>
          </cell>
        </row>
        <row r="27">
          <cell r="BE27">
            <v>36760</v>
          </cell>
        </row>
        <row r="29">
          <cell r="AL29">
            <v>6466</v>
          </cell>
          <cell r="AQ29">
            <v>1952</v>
          </cell>
          <cell r="AW29">
            <v>3294</v>
          </cell>
          <cell r="BE29">
            <v>488</v>
          </cell>
        </row>
        <row r="31">
          <cell r="AL31">
            <v>94446</v>
          </cell>
          <cell r="AQ31">
            <v>28512</v>
          </cell>
          <cell r="AW31">
            <v>48114</v>
          </cell>
          <cell r="BE31">
            <v>7128</v>
          </cell>
        </row>
        <row r="47">
          <cell r="J47">
            <v>58833</v>
          </cell>
          <cell r="R47">
            <v>956002</v>
          </cell>
        </row>
        <row r="55">
          <cell r="J55">
            <v>3944</v>
          </cell>
          <cell r="R55">
            <v>52694</v>
          </cell>
        </row>
      </sheetData>
      <sheetData sheetId="2" refreshError="1"/>
      <sheetData sheetId="3" refreshError="1"/>
      <sheetData sheetId="4" refreshError="1">
        <row r="25">
          <cell r="E25">
            <v>814484</v>
          </cell>
          <cell r="R25">
            <v>48</v>
          </cell>
          <cell r="BB25">
            <v>809</v>
          </cell>
          <cell r="BO25">
            <v>13524078</v>
          </cell>
        </row>
        <row r="37">
          <cell r="K37">
            <v>-12694</v>
          </cell>
          <cell r="BX37">
            <v>-33292</v>
          </cell>
        </row>
        <row r="39">
          <cell r="K39">
            <v>60576</v>
          </cell>
          <cell r="BX39">
            <v>604696</v>
          </cell>
        </row>
        <row r="51">
          <cell r="BU51">
            <v>12847</v>
          </cell>
          <cell r="CA51">
            <v>370219</v>
          </cell>
        </row>
        <row r="53">
          <cell r="BU53">
            <v>884</v>
          </cell>
          <cell r="CA53">
            <v>18426</v>
          </cell>
        </row>
        <row r="55">
          <cell r="BU55"/>
          <cell r="CA55">
            <v>4690</v>
          </cell>
        </row>
        <row r="57">
          <cell r="BU57">
            <v>7014</v>
          </cell>
          <cell r="CA57">
            <v>158329</v>
          </cell>
        </row>
        <row r="59">
          <cell r="BU59">
            <v>1129</v>
          </cell>
          <cell r="CA59">
            <v>6055</v>
          </cell>
        </row>
        <row r="61">
          <cell r="BU61">
            <v>10303</v>
          </cell>
          <cell r="CA61">
            <v>233624</v>
          </cell>
        </row>
        <row r="63">
          <cell r="BU63">
            <v>1431</v>
          </cell>
          <cell r="CA63">
            <v>13831</v>
          </cell>
        </row>
        <row r="65">
          <cell r="BU65">
            <v>749</v>
          </cell>
          <cell r="CA65">
            <v>22141</v>
          </cell>
        </row>
        <row r="87">
          <cell r="BM87">
            <v>35042</v>
          </cell>
          <cell r="BW87">
            <v>526154</v>
          </cell>
        </row>
        <row r="93">
          <cell r="BM93"/>
          <cell r="BW93"/>
        </row>
        <row r="97">
          <cell r="BM97">
            <v>833</v>
          </cell>
          <cell r="BW97">
            <v>28741</v>
          </cell>
        </row>
        <row r="103">
          <cell r="BM103"/>
          <cell r="BW103"/>
        </row>
        <row r="105">
          <cell r="BM105">
            <v>10363</v>
          </cell>
          <cell r="BW105">
            <v>207019</v>
          </cell>
        </row>
        <row r="107">
          <cell r="BM107">
            <v>4315</v>
          </cell>
          <cell r="BW107">
            <v>46013</v>
          </cell>
        </row>
        <row r="109">
          <cell r="BM109">
            <v>8640</v>
          </cell>
          <cell r="BW109">
            <v>89868</v>
          </cell>
        </row>
        <row r="111">
          <cell r="BM111">
            <v>19814</v>
          </cell>
          <cell r="BW111">
            <v>299208</v>
          </cell>
        </row>
        <row r="113">
          <cell r="BM113"/>
          <cell r="BW113"/>
        </row>
        <row r="115">
          <cell r="BM115"/>
          <cell r="BW115"/>
        </row>
        <row r="117">
          <cell r="BM117"/>
          <cell r="BW117"/>
        </row>
        <row r="119">
          <cell r="BM119"/>
          <cell r="BW119"/>
        </row>
        <row r="125">
          <cell r="BM125">
            <v>4422</v>
          </cell>
          <cell r="BW125">
            <v>45485</v>
          </cell>
        </row>
        <row r="127">
          <cell r="BM127"/>
          <cell r="BW127"/>
        </row>
      </sheetData>
      <sheetData sheetId="5" refreshError="1">
        <row r="13">
          <cell r="BW13">
            <v>131</v>
          </cell>
        </row>
        <row r="15">
          <cell r="D15">
            <v>367</v>
          </cell>
          <cell r="L15">
            <v>4223</v>
          </cell>
          <cell r="BW15">
            <v>1463</v>
          </cell>
        </row>
        <row r="17">
          <cell r="D17">
            <v>59</v>
          </cell>
          <cell r="L17">
            <v>564</v>
          </cell>
        </row>
        <row r="19">
          <cell r="D19">
            <v>15339</v>
          </cell>
          <cell r="L19">
            <v>242760</v>
          </cell>
          <cell r="AN19">
            <v>11087</v>
          </cell>
          <cell r="AV19">
            <v>161617</v>
          </cell>
        </row>
        <row r="21">
          <cell r="D21">
            <v>8417</v>
          </cell>
          <cell r="L21">
            <v>66554</v>
          </cell>
          <cell r="AN21">
            <v>8986</v>
          </cell>
          <cell r="AV21">
            <v>125825</v>
          </cell>
        </row>
        <row r="33">
          <cell r="D33">
            <v>10617</v>
          </cell>
          <cell r="L33">
            <v>150699</v>
          </cell>
          <cell r="AN33">
            <v>19026</v>
          </cell>
          <cell r="AV33">
            <v>270566</v>
          </cell>
          <cell r="BW33">
            <v>153</v>
          </cell>
        </row>
        <row r="35">
          <cell r="D35">
            <v>5143</v>
          </cell>
          <cell r="L35">
            <v>67991</v>
          </cell>
          <cell r="AN35">
            <v>15083</v>
          </cell>
          <cell r="AV35">
            <v>222444</v>
          </cell>
          <cell r="BW35">
            <v>2267</v>
          </cell>
        </row>
        <row r="37">
          <cell r="AN37">
            <v>-8289</v>
          </cell>
          <cell r="AV37">
            <v>-66256</v>
          </cell>
        </row>
        <row r="39">
          <cell r="AN39">
            <v>1179</v>
          </cell>
          <cell r="AV39">
            <v>17678</v>
          </cell>
        </row>
        <row r="41">
          <cell r="AN41">
            <v>26</v>
          </cell>
          <cell r="AV41">
            <v>1135</v>
          </cell>
        </row>
        <row r="83">
          <cell r="D83"/>
          <cell r="L83"/>
        </row>
        <row r="93">
          <cell r="D93">
            <v>13630</v>
          </cell>
          <cell r="L93">
            <v>159499</v>
          </cell>
        </row>
        <row r="97">
          <cell r="D97">
            <v>2545</v>
          </cell>
          <cell r="L97">
            <v>16897</v>
          </cell>
          <cell r="AM97">
            <v>5664</v>
          </cell>
          <cell r="AV97">
            <v>81422</v>
          </cell>
        </row>
        <row r="99">
          <cell r="D99"/>
          <cell r="L99">
            <v>20740</v>
          </cell>
          <cell r="AM99"/>
          <cell r="AV99"/>
        </row>
        <row r="103">
          <cell r="D103"/>
          <cell r="L103"/>
          <cell r="AM103"/>
          <cell r="AV103">
            <v>1404</v>
          </cell>
        </row>
        <row r="107">
          <cell r="D107"/>
          <cell r="E107"/>
          <cell r="F107"/>
          <cell r="G107"/>
          <cell r="L107"/>
          <cell r="M107"/>
          <cell r="N107"/>
          <cell r="O107"/>
          <cell r="P107"/>
          <cell r="AM107"/>
          <cell r="AV107"/>
        </row>
        <row r="108">
          <cell r="D108"/>
          <cell r="E108"/>
          <cell r="F108"/>
          <cell r="G108"/>
          <cell r="L108"/>
          <cell r="M108"/>
          <cell r="N108"/>
          <cell r="O108"/>
          <cell r="P108"/>
        </row>
        <row r="109">
          <cell r="D109"/>
          <cell r="L109"/>
          <cell r="AM109">
            <v>33</v>
          </cell>
          <cell r="AV109">
            <v>3216</v>
          </cell>
        </row>
        <row r="111">
          <cell r="AM111"/>
          <cell r="AV111">
            <v>860</v>
          </cell>
        </row>
        <row r="113">
          <cell r="AM113">
            <v>-1333</v>
          </cell>
          <cell r="AV113">
            <v>-21009</v>
          </cell>
        </row>
        <row r="115">
          <cell r="D115"/>
          <cell r="L115">
            <v>15</v>
          </cell>
        </row>
        <row r="117">
          <cell r="D117">
            <v>32</v>
          </cell>
          <cell r="L117">
            <v>235</v>
          </cell>
          <cell r="AM117">
            <v>55</v>
          </cell>
          <cell r="AV117">
            <v>1468</v>
          </cell>
        </row>
        <row r="121">
          <cell r="D121"/>
          <cell r="L121"/>
          <cell r="AM121">
            <v>240</v>
          </cell>
          <cell r="AV121">
            <v>862</v>
          </cell>
        </row>
      </sheetData>
      <sheetData sheetId="6" refreshError="1">
        <row r="9">
          <cell r="M9"/>
          <cell r="AZ9"/>
          <cell r="BG9"/>
          <cell r="BN9"/>
        </row>
        <row r="11">
          <cell r="M11">
            <v>11348</v>
          </cell>
          <cell r="AZ11">
            <v>67510</v>
          </cell>
          <cell r="BG11">
            <v>20380</v>
          </cell>
          <cell r="BN11">
            <v>34392</v>
          </cell>
        </row>
        <row r="13">
          <cell r="M13">
            <v>6770</v>
          </cell>
          <cell r="AZ13">
            <v>57713</v>
          </cell>
          <cell r="BG13">
            <v>17423</v>
          </cell>
          <cell r="BN13">
            <v>29401</v>
          </cell>
        </row>
        <row r="15">
          <cell r="M15">
            <v>6430</v>
          </cell>
          <cell r="AZ15">
            <v>51532</v>
          </cell>
          <cell r="BG15">
            <v>15557</v>
          </cell>
          <cell r="BN15">
            <v>26252</v>
          </cell>
        </row>
        <row r="17">
          <cell r="M17">
            <v>282</v>
          </cell>
          <cell r="AZ17">
            <v>2273</v>
          </cell>
          <cell r="BG17">
            <v>686</v>
          </cell>
          <cell r="BN17">
            <v>1158</v>
          </cell>
        </row>
        <row r="19">
          <cell r="M19"/>
          <cell r="BN19"/>
        </row>
        <row r="21">
          <cell r="M21">
            <v>10713</v>
          </cell>
          <cell r="AZ21">
            <v>110422</v>
          </cell>
          <cell r="BG21">
            <v>33335</v>
          </cell>
          <cell r="BN21">
            <v>56253</v>
          </cell>
        </row>
        <row r="23">
          <cell r="M23">
            <v>3182</v>
          </cell>
          <cell r="AZ23">
            <v>20768</v>
          </cell>
          <cell r="BG23">
            <v>6269</v>
          </cell>
          <cell r="BN23">
            <v>10580</v>
          </cell>
        </row>
        <row r="25">
          <cell r="M25">
            <v>375</v>
          </cell>
          <cell r="AZ25">
            <v>5585</v>
          </cell>
          <cell r="BG25">
            <v>1686</v>
          </cell>
          <cell r="BN25">
            <v>2845</v>
          </cell>
        </row>
        <row r="27">
          <cell r="M27">
            <v>-7053</v>
          </cell>
          <cell r="AZ27">
            <v>5754</v>
          </cell>
          <cell r="BG27">
            <v>1737</v>
          </cell>
          <cell r="BN27">
            <v>2931</v>
          </cell>
        </row>
        <row r="29">
          <cell r="M29">
            <v>1293</v>
          </cell>
          <cell r="AZ29">
            <v>8892</v>
          </cell>
          <cell r="BG29">
            <v>2684</v>
          </cell>
          <cell r="BN29">
            <v>4530</v>
          </cell>
        </row>
        <row r="31">
          <cell r="M31">
            <v>2539</v>
          </cell>
          <cell r="AZ31">
            <v>15913</v>
          </cell>
          <cell r="BG31">
            <v>4804</v>
          </cell>
          <cell r="BN31">
            <v>8107</v>
          </cell>
        </row>
        <row r="33">
          <cell r="M33">
            <v>3823</v>
          </cell>
          <cell r="AZ33">
            <v>58553</v>
          </cell>
          <cell r="BG33">
            <v>17676</v>
          </cell>
          <cell r="BN33">
            <v>29829</v>
          </cell>
        </row>
        <row r="35">
          <cell r="M35">
            <v>5168</v>
          </cell>
          <cell r="AZ35">
            <v>36028</v>
          </cell>
          <cell r="BG35">
            <v>10876</v>
          </cell>
          <cell r="BN35">
            <v>18354</v>
          </cell>
        </row>
        <row r="37">
          <cell r="M37"/>
          <cell r="AZ37"/>
        </row>
        <row r="39">
          <cell r="M39"/>
          <cell r="AZ39"/>
          <cell r="BG39"/>
          <cell r="BN39"/>
        </row>
        <row r="41">
          <cell r="M41">
            <v>3811</v>
          </cell>
          <cell r="AZ41">
            <v>29716</v>
          </cell>
          <cell r="BG41">
            <v>8971</v>
          </cell>
          <cell r="BN41">
            <v>15138</v>
          </cell>
        </row>
        <row r="43">
          <cell r="M43">
            <v>1973</v>
          </cell>
          <cell r="AZ43">
            <v>12547</v>
          </cell>
          <cell r="BG43">
            <v>3788</v>
          </cell>
          <cell r="BN43">
            <v>6392</v>
          </cell>
        </row>
        <row r="45">
          <cell r="M45">
            <v>107</v>
          </cell>
          <cell r="AZ45">
            <v>437</v>
          </cell>
          <cell r="BG45">
            <v>132</v>
          </cell>
          <cell r="BN45">
            <v>223</v>
          </cell>
        </row>
        <row r="47">
          <cell r="M47">
            <v>397</v>
          </cell>
          <cell r="AZ47">
            <v>3429</v>
          </cell>
          <cell r="BG47">
            <v>1035</v>
          </cell>
          <cell r="BN47">
            <v>1747</v>
          </cell>
        </row>
      </sheetData>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PAGE 3C"/>
      <sheetName val="PAGE 3T"/>
      <sheetName val="PAGE 4"/>
      <sheetName val="PAGE 5"/>
      <sheetName val="PAGE 6"/>
      <sheetName val="PAGE 7"/>
      <sheetName val="PAGE 7A"/>
      <sheetName val="PAGE 7B"/>
      <sheetName val="Detail"/>
      <sheetName val="Manf COA"/>
      <sheetName val="Cross Ref"/>
      <sheetName val="Frozen Capital &amp; Breakeven"/>
      <sheetName val="WFPFFWTOT"/>
      <sheetName val="FFPXREFDTA"/>
      <sheetName val="FFPENVIOR"/>
      <sheetName val="Const"/>
      <sheetName val="Language"/>
      <sheetName val="Factory Accounts"/>
      <sheetName val="Change Log"/>
    </sheetNames>
    <sheetDataSet>
      <sheetData sheetId="0" refreshError="1"/>
      <sheetData sheetId="1" refreshError="1">
        <row r="5">
          <cell r="L5">
            <v>5920842</v>
          </cell>
          <cell r="V5">
            <v>66346649</v>
          </cell>
        </row>
        <row r="7">
          <cell r="L7">
            <v>613241</v>
          </cell>
          <cell r="V7">
            <v>7367333</v>
          </cell>
        </row>
        <row r="13">
          <cell r="L13">
            <v>186804</v>
          </cell>
          <cell r="AQ13">
            <v>62332</v>
          </cell>
          <cell r="AX13">
            <v>50956</v>
          </cell>
          <cell r="BF13">
            <v>16358</v>
          </cell>
          <cell r="BN13">
            <v>57158</v>
          </cell>
        </row>
        <row r="15">
          <cell r="AQ15">
            <v>9026</v>
          </cell>
          <cell r="AX15">
            <v>5660</v>
          </cell>
          <cell r="BF15">
            <v>3587</v>
          </cell>
          <cell r="BN15">
            <v>8777</v>
          </cell>
        </row>
        <row r="16">
          <cell r="AQ16">
            <v>115164</v>
          </cell>
          <cell r="AX16">
            <v>81473</v>
          </cell>
          <cell r="BF16">
            <v>33912</v>
          </cell>
          <cell r="BN16">
            <v>99752</v>
          </cell>
        </row>
        <row r="24">
          <cell r="L24">
            <v>73041</v>
          </cell>
          <cell r="X24">
            <v>863211</v>
          </cell>
        </row>
        <row r="25">
          <cell r="L25">
            <v>21233</v>
          </cell>
          <cell r="X25">
            <v>78772</v>
          </cell>
        </row>
        <row r="27">
          <cell r="L27">
            <v>0</v>
          </cell>
          <cell r="X27">
            <v>0</v>
          </cell>
        </row>
        <row r="28">
          <cell r="L28">
            <v>30743</v>
          </cell>
          <cell r="X28">
            <v>359018</v>
          </cell>
        </row>
      </sheetData>
      <sheetData sheetId="2" refreshError="1"/>
      <sheetData sheetId="3" refreshError="1">
        <row r="47">
          <cell r="B47">
            <v>3444758</v>
          </cell>
          <cell r="K47">
            <v>116177</v>
          </cell>
          <cell r="R47">
            <v>84</v>
          </cell>
          <cell r="BA47">
            <v>1005</v>
          </cell>
          <cell r="BK47">
            <v>39470856</v>
          </cell>
          <cell r="BU47">
            <v>1428798</v>
          </cell>
        </row>
      </sheetData>
      <sheetData sheetId="4" refreshError="1">
        <row r="13">
          <cell r="U13">
            <v>63</v>
          </cell>
          <cell r="BA13">
            <v>797</v>
          </cell>
        </row>
        <row r="19">
          <cell r="M19">
            <v>15776</v>
          </cell>
          <cell r="BV19">
            <v>139759</v>
          </cell>
        </row>
        <row r="20">
          <cell r="C20">
            <v>1992734</v>
          </cell>
          <cell r="M20">
            <v>119875</v>
          </cell>
          <cell r="BK20">
            <v>21041015</v>
          </cell>
          <cell r="BV20">
            <v>1511259</v>
          </cell>
        </row>
        <row r="26">
          <cell r="C26">
            <v>59460</v>
          </cell>
          <cell r="K26">
            <v>667866</v>
          </cell>
          <cell r="BQ26">
            <v>26739</v>
          </cell>
          <cell r="BX26">
            <v>297005</v>
          </cell>
        </row>
        <row r="27">
          <cell r="C27">
            <v>-14472</v>
          </cell>
          <cell r="K27">
            <v>-189427</v>
          </cell>
          <cell r="BQ27">
            <v>-2987</v>
          </cell>
          <cell r="BX27">
            <v>-39239</v>
          </cell>
        </row>
        <row r="28">
          <cell r="C28">
            <v>8562</v>
          </cell>
          <cell r="K28">
            <v>120943</v>
          </cell>
          <cell r="BQ28">
            <v>8196</v>
          </cell>
          <cell r="BX28">
            <v>93236</v>
          </cell>
        </row>
        <row r="29">
          <cell r="C29">
            <v>0</v>
          </cell>
          <cell r="K29">
            <v>0</v>
          </cell>
          <cell r="BQ29">
            <v>0</v>
          </cell>
          <cell r="BX29">
            <v>0</v>
          </cell>
        </row>
        <row r="30">
          <cell r="C30">
            <v>-1989</v>
          </cell>
          <cell r="K30">
            <v>-17195</v>
          </cell>
          <cell r="BQ30">
            <v>-1119</v>
          </cell>
          <cell r="BX30">
            <v>-9999</v>
          </cell>
        </row>
        <row r="31">
          <cell r="C31">
            <v>48999</v>
          </cell>
          <cell r="K31">
            <v>547501</v>
          </cell>
          <cell r="BQ31">
            <v>32516</v>
          </cell>
          <cell r="BX31">
            <v>339911</v>
          </cell>
        </row>
        <row r="32">
          <cell r="C32">
            <v>-4849</v>
          </cell>
          <cell r="K32">
            <v>-53097</v>
          </cell>
          <cell r="BQ32">
            <v>-3756</v>
          </cell>
          <cell r="BX32">
            <v>-27046</v>
          </cell>
        </row>
        <row r="33">
          <cell r="C33">
            <v>9104</v>
          </cell>
          <cell r="K33">
            <v>127102</v>
          </cell>
          <cell r="BQ33">
            <v>4882</v>
          </cell>
          <cell r="BX33">
            <v>50803</v>
          </cell>
        </row>
        <row r="34">
          <cell r="C34">
            <v>0</v>
          </cell>
          <cell r="K34">
            <v>0</v>
          </cell>
          <cell r="BQ34">
            <v>0</v>
          </cell>
          <cell r="BX34">
            <v>0</v>
          </cell>
        </row>
        <row r="44">
          <cell r="F44">
            <v>26479</v>
          </cell>
          <cell r="R44">
            <v>307479</v>
          </cell>
          <cell r="BI44">
            <v>24954</v>
          </cell>
          <cell r="BT44">
            <v>315130</v>
          </cell>
        </row>
        <row r="45">
          <cell r="F45">
            <v>19471</v>
          </cell>
          <cell r="R45">
            <v>265417</v>
          </cell>
          <cell r="BI45">
            <v>35268</v>
          </cell>
          <cell r="BT45">
            <v>281471</v>
          </cell>
        </row>
        <row r="46">
          <cell r="F46">
            <v>11174</v>
          </cell>
          <cell r="R46">
            <v>104296</v>
          </cell>
          <cell r="BI46">
            <v>-4622</v>
          </cell>
          <cell r="BT46">
            <v>88500</v>
          </cell>
        </row>
        <row r="47">
          <cell r="F47">
            <v>188</v>
          </cell>
          <cell r="R47">
            <v>3520</v>
          </cell>
        </row>
        <row r="49">
          <cell r="F49">
            <v>0</v>
          </cell>
          <cell r="R49">
            <v>0</v>
          </cell>
          <cell r="BI49">
            <v>0</v>
          </cell>
          <cell r="BT49">
            <v>0</v>
          </cell>
        </row>
        <row r="52">
          <cell r="F52">
            <v>0</v>
          </cell>
          <cell r="R52">
            <v>0</v>
          </cell>
          <cell r="BI52">
            <v>0</v>
          </cell>
          <cell r="BT52">
            <v>0</v>
          </cell>
        </row>
        <row r="53">
          <cell r="F53">
            <v>5800</v>
          </cell>
          <cell r="R53">
            <v>80070</v>
          </cell>
          <cell r="BI53">
            <v>5800</v>
          </cell>
          <cell r="BT53">
            <v>80070</v>
          </cell>
        </row>
        <row r="54">
          <cell r="F54">
            <v>2936</v>
          </cell>
          <cell r="R54">
            <v>46305</v>
          </cell>
          <cell r="BI54">
            <v>9931</v>
          </cell>
          <cell r="BT54">
            <v>101577</v>
          </cell>
        </row>
        <row r="55">
          <cell r="F55">
            <v>3075</v>
          </cell>
          <cell r="R55">
            <v>42203</v>
          </cell>
          <cell r="BI55">
            <v>3075</v>
          </cell>
          <cell r="BT55">
            <v>42203</v>
          </cell>
        </row>
        <row r="56">
          <cell r="F56">
            <v>13784</v>
          </cell>
          <cell r="R56">
            <v>169256</v>
          </cell>
          <cell r="BI56">
            <v>13785</v>
          </cell>
          <cell r="BT56">
            <v>168853</v>
          </cell>
        </row>
        <row r="57">
          <cell r="F57">
            <v>-16625</v>
          </cell>
          <cell r="R57">
            <v>-394585</v>
          </cell>
          <cell r="BI57">
            <v>0</v>
          </cell>
          <cell r="BT57">
            <v>0</v>
          </cell>
        </row>
        <row r="58">
          <cell r="F58">
            <v>16106</v>
          </cell>
          <cell r="R58">
            <v>187745</v>
          </cell>
          <cell r="BI58">
            <v>16455</v>
          </cell>
          <cell r="BT58">
            <v>189894</v>
          </cell>
        </row>
        <row r="59">
          <cell r="F59">
            <v>988</v>
          </cell>
          <cell r="R59">
            <v>21241</v>
          </cell>
          <cell r="BI59">
            <v>988</v>
          </cell>
          <cell r="BT59">
            <v>20090</v>
          </cell>
        </row>
        <row r="60">
          <cell r="F60">
            <v>-479</v>
          </cell>
          <cell r="R60">
            <v>-5726</v>
          </cell>
          <cell r="BI60">
            <v>-1331</v>
          </cell>
          <cell r="BT60">
            <v>-4002</v>
          </cell>
        </row>
        <row r="61">
          <cell r="F61">
            <v>0</v>
          </cell>
          <cell r="R61">
            <v>0</v>
          </cell>
        </row>
        <row r="62">
          <cell r="F62">
            <v>74</v>
          </cell>
          <cell r="R62">
            <v>894</v>
          </cell>
          <cell r="BI62">
            <v>74</v>
          </cell>
          <cell r="BT62">
            <v>894</v>
          </cell>
        </row>
        <row r="63">
          <cell r="F63">
            <v>59520</v>
          </cell>
          <cell r="R63">
            <v>641629</v>
          </cell>
          <cell r="BI63">
            <v>1795</v>
          </cell>
          <cell r="BT63">
            <v>28410</v>
          </cell>
        </row>
        <row r="64">
          <cell r="F64">
            <v>-45468</v>
          </cell>
          <cell r="R64">
            <v>-653861</v>
          </cell>
          <cell r="BI64">
            <v>0</v>
          </cell>
          <cell r="BT64">
            <v>0</v>
          </cell>
        </row>
      </sheetData>
      <sheetData sheetId="5" refreshError="1">
        <row r="4">
          <cell r="C4">
            <v>70706</v>
          </cell>
          <cell r="M4">
            <v>841699</v>
          </cell>
        </row>
        <row r="5">
          <cell r="C5">
            <v>13794</v>
          </cell>
          <cell r="M5">
            <v>155223</v>
          </cell>
        </row>
        <row r="6">
          <cell r="C6">
            <v>0</v>
          </cell>
          <cell r="M6">
            <v>0</v>
          </cell>
        </row>
        <row r="7">
          <cell r="C7">
            <v>13794</v>
          </cell>
          <cell r="M7">
            <v>155223</v>
          </cell>
          <cell r="BS7">
            <v>824</v>
          </cell>
        </row>
        <row r="8">
          <cell r="C8">
            <v>9857</v>
          </cell>
          <cell r="M8">
            <v>192598</v>
          </cell>
          <cell r="BU8">
            <v>9206</v>
          </cell>
        </row>
        <row r="9">
          <cell r="C9">
            <v>3228</v>
          </cell>
          <cell r="M9">
            <v>57301</v>
          </cell>
        </row>
        <row r="10">
          <cell r="C10">
            <v>86077</v>
          </cell>
          <cell r="M10">
            <v>1018197</v>
          </cell>
          <cell r="AM10">
            <v>85105</v>
          </cell>
          <cell r="AW10">
            <v>996583</v>
          </cell>
        </row>
        <row r="11">
          <cell r="C11">
            <v>30783</v>
          </cell>
          <cell r="M11">
            <v>325299</v>
          </cell>
          <cell r="AM11">
            <v>64086</v>
          </cell>
          <cell r="AW11">
            <v>766350</v>
          </cell>
          <cell r="BS11">
            <v>288</v>
          </cell>
        </row>
        <row r="12">
          <cell r="C12">
            <v>19007</v>
          </cell>
          <cell r="M12">
            <v>104198</v>
          </cell>
          <cell r="AM12">
            <v>12644</v>
          </cell>
          <cell r="AW12">
            <v>77046</v>
          </cell>
          <cell r="BU12">
            <v>3196</v>
          </cell>
        </row>
        <row r="13">
          <cell r="C13">
            <v>5633</v>
          </cell>
          <cell r="M13">
            <v>31782</v>
          </cell>
          <cell r="AM13">
            <v>9649</v>
          </cell>
          <cell r="AW13">
            <v>59472</v>
          </cell>
        </row>
        <row r="15">
          <cell r="C15">
            <v>51414</v>
          </cell>
          <cell r="M15">
            <v>640505</v>
          </cell>
          <cell r="AM15">
            <v>40043</v>
          </cell>
          <cell r="AW15">
            <v>430291</v>
          </cell>
          <cell r="BS15">
            <v>42</v>
          </cell>
        </row>
        <row r="16">
          <cell r="C16">
            <v>13187</v>
          </cell>
          <cell r="M16">
            <v>171333</v>
          </cell>
          <cell r="AM16">
            <v>29462</v>
          </cell>
          <cell r="AW16">
            <v>323577</v>
          </cell>
          <cell r="BU16">
            <v>341</v>
          </cell>
        </row>
        <row r="17">
          <cell r="C17">
            <v>37470</v>
          </cell>
          <cell r="M17">
            <v>690034</v>
          </cell>
          <cell r="AM17">
            <v>46944</v>
          </cell>
          <cell r="AW17">
            <v>667422</v>
          </cell>
          <cell r="BS17">
            <v>243</v>
          </cell>
        </row>
        <row r="18">
          <cell r="C18">
            <v>10464</v>
          </cell>
          <cell r="M18">
            <v>220719</v>
          </cell>
          <cell r="AM18">
            <v>35448</v>
          </cell>
          <cell r="AW18">
            <v>504882</v>
          </cell>
          <cell r="BU18">
            <v>4174</v>
          </cell>
        </row>
        <row r="20">
          <cell r="C20">
            <v>0</v>
          </cell>
          <cell r="M20">
            <v>0</v>
          </cell>
          <cell r="AM20">
            <v>24083</v>
          </cell>
          <cell r="AW20">
            <v>176205</v>
          </cell>
        </row>
        <row r="21">
          <cell r="C21">
            <v>0</v>
          </cell>
          <cell r="M21">
            <v>0</v>
          </cell>
          <cell r="AM21">
            <v>4934</v>
          </cell>
          <cell r="AW21">
            <v>29297</v>
          </cell>
        </row>
        <row r="22">
          <cell r="C22">
            <v>0</v>
          </cell>
          <cell r="M22">
            <v>0</v>
          </cell>
        </row>
        <row r="24">
          <cell r="C24">
            <v>0</v>
          </cell>
          <cell r="M24">
            <v>0</v>
          </cell>
        </row>
        <row r="42">
          <cell r="C42">
            <v>15</v>
          </cell>
          <cell r="M42">
            <v>1036</v>
          </cell>
        </row>
        <row r="47">
          <cell r="C47">
            <v>76881</v>
          </cell>
          <cell r="M47">
            <v>963346</v>
          </cell>
          <cell r="AM47">
            <v>131022</v>
          </cell>
          <cell r="AW47">
            <v>1555566</v>
          </cell>
        </row>
        <row r="49">
          <cell r="C49">
            <v>11018</v>
          </cell>
          <cell r="M49">
            <v>71061</v>
          </cell>
          <cell r="AL49">
            <v>13617</v>
          </cell>
          <cell r="AW49">
            <v>200595</v>
          </cell>
        </row>
        <row r="50">
          <cell r="C50">
            <v>11143</v>
          </cell>
          <cell r="M50">
            <v>110215</v>
          </cell>
          <cell r="AL50">
            <v>24917</v>
          </cell>
          <cell r="AW50">
            <v>217247</v>
          </cell>
        </row>
        <row r="51">
          <cell r="C51">
            <v>9306</v>
          </cell>
          <cell r="M51">
            <v>103736</v>
          </cell>
          <cell r="AL51">
            <v>12643</v>
          </cell>
          <cell r="AW51">
            <v>147983</v>
          </cell>
        </row>
        <row r="52">
          <cell r="C52">
            <v>1367</v>
          </cell>
          <cell r="M52">
            <v>17160</v>
          </cell>
          <cell r="AL52">
            <v>1368</v>
          </cell>
          <cell r="AW52">
            <v>17089</v>
          </cell>
        </row>
        <row r="53">
          <cell r="C53">
            <v>-137</v>
          </cell>
          <cell r="M53">
            <v>-1964</v>
          </cell>
          <cell r="AL53">
            <v>-137</v>
          </cell>
          <cell r="AW53">
            <v>-1964</v>
          </cell>
        </row>
        <row r="54">
          <cell r="C54">
            <v>438</v>
          </cell>
          <cell r="M54">
            <v>9017</v>
          </cell>
          <cell r="AL54">
            <v>5815</v>
          </cell>
          <cell r="AW54">
            <v>44422</v>
          </cell>
        </row>
        <row r="55">
          <cell r="C55">
            <v>532</v>
          </cell>
          <cell r="M55">
            <v>26511</v>
          </cell>
          <cell r="AL55">
            <v>12756</v>
          </cell>
          <cell r="AW55">
            <v>127967</v>
          </cell>
        </row>
        <row r="56">
          <cell r="C56">
            <v>-60</v>
          </cell>
          <cell r="M56">
            <v>-60</v>
          </cell>
          <cell r="AL56">
            <v>-7411</v>
          </cell>
          <cell r="AW56">
            <v>2852</v>
          </cell>
        </row>
        <row r="57">
          <cell r="C57">
            <v>377</v>
          </cell>
          <cell r="M57">
            <v>912</v>
          </cell>
          <cell r="AL57">
            <v>6930</v>
          </cell>
          <cell r="AW57">
            <v>53377</v>
          </cell>
        </row>
        <row r="58">
          <cell r="C58">
            <v>48</v>
          </cell>
          <cell r="M58">
            <v>674</v>
          </cell>
          <cell r="AL58">
            <v>18</v>
          </cell>
          <cell r="AW58">
            <v>471</v>
          </cell>
        </row>
        <row r="59">
          <cell r="C59">
            <v>1405</v>
          </cell>
          <cell r="M59">
            <v>6873</v>
          </cell>
          <cell r="AL59">
            <v>2930</v>
          </cell>
          <cell r="AW59">
            <v>20445</v>
          </cell>
        </row>
        <row r="60">
          <cell r="C60">
            <v>287</v>
          </cell>
          <cell r="M60">
            <v>5126</v>
          </cell>
          <cell r="AW60">
            <v>0</v>
          </cell>
        </row>
        <row r="61">
          <cell r="C61">
            <v>0</v>
          </cell>
          <cell r="M61">
            <v>0</v>
          </cell>
          <cell r="AL61">
            <v>-1558</v>
          </cell>
          <cell r="AW61">
            <v>25992</v>
          </cell>
        </row>
      </sheetData>
      <sheetData sheetId="6" refreshError="1">
        <row r="5">
          <cell r="O5">
            <v>0</v>
          </cell>
          <cell r="AU5">
            <v>0</v>
          </cell>
          <cell r="BB5">
            <v>0</v>
          </cell>
          <cell r="BI5">
            <v>0</v>
          </cell>
          <cell r="BP5">
            <v>0</v>
          </cell>
        </row>
        <row r="6">
          <cell r="O6">
            <v>18571</v>
          </cell>
          <cell r="AU6">
            <v>72625</v>
          </cell>
          <cell r="BB6">
            <v>60041</v>
          </cell>
          <cell r="BI6">
            <v>29815</v>
          </cell>
          <cell r="BP6">
            <v>45825</v>
          </cell>
        </row>
        <row r="7">
          <cell r="O7">
            <v>22159</v>
          </cell>
          <cell r="AU7">
            <v>74131</v>
          </cell>
          <cell r="BB7">
            <v>53734</v>
          </cell>
          <cell r="BI7">
            <v>19845</v>
          </cell>
          <cell r="BP7">
            <v>82544</v>
          </cell>
        </row>
        <row r="8">
          <cell r="O8">
            <v>20737</v>
          </cell>
          <cell r="AU8">
            <v>83610</v>
          </cell>
          <cell r="BB8">
            <v>81831</v>
          </cell>
          <cell r="BI8">
            <v>24123</v>
          </cell>
          <cell r="BP8">
            <v>97580</v>
          </cell>
        </row>
        <row r="9">
          <cell r="O9">
            <v>2128</v>
          </cell>
          <cell r="AU9">
            <v>7962</v>
          </cell>
          <cell r="BB9">
            <v>7300</v>
          </cell>
          <cell r="BI9">
            <v>1285</v>
          </cell>
          <cell r="BP9">
            <v>4464</v>
          </cell>
        </row>
        <row r="10">
          <cell r="O10">
            <v>0</v>
          </cell>
          <cell r="AU10">
            <v>5285</v>
          </cell>
          <cell r="BB10">
            <v>4457</v>
          </cell>
          <cell r="BI10">
            <v>828</v>
          </cell>
          <cell r="BP10">
            <v>2484</v>
          </cell>
        </row>
        <row r="11">
          <cell r="O11">
            <v>41460</v>
          </cell>
          <cell r="AU11">
            <v>174936</v>
          </cell>
          <cell r="BB11">
            <v>126040</v>
          </cell>
          <cell r="BI11">
            <v>50048</v>
          </cell>
          <cell r="BP11">
            <v>150014</v>
          </cell>
        </row>
        <row r="12">
          <cell r="O12">
            <v>8911</v>
          </cell>
          <cell r="AU12">
            <v>34940</v>
          </cell>
          <cell r="BB12">
            <v>24957</v>
          </cell>
          <cell r="BI12">
            <v>9983</v>
          </cell>
          <cell r="BP12">
            <v>29949</v>
          </cell>
        </row>
        <row r="13">
          <cell r="O13">
            <v>4985</v>
          </cell>
          <cell r="AU13">
            <v>20321</v>
          </cell>
          <cell r="BB13">
            <v>14513</v>
          </cell>
          <cell r="BI13">
            <v>5808</v>
          </cell>
          <cell r="BP13">
            <v>17420</v>
          </cell>
        </row>
        <row r="14">
          <cell r="O14">
            <v>5946</v>
          </cell>
          <cell r="AU14">
            <v>29812</v>
          </cell>
          <cell r="BB14">
            <v>21294</v>
          </cell>
          <cell r="BI14">
            <v>8518</v>
          </cell>
          <cell r="BP14">
            <v>25553</v>
          </cell>
        </row>
        <row r="15">
          <cell r="O15">
            <v>6581</v>
          </cell>
          <cell r="AU15">
            <v>28322</v>
          </cell>
          <cell r="BB15">
            <v>21840</v>
          </cell>
          <cell r="BI15">
            <v>6482</v>
          </cell>
          <cell r="BP15">
            <v>19446</v>
          </cell>
        </row>
        <row r="16">
          <cell r="O16">
            <v>4199</v>
          </cell>
          <cell r="AU16">
            <v>20318</v>
          </cell>
          <cell r="BB16">
            <v>18391</v>
          </cell>
          <cell r="BI16">
            <v>2300</v>
          </cell>
          <cell r="BP16">
            <v>7396</v>
          </cell>
        </row>
        <row r="17">
          <cell r="O17">
            <v>-5599</v>
          </cell>
          <cell r="AU17">
            <v>74884</v>
          </cell>
          <cell r="BB17">
            <v>64008</v>
          </cell>
          <cell r="BI17">
            <v>9600</v>
          </cell>
          <cell r="BP17">
            <v>41302</v>
          </cell>
        </row>
        <row r="18">
          <cell r="O18">
            <v>23674</v>
          </cell>
          <cell r="AU18">
            <v>89567</v>
          </cell>
          <cell r="BB18">
            <v>69607</v>
          </cell>
          <cell r="BI18">
            <v>40465</v>
          </cell>
          <cell r="BP18">
            <v>110419</v>
          </cell>
        </row>
        <row r="19">
          <cell r="O19">
            <v>-447</v>
          </cell>
          <cell r="Z19">
            <v>0</v>
          </cell>
        </row>
        <row r="20">
          <cell r="O20">
            <v>0</v>
          </cell>
          <cell r="AU20">
            <v>3257</v>
          </cell>
          <cell r="BB20">
            <v>2398</v>
          </cell>
          <cell r="BI20">
            <v>859</v>
          </cell>
          <cell r="BP20">
            <v>2578</v>
          </cell>
        </row>
        <row r="21">
          <cell r="O21">
            <v>14000</v>
          </cell>
          <cell r="AU21">
            <v>62629</v>
          </cell>
          <cell r="BB21">
            <v>44735</v>
          </cell>
          <cell r="BI21">
            <v>17894</v>
          </cell>
          <cell r="BP21">
            <v>53682</v>
          </cell>
        </row>
        <row r="22">
          <cell r="O22">
            <v>6484</v>
          </cell>
          <cell r="AU22">
            <v>25783</v>
          </cell>
          <cell r="BB22">
            <v>18417</v>
          </cell>
          <cell r="BI22">
            <v>11245</v>
          </cell>
          <cell r="BP22">
            <v>23616</v>
          </cell>
        </row>
        <row r="23">
          <cell r="O23">
            <v>130</v>
          </cell>
          <cell r="AU23">
            <v>729</v>
          </cell>
          <cell r="BB23">
            <v>645</v>
          </cell>
          <cell r="BI23">
            <v>84</v>
          </cell>
          <cell r="BP23">
            <v>589</v>
          </cell>
        </row>
        <row r="24">
          <cell r="O24">
            <v>1330</v>
          </cell>
          <cell r="AU24">
            <v>8993</v>
          </cell>
          <cell r="BB24">
            <v>6528</v>
          </cell>
          <cell r="BI24">
            <v>2362</v>
          </cell>
          <cell r="BP24">
            <v>10965</v>
          </cell>
        </row>
        <row r="25">
          <cell r="O25">
            <v>11555</v>
          </cell>
          <cell r="AU25">
            <v>43211</v>
          </cell>
          <cell r="BB25">
            <v>33273</v>
          </cell>
          <cell r="BI25">
            <v>7260</v>
          </cell>
          <cell r="BP25">
            <v>22539</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
      <sheetName val="P2"/>
      <sheetName val="P3C"/>
      <sheetName val="P3T"/>
      <sheetName val="P4"/>
      <sheetName val="P5"/>
      <sheetName val="P6"/>
      <sheetName val="P7"/>
      <sheetName val="Hidden"/>
    </sheetNames>
    <sheetDataSet>
      <sheetData sheetId="0" refreshError="1"/>
      <sheetData sheetId="1" refreshError="1">
        <row r="9">
          <cell r="J9">
            <v>4527776</v>
          </cell>
          <cell r="R9">
            <v>56990215</v>
          </cell>
          <cell r="BE9">
            <v>18846</v>
          </cell>
        </row>
        <row r="11">
          <cell r="BE11">
            <v>240526</v>
          </cell>
        </row>
        <row r="13">
          <cell r="J13">
            <v>595947</v>
          </cell>
          <cell r="R13">
            <v>6737426</v>
          </cell>
          <cell r="BE13">
            <v>6183</v>
          </cell>
        </row>
        <row r="15">
          <cell r="BE15">
            <v>92088</v>
          </cell>
        </row>
        <row r="17">
          <cell r="BE17">
            <v>-1440</v>
          </cell>
        </row>
        <row r="19">
          <cell r="BE19">
            <v>-14571</v>
          </cell>
        </row>
        <row r="25">
          <cell r="J25">
            <v>198799</v>
          </cell>
          <cell r="AF25">
            <v>65604</v>
          </cell>
          <cell r="AL25">
            <v>39760</v>
          </cell>
          <cell r="AQ25">
            <v>31808</v>
          </cell>
          <cell r="AW25">
            <v>53676</v>
          </cell>
          <cell r="BE25">
            <v>7952</v>
          </cell>
        </row>
        <row r="27">
          <cell r="BE27">
            <v>102534</v>
          </cell>
        </row>
        <row r="29">
          <cell r="AF29">
            <v>8234</v>
          </cell>
          <cell r="AL29">
            <v>4990</v>
          </cell>
          <cell r="AQ29">
            <v>3992</v>
          </cell>
          <cell r="AW29">
            <v>6737</v>
          </cell>
          <cell r="BE29">
            <v>998</v>
          </cell>
        </row>
        <row r="31">
          <cell r="AF31">
            <v>108108</v>
          </cell>
          <cell r="AL31">
            <v>65520</v>
          </cell>
          <cell r="AQ31">
            <v>52416</v>
          </cell>
          <cell r="AW31">
            <v>88452</v>
          </cell>
          <cell r="BE31">
            <v>13104</v>
          </cell>
        </row>
        <row r="47">
          <cell r="J47">
            <v>228876</v>
          </cell>
          <cell r="R47">
            <v>1986938</v>
          </cell>
        </row>
        <row r="49">
          <cell r="J49"/>
          <cell r="R49"/>
        </row>
        <row r="55">
          <cell r="J55">
            <v>25951</v>
          </cell>
          <cell r="R55">
            <v>244147</v>
          </cell>
        </row>
      </sheetData>
      <sheetData sheetId="2" refreshError="1"/>
      <sheetData sheetId="3" refreshError="1">
        <row r="95">
          <cell r="C95">
            <v>2862333</v>
          </cell>
          <cell r="L95">
            <v>93511</v>
          </cell>
          <cell r="T95">
            <v>76</v>
          </cell>
          <cell r="BC95">
            <v>848</v>
          </cell>
          <cell r="BP95">
            <v>29926163</v>
          </cell>
          <cell r="BY95">
            <v>1051752</v>
          </cell>
        </row>
      </sheetData>
      <sheetData sheetId="4" refreshError="1">
        <row r="21">
          <cell r="E21">
            <v>955937</v>
          </cell>
          <cell r="BO21">
            <v>15232808</v>
          </cell>
        </row>
        <row r="25">
          <cell r="K25">
            <v>109447</v>
          </cell>
          <cell r="R25">
            <v>57</v>
          </cell>
          <cell r="BB25">
            <v>956</v>
          </cell>
          <cell r="BX25">
            <v>1238527</v>
          </cell>
        </row>
        <row r="37">
          <cell r="K37">
            <v>-8013</v>
          </cell>
          <cell r="BX37">
            <v>-22990</v>
          </cell>
        </row>
        <row r="51">
          <cell r="E51">
            <v>37910</v>
          </cell>
          <cell r="K51">
            <v>371423</v>
          </cell>
          <cell r="BU51">
            <v>27708</v>
          </cell>
          <cell r="CA51">
            <v>427815</v>
          </cell>
        </row>
        <row r="53">
          <cell r="E53">
            <v>-4214</v>
          </cell>
          <cell r="K53">
            <v>20513</v>
          </cell>
          <cell r="BU53">
            <v>945</v>
          </cell>
          <cell r="CA53">
            <v>22677</v>
          </cell>
        </row>
        <row r="55">
          <cell r="E55">
            <v>2726</v>
          </cell>
          <cell r="K55">
            <v>42451</v>
          </cell>
          <cell r="BU55">
            <v>478</v>
          </cell>
          <cell r="CA55">
            <v>27334</v>
          </cell>
        </row>
        <row r="57">
          <cell r="E57">
            <v>14280</v>
          </cell>
          <cell r="K57">
            <v>145178</v>
          </cell>
          <cell r="BU57">
            <v>10761</v>
          </cell>
          <cell r="CA57">
            <v>161017</v>
          </cell>
        </row>
        <row r="59">
          <cell r="E59">
            <v>885</v>
          </cell>
          <cell r="K59">
            <v>6973</v>
          </cell>
          <cell r="BU59">
            <v>146</v>
          </cell>
          <cell r="CA59">
            <v>10667</v>
          </cell>
        </row>
        <row r="61">
          <cell r="E61">
            <v>63126</v>
          </cell>
          <cell r="K61">
            <v>498201</v>
          </cell>
          <cell r="BU61">
            <v>27626</v>
          </cell>
          <cell r="CA61">
            <v>311805</v>
          </cell>
        </row>
        <row r="63">
          <cell r="E63">
            <v>4439</v>
          </cell>
          <cell r="K63">
            <v>36808</v>
          </cell>
          <cell r="BU63">
            <v>2069</v>
          </cell>
          <cell r="CA63">
            <v>23273</v>
          </cell>
        </row>
        <row r="65">
          <cell r="E65">
            <v>29638</v>
          </cell>
          <cell r="K65">
            <v>246661</v>
          </cell>
          <cell r="BU65">
            <v>2087</v>
          </cell>
          <cell r="CA65">
            <v>64401</v>
          </cell>
        </row>
        <row r="87">
          <cell r="F87">
            <v>37980</v>
          </cell>
          <cell r="P87">
            <v>482684</v>
          </cell>
          <cell r="BM87">
            <v>32786</v>
          </cell>
          <cell r="BW87">
            <v>464289</v>
          </cell>
        </row>
        <row r="93">
          <cell r="F93">
            <v>3772</v>
          </cell>
          <cell r="P93">
            <v>37000</v>
          </cell>
          <cell r="BM93"/>
          <cell r="BW93"/>
        </row>
        <row r="97">
          <cell r="F97"/>
          <cell r="P97">
            <v>272</v>
          </cell>
          <cell r="BM97">
            <v>3520</v>
          </cell>
          <cell r="BW97">
            <v>50747</v>
          </cell>
        </row>
        <row r="103">
          <cell r="F103"/>
          <cell r="P103"/>
          <cell r="BM103"/>
          <cell r="BW103"/>
        </row>
        <row r="105">
          <cell r="F105">
            <v>38003</v>
          </cell>
          <cell r="G105"/>
          <cell r="H105"/>
          <cell r="I105"/>
          <cell r="J105"/>
          <cell r="K105"/>
          <cell r="P105">
            <v>346904</v>
          </cell>
          <cell r="BM105">
            <v>34532</v>
          </cell>
          <cell r="BW105">
            <v>353814</v>
          </cell>
        </row>
        <row r="106">
          <cell r="F106"/>
          <cell r="G106"/>
          <cell r="H106"/>
          <cell r="I106"/>
          <cell r="J106"/>
          <cell r="K106"/>
        </row>
        <row r="107">
          <cell r="F107">
            <v>2338</v>
          </cell>
          <cell r="P107">
            <v>38343</v>
          </cell>
          <cell r="BM107">
            <v>3554</v>
          </cell>
          <cell r="BW107">
            <v>27767</v>
          </cell>
        </row>
        <row r="109">
          <cell r="F109">
            <v>13091</v>
          </cell>
          <cell r="P109">
            <v>140557</v>
          </cell>
          <cell r="BM109">
            <v>14341</v>
          </cell>
          <cell r="BW109">
            <v>158381</v>
          </cell>
        </row>
        <row r="111">
          <cell r="F111">
            <v>33933</v>
          </cell>
          <cell r="P111">
            <v>361948</v>
          </cell>
          <cell r="BM111">
            <v>29921</v>
          </cell>
          <cell r="BW111">
            <v>324683</v>
          </cell>
        </row>
        <row r="113">
          <cell r="F113">
            <v>21864</v>
          </cell>
          <cell r="P113">
            <v>357845</v>
          </cell>
          <cell r="BM113"/>
          <cell r="BW113"/>
        </row>
        <row r="115">
          <cell r="BM115"/>
          <cell r="BW115"/>
        </row>
        <row r="117">
          <cell r="F117"/>
          <cell r="G117"/>
          <cell r="H117"/>
          <cell r="I117"/>
          <cell r="J117"/>
          <cell r="K117"/>
          <cell r="P117">
            <v>2036</v>
          </cell>
          <cell r="Q117"/>
          <cell r="R117"/>
          <cell r="S117"/>
          <cell r="T117"/>
          <cell r="U117"/>
          <cell r="V117"/>
          <cell r="BM117"/>
          <cell r="BW117">
            <v>1894</v>
          </cell>
        </row>
        <row r="118">
          <cell r="F118"/>
          <cell r="G118"/>
          <cell r="H118"/>
          <cell r="I118"/>
          <cell r="J118"/>
          <cell r="K118"/>
          <cell r="P118"/>
          <cell r="Q118"/>
          <cell r="R118"/>
          <cell r="S118"/>
          <cell r="T118"/>
          <cell r="U118"/>
          <cell r="V118"/>
        </row>
        <row r="119">
          <cell r="F119">
            <v>1457</v>
          </cell>
          <cell r="P119">
            <v>2457</v>
          </cell>
          <cell r="BM119"/>
          <cell r="BW119"/>
        </row>
        <row r="125">
          <cell r="F125">
            <v>44621</v>
          </cell>
          <cell r="P125">
            <v>512058</v>
          </cell>
          <cell r="BM125">
            <v>6246</v>
          </cell>
          <cell r="BW125">
            <v>71064</v>
          </cell>
        </row>
        <row r="127">
          <cell r="F127">
            <v>46369</v>
          </cell>
          <cell r="P127">
            <v>517735</v>
          </cell>
          <cell r="BM127"/>
          <cell r="BW127"/>
        </row>
      </sheetData>
      <sheetData sheetId="5" refreshError="1">
        <row r="7">
          <cell r="D7">
            <v>8247</v>
          </cell>
          <cell r="L7">
            <v>160677</v>
          </cell>
        </row>
        <row r="9">
          <cell r="D9">
            <v>2111</v>
          </cell>
          <cell r="L9">
            <v>38917</v>
          </cell>
        </row>
        <row r="13">
          <cell r="BW13">
            <v>740</v>
          </cell>
        </row>
        <row r="15">
          <cell r="D15">
            <v>10050</v>
          </cell>
          <cell r="L15">
            <v>115706</v>
          </cell>
          <cell r="BW15">
            <v>9058</v>
          </cell>
        </row>
        <row r="17">
          <cell r="D17">
            <v>3107</v>
          </cell>
          <cell r="L17">
            <v>36804</v>
          </cell>
        </row>
        <row r="19">
          <cell r="D19">
            <v>82949</v>
          </cell>
          <cell r="L19">
            <v>1113235</v>
          </cell>
          <cell r="AN19">
            <v>95749</v>
          </cell>
          <cell r="AV19">
            <v>1152171</v>
          </cell>
        </row>
        <row r="21">
          <cell r="D21">
            <v>35985</v>
          </cell>
          <cell r="L21">
            <v>377197</v>
          </cell>
          <cell r="AN21">
            <v>63428</v>
          </cell>
          <cell r="AV21">
            <v>820161</v>
          </cell>
          <cell r="BW21">
            <v>185</v>
          </cell>
        </row>
        <row r="23">
          <cell r="AN23"/>
          <cell r="AV23">
            <v>26</v>
          </cell>
          <cell r="BW23">
            <v>2607</v>
          </cell>
        </row>
        <row r="25">
          <cell r="AN25"/>
          <cell r="AV25">
            <v>16</v>
          </cell>
        </row>
        <row r="29">
          <cell r="D29">
            <v>39280</v>
          </cell>
          <cell r="L29">
            <v>493516</v>
          </cell>
          <cell r="AN29">
            <v>33736</v>
          </cell>
          <cell r="AV29">
            <v>473919</v>
          </cell>
        </row>
        <row r="31">
          <cell r="D31">
            <v>10058</v>
          </cell>
          <cell r="L31">
            <v>135886</v>
          </cell>
          <cell r="AN31">
            <v>23085</v>
          </cell>
          <cell r="AV31">
            <v>339607</v>
          </cell>
        </row>
        <row r="33">
          <cell r="D33">
            <v>10742</v>
          </cell>
          <cell r="L33">
            <v>161604</v>
          </cell>
          <cell r="AN33">
            <v>35939</v>
          </cell>
          <cell r="AV33">
            <v>485729</v>
          </cell>
          <cell r="BW33">
            <v>213</v>
          </cell>
        </row>
        <row r="35">
          <cell r="D35">
            <v>4468</v>
          </cell>
          <cell r="L35">
            <v>64046</v>
          </cell>
          <cell r="AN35">
            <v>25923</v>
          </cell>
          <cell r="AV35">
            <v>384181</v>
          </cell>
          <cell r="BW35">
            <v>3212</v>
          </cell>
        </row>
        <row r="37">
          <cell r="AN37">
            <v>-9453</v>
          </cell>
          <cell r="AV37">
            <v>-97501</v>
          </cell>
        </row>
        <row r="39">
          <cell r="AN39">
            <v>5811</v>
          </cell>
          <cell r="AV39">
            <v>84305</v>
          </cell>
        </row>
        <row r="41">
          <cell r="AN41">
            <v>-1583</v>
          </cell>
          <cell r="AV41">
            <v>-1595</v>
          </cell>
        </row>
        <row r="83">
          <cell r="D83">
            <v>25620</v>
          </cell>
          <cell r="L83">
            <v>47011</v>
          </cell>
        </row>
        <row r="93">
          <cell r="D93">
            <v>81349</v>
          </cell>
          <cell r="L93">
            <v>757805</v>
          </cell>
        </row>
        <row r="97">
          <cell r="D97">
            <v>7519</v>
          </cell>
          <cell r="L97">
            <v>77500</v>
          </cell>
          <cell r="AM97">
            <v>7630</v>
          </cell>
          <cell r="AV97">
            <v>110672</v>
          </cell>
        </row>
        <row r="99">
          <cell r="D99">
            <v>14677</v>
          </cell>
          <cell r="L99">
            <v>141465</v>
          </cell>
          <cell r="AM99">
            <v>30008</v>
          </cell>
          <cell r="AV99">
            <v>348132</v>
          </cell>
        </row>
        <row r="101">
          <cell r="D101"/>
          <cell r="E101"/>
          <cell r="F101"/>
          <cell r="G101"/>
          <cell r="L101"/>
          <cell r="M101"/>
          <cell r="N101"/>
          <cell r="O101"/>
          <cell r="P101"/>
          <cell r="AM101"/>
          <cell r="AN101"/>
          <cell r="AO101"/>
          <cell r="AP101"/>
          <cell r="AQ101"/>
          <cell r="AV101"/>
          <cell r="AW101"/>
          <cell r="AX101"/>
          <cell r="AY101"/>
          <cell r="AZ101"/>
        </row>
        <row r="102">
          <cell r="D102"/>
          <cell r="E102"/>
          <cell r="F102"/>
          <cell r="G102"/>
          <cell r="L102"/>
          <cell r="M102"/>
          <cell r="N102"/>
          <cell r="O102"/>
          <cell r="P102"/>
          <cell r="AM102"/>
          <cell r="AN102"/>
          <cell r="AO102"/>
          <cell r="AP102"/>
          <cell r="AQ102"/>
          <cell r="AV102"/>
          <cell r="AW102"/>
          <cell r="AX102"/>
          <cell r="AY102"/>
          <cell r="AZ102"/>
        </row>
        <row r="103">
          <cell r="D103">
            <v>1574</v>
          </cell>
          <cell r="L103">
            <v>18851</v>
          </cell>
          <cell r="AM103">
            <v>1871</v>
          </cell>
          <cell r="AV103">
            <v>27871</v>
          </cell>
        </row>
        <row r="107">
          <cell r="D107"/>
          <cell r="E107"/>
          <cell r="F107"/>
          <cell r="G107"/>
          <cell r="L107"/>
          <cell r="M107"/>
          <cell r="N107"/>
          <cell r="O107"/>
          <cell r="P107"/>
          <cell r="AM107">
            <v>712</v>
          </cell>
          <cell r="AV107">
            <v>9620</v>
          </cell>
        </row>
        <row r="108">
          <cell r="D108"/>
          <cell r="E108"/>
          <cell r="F108"/>
          <cell r="G108"/>
          <cell r="L108"/>
          <cell r="M108"/>
          <cell r="N108"/>
          <cell r="O108"/>
          <cell r="P108"/>
        </row>
        <row r="109">
          <cell r="D109">
            <v>75</v>
          </cell>
          <cell r="L109">
            <v>978</v>
          </cell>
          <cell r="AM109">
            <v>3393</v>
          </cell>
          <cell r="AV109">
            <v>20133</v>
          </cell>
        </row>
        <row r="111">
          <cell r="AM111">
            <v>684</v>
          </cell>
          <cell r="AV111">
            <v>3816</v>
          </cell>
        </row>
        <row r="113">
          <cell r="D113">
            <v>151</v>
          </cell>
          <cell r="L113">
            <v>720</v>
          </cell>
          <cell r="AM113">
            <v>-627</v>
          </cell>
          <cell r="AV113">
            <v>-21316</v>
          </cell>
        </row>
        <row r="115">
          <cell r="D115">
            <v>192</v>
          </cell>
          <cell r="L115">
            <v>61</v>
          </cell>
        </row>
        <row r="117">
          <cell r="D117">
            <v>201</v>
          </cell>
          <cell r="L117">
            <v>1523</v>
          </cell>
          <cell r="AM117">
            <v>577</v>
          </cell>
          <cell r="AV117">
            <v>12613</v>
          </cell>
        </row>
        <row r="121">
          <cell r="D121">
            <v>480</v>
          </cell>
          <cell r="L121">
            <v>5440</v>
          </cell>
          <cell r="AM121">
            <v>8625</v>
          </cell>
          <cell r="AV121">
            <v>30190</v>
          </cell>
        </row>
      </sheetData>
      <sheetData sheetId="6" refreshError="1">
        <row r="9">
          <cell r="M9"/>
          <cell r="AS9"/>
          <cell r="AT9"/>
          <cell r="AU9"/>
          <cell r="AV9"/>
          <cell r="AW9"/>
          <cell r="AZ9"/>
          <cell r="BG9"/>
          <cell r="BN9"/>
        </row>
        <row r="10">
          <cell r="AS10"/>
          <cell r="AT10"/>
          <cell r="AU10"/>
          <cell r="AV10"/>
          <cell r="AW10"/>
        </row>
        <row r="11">
          <cell r="M11">
            <v>25317</v>
          </cell>
          <cell r="AS11">
            <v>75454</v>
          </cell>
          <cell r="AZ11">
            <v>45730</v>
          </cell>
          <cell r="BG11">
            <v>36584</v>
          </cell>
          <cell r="BN11">
            <v>61735</v>
          </cell>
        </row>
        <row r="13">
          <cell r="M13">
            <v>21965</v>
          </cell>
          <cell r="AS13">
            <v>78118</v>
          </cell>
          <cell r="AZ13">
            <v>47344</v>
          </cell>
          <cell r="BG13">
            <v>37875</v>
          </cell>
          <cell r="BN13">
            <v>63915</v>
          </cell>
        </row>
        <row r="15">
          <cell r="M15">
            <v>23794</v>
          </cell>
          <cell r="AS15">
            <v>110702</v>
          </cell>
          <cell r="AZ15">
            <v>67092</v>
          </cell>
          <cell r="BG15">
            <v>53674</v>
          </cell>
          <cell r="BN15">
            <v>90575</v>
          </cell>
        </row>
        <row r="17">
          <cell r="M17">
            <v>2658</v>
          </cell>
          <cell r="AS17">
            <v>11732</v>
          </cell>
          <cell r="AZ17">
            <v>7110</v>
          </cell>
          <cell r="BG17">
            <v>5688</v>
          </cell>
          <cell r="BN17">
            <v>9599</v>
          </cell>
        </row>
        <row r="19">
          <cell r="M19"/>
          <cell r="BN19"/>
        </row>
        <row r="21">
          <cell r="M21">
            <v>33172</v>
          </cell>
          <cell r="AS21">
            <v>148588</v>
          </cell>
          <cell r="AZ21">
            <v>90054</v>
          </cell>
          <cell r="BG21">
            <v>72043</v>
          </cell>
          <cell r="BN21">
            <v>121572</v>
          </cell>
        </row>
        <row r="23">
          <cell r="M23">
            <v>7898</v>
          </cell>
          <cell r="AS23">
            <v>31079</v>
          </cell>
          <cell r="AZ23">
            <v>18836</v>
          </cell>
          <cell r="BG23">
            <v>15069</v>
          </cell>
          <cell r="BN23">
            <v>25428</v>
          </cell>
        </row>
        <row r="25">
          <cell r="M25">
            <v>507</v>
          </cell>
          <cell r="AS25">
            <v>5415</v>
          </cell>
          <cell r="AZ25">
            <v>3282</v>
          </cell>
          <cell r="BG25">
            <v>2625</v>
          </cell>
          <cell r="BN25">
            <v>4430</v>
          </cell>
        </row>
        <row r="27">
          <cell r="M27">
            <v>4817</v>
          </cell>
          <cell r="AS27">
            <v>35892</v>
          </cell>
          <cell r="AZ27">
            <v>21753</v>
          </cell>
          <cell r="BG27">
            <v>17402</v>
          </cell>
          <cell r="BN27">
            <v>29366</v>
          </cell>
        </row>
        <row r="29">
          <cell r="M29">
            <v>6282</v>
          </cell>
          <cell r="AS29">
            <v>24081</v>
          </cell>
          <cell r="AZ29">
            <v>14595</v>
          </cell>
          <cell r="BG29">
            <v>11676</v>
          </cell>
          <cell r="BN29">
            <v>19703</v>
          </cell>
        </row>
        <row r="31">
          <cell r="M31">
            <v>3633</v>
          </cell>
          <cell r="AS31">
            <v>24321</v>
          </cell>
          <cell r="AZ31">
            <v>14740</v>
          </cell>
          <cell r="BG31">
            <v>11792</v>
          </cell>
          <cell r="BN31">
            <v>19899</v>
          </cell>
        </row>
        <row r="33">
          <cell r="M33">
            <v>38553</v>
          </cell>
          <cell r="AS33">
            <v>181010</v>
          </cell>
          <cell r="AZ33">
            <v>109703</v>
          </cell>
          <cell r="BG33">
            <v>87763</v>
          </cell>
          <cell r="BN33">
            <v>148099</v>
          </cell>
        </row>
        <row r="35">
          <cell r="M35">
            <v>14422</v>
          </cell>
          <cell r="AS35">
            <v>52051</v>
          </cell>
          <cell r="AZ35">
            <v>31546</v>
          </cell>
          <cell r="BG35">
            <v>25237</v>
          </cell>
          <cell r="BN35">
            <v>42587</v>
          </cell>
        </row>
        <row r="37">
          <cell r="M37"/>
          <cell r="AS37"/>
          <cell r="AZ37"/>
        </row>
        <row r="39">
          <cell r="M39"/>
          <cell r="AS39">
            <v>389</v>
          </cell>
          <cell r="AZ39">
            <v>236</v>
          </cell>
          <cell r="BG39">
            <v>189</v>
          </cell>
          <cell r="BN39">
            <v>319</v>
          </cell>
        </row>
        <row r="41">
          <cell r="M41">
            <v>3811</v>
          </cell>
          <cell r="AS41">
            <v>18502</v>
          </cell>
          <cell r="AZ41">
            <v>11213</v>
          </cell>
          <cell r="BG41">
            <v>8971</v>
          </cell>
          <cell r="BN41">
            <v>15138</v>
          </cell>
        </row>
        <row r="43">
          <cell r="M43">
            <v>9126</v>
          </cell>
          <cell r="AS43">
            <v>36140</v>
          </cell>
          <cell r="AZ43">
            <v>21903</v>
          </cell>
          <cell r="BG43">
            <v>17523</v>
          </cell>
          <cell r="BN43">
            <v>29569</v>
          </cell>
        </row>
        <row r="45">
          <cell r="M45">
            <v>549</v>
          </cell>
          <cell r="AS45">
            <v>2939</v>
          </cell>
          <cell r="AZ45">
            <v>1781</v>
          </cell>
          <cell r="BG45">
            <v>1425</v>
          </cell>
          <cell r="BN45">
            <v>2405</v>
          </cell>
        </row>
        <row r="47">
          <cell r="M47">
            <v>2295</v>
          </cell>
          <cell r="AS47">
            <v>9488</v>
          </cell>
          <cell r="AZ47">
            <v>5750</v>
          </cell>
          <cell r="BG47">
            <v>4600</v>
          </cell>
          <cell r="BN47">
            <v>7763</v>
          </cell>
        </row>
      </sheetData>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Page 3"/>
      <sheetName val="Page 4"/>
      <sheetName val="Page 5"/>
      <sheetName val="Page6"/>
      <sheetName val="FS Data"/>
    </sheetNames>
    <sheetDataSet>
      <sheetData sheetId="0" refreshError="1"/>
      <sheetData sheetId="1" refreshError="1">
        <row r="1">
          <cell r="L1"/>
        </row>
        <row r="2">
          <cell r="L2"/>
        </row>
        <row r="3">
          <cell r="B3"/>
          <cell r="C3"/>
          <cell r="D3"/>
          <cell r="E3"/>
          <cell r="F3" t="str">
            <v>DEPARTMENTAL INCOME AND EXPENSE</v>
          </cell>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cell r="AZ3"/>
          <cell r="BA3"/>
          <cell r="BB3"/>
          <cell r="BC3"/>
          <cell r="BD3"/>
          <cell r="BE3"/>
          <cell r="BF3"/>
          <cell r="BG3"/>
          <cell r="BH3"/>
          <cell r="BI3"/>
          <cell r="BJ3"/>
          <cell r="BK3"/>
          <cell r="BL3"/>
          <cell r="BM3"/>
          <cell r="BN3"/>
          <cell r="BO3"/>
          <cell r="BP3"/>
          <cell r="BQ3"/>
          <cell r="BR3"/>
          <cell r="BS3"/>
          <cell r="BT3"/>
          <cell r="BU3"/>
          <cell r="BV3"/>
          <cell r="BW3"/>
          <cell r="BX3"/>
          <cell r="BY3"/>
          <cell r="BZ3"/>
          <cell r="CA3"/>
          <cell r="CB3"/>
          <cell r="CC3"/>
          <cell r="CD3"/>
          <cell r="CE3"/>
          <cell r="CF3"/>
          <cell r="CG3"/>
          <cell r="CH3"/>
          <cell r="CI3"/>
          <cell r="CJ3"/>
          <cell r="CK3"/>
          <cell r="CL3"/>
          <cell r="CM3"/>
          <cell r="CN3"/>
          <cell r="CO3"/>
          <cell r="CP3"/>
          <cell r="CQ3"/>
          <cell r="CR3"/>
          <cell r="CS3"/>
          <cell r="CT3"/>
          <cell r="CU3"/>
          <cell r="CV3"/>
          <cell r="CW3"/>
          <cell r="CX3"/>
          <cell r="CY3"/>
          <cell r="CZ3"/>
          <cell r="DA3"/>
          <cell r="DB3"/>
          <cell r="DC3"/>
          <cell r="DD3"/>
          <cell r="DE3"/>
          <cell r="DF3"/>
          <cell r="DG3"/>
          <cell r="DH3"/>
          <cell r="DI3"/>
          <cell r="DJ3"/>
          <cell r="DK3"/>
          <cell r="DL3"/>
          <cell r="DM3"/>
          <cell r="DN3"/>
          <cell r="DO3"/>
          <cell r="DP3"/>
        </row>
        <row r="4">
          <cell r="B4" t="str">
            <v>PAGE 2</v>
          </cell>
          <cell r="C4"/>
          <cell r="D4"/>
          <cell r="E4"/>
          <cell r="F4"/>
          <cell r="G4"/>
          <cell r="H4"/>
          <cell r="I4"/>
          <cell r="J4"/>
          <cell r="K4" t="str">
            <v>(Month, Year)</v>
          </cell>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cell r="BF4"/>
          <cell r="BG4"/>
          <cell r="BH4"/>
          <cell r="BI4"/>
          <cell r="BJ4"/>
          <cell r="BK4"/>
          <cell r="BL4"/>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cell r="CV4"/>
          <cell r="CW4"/>
          <cell r="CX4"/>
          <cell r="CY4"/>
          <cell r="CZ4"/>
          <cell r="DA4"/>
          <cell r="DB4"/>
          <cell r="DC4"/>
          <cell r="DD4"/>
          <cell r="DE4"/>
          <cell r="DF4"/>
          <cell r="DG4"/>
          <cell r="DH4"/>
          <cell r="DI4"/>
          <cell r="DJ4"/>
          <cell r="DK4"/>
          <cell r="DL4"/>
          <cell r="DM4"/>
          <cell r="DN4"/>
          <cell r="DO4"/>
          <cell r="DP4"/>
        </row>
        <row r="5">
          <cell r="B5" t="str">
            <v>LINE</v>
          </cell>
          <cell r="C5"/>
          <cell r="D5" t="str">
            <v>NAME OF ACCOUNT</v>
          </cell>
          <cell r="E5"/>
          <cell r="F5"/>
          <cell r="G5"/>
          <cell r="H5"/>
          <cell r="I5"/>
          <cell r="J5"/>
          <cell r="K5"/>
          <cell r="L5"/>
          <cell r="M5" t="str">
            <v>ACCT</v>
          </cell>
          <cell r="N5" t="str">
            <v>TOTAL INCOME &amp; EXPENSE</v>
          </cell>
          <cell r="O5"/>
          <cell r="P5"/>
          <cell r="Q5"/>
          <cell r="R5"/>
          <cell r="S5"/>
          <cell r="T5"/>
          <cell r="U5"/>
          <cell r="V5"/>
          <cell r="W5"/>
          <cell r="X5"/>
          <cell r="Y5"/>
          <cell r="Z5"/>
          <cell r="AA5"/>
          <cell r="AB5"/>
          <cell r="AC5"/>
          <cell r="AD5"/>
          <cell r="AE5"/>
          <cell r="AF5"/>
          <cell r="AG5"/>
          <cell r="AH5"/>
          <cell r="AI5"/>
          <cell r="AJ5"/>
          <cell r="AK5"/>
          <cell r="AL5"/>
          <cell r="AM5"/>
          <cell r="AN5"/>
          <cell r="AO5"/>
          <cell r="AP5"/>
          <cell r="AQ5" t="str">
            <v>A - NEW VEHICLE DEPT.</v>
          </cell>
          <cell r="AR5"/>
          <cell r="AS5"/>
          <cell r="AT5"/>
          <cell r="AU5"/>
          <cell r="AV5"/>
          <cell r="AW5"/>
          <cell r="AX5"/>
          <cell r="AY5"/>
          <cell r="AZ5"/>
          <cell r="BA5"/>
          <cell r="BB5"/>
          <cell r="BC5"/>
          <cell r="BD5"/>
          <cell r="BE5"/>
          <cell r="BF5"/>
          <cell r="BG5"/>
          <cell r="BH5"/>
          <cell r="BI5"/>
          <cell r="BJ5"/>
          <cell r="BK5"/>
          <cell r="BL5"/>
          <cell r="BM5"/>
          <cell r="BN5"/>
          <cell r="BO5"/>
          <cell r="BP5"/>
          <cell r="BQ5"/>
          <cell r="BR5"/>
          <cell r="BS5"/>
          <cell r="BT5"/>
          <cell r="BU5"/>
          <cell r="BV5"/>
          <cell r="BW5" t="str">
            <v>B - USED VEHICLE DEPT</v>
          </cell>
          <cell r="BX5"/>
          <cell r="BY5"/>
          <cell r="BZ5"/>
          <cell r="CA5"/>
          <cell r="CB5"/>
          <cell r="CC5"/>
          <cell r="CD5"/>
          <cell r="CE5"/>
          <cell r="CF5"/>
          <cell r="CG5"/>
          <cell r="CH5"/>
          <cell r="CI5"/>
          <cell r="CJ5"/>
          <cell r="CK5"/>
          <cell r="CL5"/>
          <cell r="CM5"/>
          <cell r="CN5"/>
          <cell r="CO5"/>
          <cell r="CP5"/>
          <cell r="CQ5"/>
          <cell r="CR5"/>
          <cell r="CS5"/>
          <cell r="CT5"/>
          <cell r="CU5"/>
          <cell r="CV5"/>
          <cell r="CW5"/>
          <cell r="CX5"/>
          <cell r="CY5"/>
          <cell r="CZ5"/>
          <cell r="DA5"/>
          <cell r="DB5"/>
          <cell r="DC5"/>
          <cell r="DD5"/>
          <cell r="DE5"/>
          <cell r="DF5"/>
          <cell r="DG5"/>
          <cell r="DH5"/>
          <cell r="DI5"/>
          <cell r="DJ5"/>
          <cell r="DK5"/>
          <cell r="DL5"/>
          <cell r="DM5"/>
          <cell r="DN5"/>
          <cell r="DO5" t="str">
            <v>LINE</v>
          </cell>
          <cell r="DP5"/>
        </row>
        <row r="6">
          <cell r="B6" t="str">
            <v>NO</v>
          </cell>
          <cell r="C6"/>
          <cell r="D6"/>
          <cell r="E6"/>
          <cell r="F6"/>
          <cell r="G6"/>
          <cell r="H6"/>
          <cell r="I6"/>
          <cell r="J6"/>
          <cell r="K6"/>
          <cell r="L6"/>
          <cell r="M6" t="str">
            <v>NO</v>
          </cell>
          <cell r="N6" t="str">
            <v>MONTH</v>
          </cell>
          <cell r="O6"/>
          <cell r="P6"/>
          <cell r="Q6"/>
          <cell r="R6"/>
          <cell r="S6"/>
          <cell r="T6"/>
          <cell r="U6"/>
          <cell r="V6"/>
          <cell r="W6"/>
          <cell r="X6"/>
          <cell r="Y6" t="str">
            <v>YEAR TO DATE</v>
          </cell>
          <cell r="Z6"/>
          <cell r="AA6"/>
          <cell r="AB6"/>
          <cell r="AC6"/>
          <cell r="AD6"/>
          <cell r="AE6"/>
          <cell r="AF6"/>
          <cell r="AG6"/>
          <cell r="AH6"/>
          <cell r="AI6"/>
          <cell r="AJ6" t="str">
            <v>% GP</v>
          </cell>
          <cell r="AK6"/>
          <cell r="AL6"/>
          <cell r="AM6"/>
          <cell r="AN6"/>
          <cell r="AO6"/>
          <cell r="AP6"/>
          <cell r="AQ6" t="str">
            <v>MONTH</v>
          </cell>
          <cell r="AR6"/>
          <cell r="AS6"/>
          <cell r="AT6"/>
          <cell r="AU6"/>
          <cell r="AV6"/>
          <cell r="AW6"/>
          <cell r="AX6"/>
          <cell r="AY6"/>
          <cell r="AZ6"/>
          <cell r="BA6"/>
          <cell r="BB6"/>
          <cell r="BC6"/>
          <cell r="BD6"/>
          <cell r="BE6"/>
          <cell r="BF6"/>
          <cell r="BG6" t="str">
            <v>YEAR TO DATE</v>
          </cell>
          <cell r="BH6"/>
          <cell r="BI6"/>
          <cell r="BJ6"/>
          <cell r="BK6"/>
          <cell r="BL6"/>
          <cell r="BM6"/>
          <cell r="BN6"/>
          <cell r="BO6"/>
          <cell r="BP6"/>
          <cell r="BQ6"/>
          <cell r="BR6"/>
          <cell r="BS6"/>
          <cell r="BT6"/>
          <cell r="BU6"/>
          <cell r="BV6"/>
          <cell r="BW6" t="str">
            <v>MONTH</v>
          </cell>
          <cell r="BX6"/>
          <cell r="BY6"/>
          <cell r="BZ6"/>
          <cell r="CA6"/>
          <cell r="CB6"/>
          <cell r="CC6"/>
          <cell r="CD6"/>
          <cell r="CE6"/>
          <cell r="CF6"/>
          <cell r="CG6"/>
          <cell r="CH6"/>
          <cell r="CI6"/>
          <cell r="CJ6"/>
          <cell r="CK6"/>
          <cell r="CL6"/>
          <cell r="CM6"/>
          <cell r="CN6"/>
          <cell r="CO6"/>
          <cell r="CP6"/>
          <cell r="CQ6"/>
          <cell r="CR6" t="str">
            <v>YEAR TO DATE</v>
          </cell>
          <cell r="CS6"/>
          <cell r="CT6"/>
          <cell r="CU6"/>
          <cell r="CV6"/>
          <cell r="CW6"/>
          <cell r="CX6"/>
          <cell r="CY6"/>
          <cell r="CZ6"/>
          <cell r="DA6"/>
          <cell r="DB6"/>
          <cell r="DC6"/>
          <cell r="DD6"/>
          <cell r="DE6"/>
          <cell r="DF6"/>
          <cell r="DG6"/>
          <cell r="DH6"/>
          <cell r="DI6"/>
          <cell r="DJ6"/>
          <cell r="DK6"/>
          <cell r="DL6"/>
          <cell r="DM6"/>
          <cell r="DN6"/>
          <cell r="DO6" t="str">
            <v>NO</v>
          </cell>
          <cell r="DP6"/>
        </row>
        <row r="7">
          <cell r="B7" t="str">
            <v>1</v>
          </cell>
          <cell r="C7"/>
          <cell r="D7" t="str">
            <v>TOTAL SALES</v>
          </cell>
          <cell r="E7"/>
          <cell r="F7"/>
          <cell r="G7"/>
          <cell r="H7"/>
          <cell r="I7"/>
          <cell r="J7"/>
          <cell r="K7"/>
          <cell r="L7" t="str">
            <v xml:space="preserve">(From Pages 4 &amp; 5) </v>
          </cell>
          <cell r="M7"/>
          <cell r="N7">
            <v>8001923</v>
          </cell>
          <cell r="O7"/>
          <cell r="P7"/>
          <cell r="Q7"/>
          <cell r="R7"/>
          <cell r="S7"/>
          <cell r="T7" t="e">
            <v>#REF!</v>
          </cell>
          <cell r="U7"/>
          <cell r="V7"/>
          <cell r="W7"/>
          <cell r="X7"/>
          <cell r="Y7">
            <v>86346129</v>
          </cell>
          <cell r="Z7"/>
          <cell r="AA7"/>
          <cell r="AB7"/>
          <cell r="AC7"/>
          <cell r="AD7"/>
          <cell r="AE7" t="e">
            <v>#REF!</v>
          </cell>
          <cell r="AF7"/>
          <cell r="AG7"/>
          <cell r="AH7"/>
          <cell r="AI7"/>
          <cell r="AJ7" t="str">
            <v xml:space="preserve">  </v>
          </cell>
          <cell r="AK7"/>
          <cell r="AL7" t="e">
            <v>#REF!</v>
          </cell>
          <cell r="AM7"/>
          <cell r="AN7"/>
          <cell r="AO7"/>
          <cell r="AP7"/>
          <cell r="AQ7">
            <v>5300414</v>
          </cell>
          <cell r="AR7"/>
          <cell r="AS7"/>
          <cell r="AT7"/>
          <cell r="AU7"/>
          <cell r="AV7"/>
          <cell r="AW7"/>
          <cell r="AX7"/>
          <cell r="AY7"/>
          <cell r="AZ7"/>
          <cell r="BA7"/>
          <cell r="BB7" t="e">
            <v>#REF!</v>
          </cell>
          <cell r="BC7"/>
          <cell r="BD7"/>
          <cell r="BE7"/>
          <cell r="BF7"/>
          <cell r="BG7">
            <v>55839217</v>
          </cell>
          <cell r="BH7"/>
          <cell r="BI7"/>
          <cell r="BJ7"/>
          <cell r="BK7"/>
          <cell r="BL7"/>
          <cell r="BM7"/>
          <cell r="BN7"/>
          <cell r="BO7"/>
          <cell r="BP7"/>
          <cell r="BQ7"/>
          <cell r="BR7" t="e">
            <v>#REF!</v>
          </cell>
          <cell r="BS7"/>
          <cell r="BT7"/>
          <cell r="BU7"/>
          <cell r="BV7"/>
          <cell r="BW7">
            <v>2203402</v>
          </cell>
          <cell r="BX7"/>
          <cell r="BY7"/>
          <cell r="BZ7"/>
          <cell r="CA7"/>
          <cell r="CB7"/>
          <cell r="CC7"/>
          <cell r="CD7"/>
          <cell r="CE7"/>
          <cell r="CF7"/>
          <cell r="CG7"/>
          <cell r="CH7"/>
          <cell r="CI7"/>
          <cell r="CJ7"/>
          <cell r="CK7"/>
          <cell r="CL7"/>
          <cell r="CM7" t="e">
            <v>#REF!</v>
          </cell>
          <cell r="CN7"/>
          <cell r="CO7"/>
          <cell r="CP7"/>
          <cell r="CQ7"/>
          <cell r="CR7">
            <v>24986275</v>
          </cell>
          <cell r="CS7"/>
          <cell r="CT7"/>
          <cell r="CU7"/>
          <cell r="CV7"/>
          <cell r="CW7"/>
          <cell r="CX7"/>
          <cell r="CY7"/>
          <cell r="CZ7"/>
          <cell r="DA7"/>
          <cell r="DB7"/>
          <cell r="DC7"/>
          <cell r="DD7"/>
          <cell r="DE7"/>
          <cell r="DF7"/>
          <cell r="DG7"/>
          <cell r="DH7"/>
          <cell r="DI7"/>
          <cell r="DJ7" t="e">
            <v>#REF!</v>
          </cell>
          <cell r="DK7"/>
          <cell r="DL7"/>
          <cell r="DM7"/>
          <cell r="DN7"/>
          <cell r="DO7" t="str">
            <v>1</v>
          </cell>
          <cell r="DP7"/>
        </row>
        <row r="8">
          <cell r="B8" t="str">
            <v>2</v>
          </cell>
          <cell r="C8"/>
          <cell r="D8" t="str">
            <v>TOTAL GROSS PROFIT</v>
          </cell>
          <cell r="E8"/>
          <cell r="F8"/>
          <cell r="G8"/>
          <cell r="H8"/>
          <cell r="I8"/>
          <cell r="J8"/>
          <cell r="K8"/>
          <cell r="L8" t="str">
            <v xml:space="preserve">(From Pages 4 &amp; 5) </v>
          </cell>
          <cell r="M8"/>
          <cell r="N8">
            <v>658822</v>
          </cell>
          <cell r="O8"/>
          <cell r="P8"/>
          <cell r="Q8"/>
          <cell r="R8"/>
          <cell r="S8"/>
          <cell r="T8" t="e">
            <v>#REF!</v>
          </cell>
          <cell r="U8"/>
          <cell r="V8"/>
          <cell r="W8"/>
          <cell r="X8"/>
          <cell r="Y8">
            <v>7735758</v>
          </cell>
          <cell r="Z8"/>
          <cell r="AA8"/>
          <cell r="AB8"/>
          <cell r="AC8"/>
          <cell r="AD8"/>
          <cell r="AE8" t="e">
            <v>#REF!</v>
          </cell>
          <cell r="AF8"/>
          <cell r="AG8"/>
          <cell r="AH8"/>
          <cell r="AI8"/>
          <cell r="AJ8" t="str">
            <v xml:space="preserve"> </v>
          </cell>
          <cell r="AK8"/>
          <cell r="AL8" t="e">
            <v>#REF!</v>
          </cell>
          <cell r="AM8"/>
          <cell r="AN8"/>
          <cell r="AO8"/>
          <cell r="AP8"/>
          <cell r="AQ8">
            <v>255103</v>
          </cell>
          <cell r="AR8"/>
          <cell r="AS8"/>
          <cell r="AT8"/>
          <cell r="AU8"/>
          <cell r="AV8"/>
          <cell r="AW8"/>
          <cell r="AX8"/>
          <cell r="AY8"/>
          <cell r="AZ8"/>
          <cell r="BA8"/>
          <cell r="BB8" t="e">
            <v>#REF!</v>
          </cell>
          <cell r="BC8"/>
          <cell r="BD8"/>
          <cell r="BE8"/>
          <cell r="BF8"/>
          <cell r="BG8">
            <v>2572350</v>
          </cell>
          <cell r="BH8"/>
          <cell r="BI8"/>
          <cell r="BJ8"/>
          <cell r="BK8"/>
          <cell r="BL8"/>
          <cell r="BM8"/>
          <cell r="BN8"/>
          <cell r="BO8"/>
          <cell r="BP8"/>
          <cell r="BQ8"/>
          <cell r="BR8" t="e">
            <v>#REF!</v>
          </cell>
          <cell r="BS8"/>
          <cell r="BT8"/>
          <cell r="BU8"/>
          <cell r="BV8"/>
          <cell r="BW8">
            <v>165134</v>
          </cell>
          <cell r="BX8"/>
          <cell r="BY8"/>
          <cell r="BZ8"/>
          <cell r="CA8"/>
          <cell r="CB8"/>
          <cell r="CC8"/>
          <cell r="CD8"/>
          <cell r="CE8"/>
          <cell r="CF8"/>
          <cell r="CG8"/>
          <cell r="CH8"/>
          <cell r="CI8"/>
          <cell r="CJ8"/>
          <cell r="CK8"/>
          <cell r="CL8"/>
          <cell r="CM8" t="e">
            <v>#REF!</v>
          </cell>
          <cell r="CN8"/>
          <cell r="CO8"/>
          <cell r="CP8"/>
          <cell r="CQ8"/>
          <cell r="CR8">
            <v>2422193</v>
          </cell>
          <cell r="CS8"/>
          <cell r="CT8"/>
          <cell r="CU8"/>
          <cell r="CV8"/>
          <cell r="CW8"/>
          <cell r="CX8"/>
          <cell r="CY8"/>
          <cell r="CZ8"/>
          <cell r="DA8"/>
          <cell r="DB8"/>
          <cell r="DC8"/>
          <cell r="DD8"/>
          <cell r="DE8"/>
          <cell r="DF8"/>
          <cell r="DG8"/>
          <cell r="DH8"/>
          <cell r="DI8"/>
          <cell r="DJ8" t="e">
            <v>#REF!</v>
          </cell>
          <cell r="DK8"/>
          <cell r="DL8"/>
          <cell r="DM8"/>
          <cell r="DN8"/>
          <cell r="DO8" t="str">
            <v>2</v>
          </cell>
          <cell r="DP8"/>
        </row>
        <row r="9">
          <cell r="B9" t="str">
            <v>3</v>
          </cell>
          <cell r="C9"/>
          <cell r="D9" t="str">
            <v>Commissions &amp; Incentives</v>
          </cell>
          <cell r="E9"/>
          <cell r="F9"/>
          <cell r="G9"/>
          <cell r="H9"/>
          <cell r="I9"/>
          <cell r="J9"/>
          <cell r="K9"/>
          <cell r="L9"/>
          <cell r="M9" t="str">
            <v>0100</v>
          </cell>
          <cell r="N9">
            <v>135934</v>
          </cell>
          <cell r="O9"/>
          <cell r="P9"/>
          <cell r="Q9"/>
          <cell r="R9"/>
          <cell r="S9"/>
          <cell r="T9" t="e">
            <v>#REF!</v>
          </cell>
          <cell r="U9"/>
          <cell r="V9"/>
          <cell r="W9"/>
          <cell r="X9"/>
          <cell r="Y9">
            <v>1633332</v>
          </cell>
          <cell r="Z9"/>
          <cell r="AA9"/>
          <cell r="AB9"/>
          <cell r="AC9"/>
          <cell r="AD9"/>
          <cell r="AE9" t="e">
            <v>#REF!</v>
          </cell>
          <cell r="AF9"/>
          <cell r="AG9"/>
          <cell r="AH9"/>
          <cell r="AI9"/>
          <cell r="AJ9">
            <v>2.1</v>
          </cell>
          <cell r="AK9"/>
          <cell r="AL9" t="e">
            <v>#REF!</v>
          </cell>
          <cell r="AM9"/>
          <cell r="AN9"/>
          <cell r="AO9"/>
          <cell r="AP9"/>
          <cell r="AQ9">
            <v>59490</v>
          </cell>
          <cell r="AR9"/>
          <cell r="AS9"/>
          <cell r="AT9"/>
          <cell r="AU9"/>
          <cell r="AV9"/>
          <cell r="AW9"/>
          <cell r="AX9"/>
          <cell r="AY9"/>
          <cell r="AZ9"/>
          <cell r="BA9"/>
          <cell r="BB9" t="e">
            <v>#REF!</v>
          </cell>
          <cell r="BC9"/>
          <cell r="BD9"/>
          <cell r="BE9"/>
          <cell r="BF9"/>
          <cell r="BG9">
            <v>706631</v>
          </cell>
          <cell r="BH9"/>
          <cell r="BI9"/>
          <cell r="BJ9"/>
          <cell r="BK9"/>
          <cell r="BL9"/>
          <cell r="BM9"/>
          <cell r="BN9"/>
          <cell r="BO9"/>
          <cell r="BP9"/>
          <cell r="BQ9"/>
          <cell r="BR9" t="e">
            <v>#REF!</v>
          </cell>
          <cell r="BS9"/>
          <cell r="BT9"/>
          <cell r="BU9"/>
          <cell r="BV9"/>
          <cell r="BW9">
            <v>41607</v>
          </cell>
          <cell r="BX9"/>
          <cell r="BY9"/>
          <cell r="BZ9"/>
          <cell r="CA9"/>
          <cell r="CB9"/>
          <cell r="CC9"/>
          <cell r="CD9"/>
          <cell r="CE9"/>
          <cell r="CF9"/>
          <cell r="CG9"/>
          <cell r="CH9"/>
          <cell r="CI9"/>
          <cell r="CJ9"/>
          <cell r="CK9"/>
          <cell r="CL9"/>
          <cell r="CM9" t="e">
            <v>#REF!</v>
          </cell>
          <cell r="CN9"/>
          <cell r="CO9"/>
          <cell r="CP9"/>
          <cell r="CQ9"/>
          <cell r="CR9">
            <v>523970</v>
          </cell>
          <cell r="CS9"/>
          <cell r="CT9"/>
          <cell r="CU9"/>
          <cell r="CV9"/>
          <cell r="CW9"/>
          <cell r="CX9"/>
          <cell r="CY9"/>
          <cell r="CZ9"/>
          <cell r="DA9"/>
          <cell r="DB9"/>
          <cell r="DC9"/>
          <cell r="DD9"/>
          <cell r="DE9"/>
          <cell r="DF9"/>
          <cell r="DG9"/>
          <cell r="DH9"/>
          <cell r="DI9"/>
          <cell r="DJ9" t="e">
            <v>#REF!</v>
          </cell>
          <cell r="DK9"/>
          <cell r="DL9"/>
          <cell r="DM9"/>
          <cell r="DN9"/>
          <cell r="DO9" t="str">
            <v>3</v>
          </cell>
          <cell r="DP9"/>
        </row>
        <row r="10">
          <cell r="B10" t="str">
            <v>4</v>
          </cell>
          <cell r="C10"/>
          <cell r="D10" t="str">
            <v>Salaries - Salespeople</v>
          </cell>
          <cell r="E10"/>
          <cell r="F10"/>
          <cell r="G10"/>
          <cell r="H10"/>
          <cell r="I10"/>
          <cell r="J10"/>
          <cell r="K10"/>
          <cell r="L10"/>
          <cell r="M10" t="str">
            <v>0280</v>
          </cell>
          <cell r="N10">
            <v>0</v>
          </cell>
          <cell r="O10"/>
          <cell r="P10"/>
          <cell r="Q10"/>
          <cell r="R10"/>
          <cell r="S10"/>
          <cell r="T10" t="e">
            <v>#REF!</v>
          </cell>
          <cell r="U10"/>
          <cell r="V10"/>
          <cell r="W10"/>
          <cell r="X10"/>
          <cell r="Y10">
            <v>0</v>
          </cell>
          <cell r="Z10"/>
          <cell r="AA10"/>
          <cell r="AB10"/>
          <cell r="AC10"/>
          <cell r="AD10"/>
          <cell r="AE10" t="e">
            <v>#REF!</v>
          </cell>
          <cell r="AF10"/>
          <cell r="AG10"/>
          <cell r="AH10"/>
          <cell r="AI10"/>
          <cell r="AJ10">
            <v>0</v>
          </cell>
          <cell r="AK10"/>
          <cell r="AL10" t="e">
            <v>#REF!</v>
          </cell>
          <cell r="AM10"/>
          <cell r="AN10"/>
          <cell r="AO10"/>
          <cell r="AP10"/>
          <cell r="AQ10">
            <v>0</v>
          </cell>
          <cell r="AR10"/>
          <cell r="AS10"/>
          <cell r="AT10"/>
          <cell r="AU10"/>
          <cell r="AV10"/>
          <cell r="AW10"/>
          <cell r="AX10"/>
          <cell r="AY10"/>
          <cell r="AZ10"/>
          <cell r="BA10"/>
          <cell r="BB10" t="e">
            <v>#REF!</v>
          </cell>
          <cell r="BC10"/>
          <cell r="BD10"/>
          <cell r="BE10"/>
          <cell r="BF10"/>
          <cell r="BG10">
            <v>0</v>
          </cell>
          <cell r="BH10"/>
          <cell r="BI10"/>
          <cell r="BJ10"/>
          <cell r="BK10"/>
          <cell r="BL10"/>
          <cell r="BM10"/>
          <cell r="BN10"/>
          <cell r="BO10"/>
          <cell r="BP10"/>
          <cell r="BQ10"/>
          <cell r="BR10" t="e">
            <v>#REF!</v>
          </cell>
          <cell r="BS10"/>
          <cell r="BT10"/>
          <cell r="BU10"/>
          <cell r="BV10"/>
          <cell r="BW10">
            <v>0</v>
          </cell>
          <cell r="BX10"/>
          <cell r="BY10"/>
          <cell r="BZ10"/>
          <cell r="CA10"/>
          <cell r="CB10"/>
          <cell r="CC10"/>
          <cell r="CD10"/>
          <cell r="CE10"/>
          <cell r="CF10"/>
          <cell r="CG10"/>
          <cell r="CH10"/>
          <cell r="CI10"/>
          <cell r="CJ10"/>
          <cell r="CK10"/>
          <cell r="CL10"/>
          <cell r="CM10" t="e">
            <v>#REF!</v>
          </cell>
          <cell r="CN10"/>
          <cell r="CO10"/>
          <cell r="CP10"/>
          <cell r="CQ10"/>
          <cell r="CR10">
            <v>0</v>
          </cell>
          <cell r="CS10"/>
          <cell r="CT10"/>
          <cell r="CU10"/>
          <cell r="CV10"/>
          <cell r="CW10"/>
          <cell r="CX10"/>
          <cell r="CY10"/>
          <cell r="CZ10"/>
          <cell r="DA10"/>
          <cell r="DB10"/>
          <cell r="DC10"/>
          <cell r="DD10"/>
          <cell r="DE10"/>
          <cell r="DF10"/>
          <cell r="DG10"/>
          <cell r="DH10"/>
          <cell r="DI10"/>
          <cell r="DJ10" t="e">
            <v>#REF!</v>
          </cell>
          <cell r="DK10"/>
          <cell r="DL10"/>
          <cell r="DM10"/>
          <cell r="DN10"/>
          <cell r="DO10" t="str">
            <v>4</v>
          </cell>
          <cell r="DP10"/>
        </row>
        <row r="11">
          <cell r="B11" t="str">
            <v>5</v>
          </cell>
          <cell r="C11"/>
          <cell r="D11" t="str">
            <v>F &amp; I Commissions &amp; Incentives</v>
          </cell>
          <cell r="E11"/>
          <cell r="F11"/>
          <cell r="G11"/>
          <cell r="H11"/>
          <cell r="I11"/>
          <cell r="J11"/>
          <cell r="K11"/>
          <cell r="L11"/>
          <cell r="M11" t="str">
            <v>0090</v>
          </cell>
          <cell r="N11">
            <v>67892</v>
          </cell>
          <cell r="O11"/>
          <cell r="P11"/>
          <cell r="Q11"/>
          <cell r="R11"/>
          <cell r="S11"/>
          <cell r="T11" t="e">
            <v>#REF!</v>
          </cell>
          <cell r="U11"/>
          <cell r="V11"/>
          <cell r="W11"/>
          <cell r="X11"/>
          <cell r="Y11">
            <v>813092</v>
          </cell>
          <cell r="Z11"/>
          <cell r="AA11"/>
          <cell r="AB11"/>
          <cell r="AC11"/>
          <cell r="AD11"/>
          <cell r="AE11" t="e">
            <v>#REF!</v>
          </cell>
          <cell r="AF11"/>
          <cell r="AG11"/>
          <cell r="AH11"/>
          <cell r="AI11"/>
          <cell r="AJ11">
            <v>1.1000000000000001</v>
          </cell>
          <cell r="AK11"/>
          <cell r="AL11" t="e">
            <v>#REF!</v>
          </cell>
          <cell r="AM11"/>
          <cell r="AN11"/>
          <cell r="AO11"/>
          <cell r="AP11"/>
          <cell r="AQ11">
            <v>50878</v>
          </cell>
          <cell r="AR11"/>
          <cell r="AS11"/>
          <cell r="AT11"/>
          <cell r="AU11"/>
          <cell r="AV11"/>
          <cell r="AW11"/>
          <cell r="AX11"/>
          <cell r="AY11"/>
          <cell r="AZ11"/>
          <cell r="BA11"/>
          <cell r="BB11" t="e">
            <v>#REF!</v>
          </cell>
          <cell r="BC11"/>
          <cell r="BD11"/>
          <cell r="BE11"/>
          <cell r="BF11"/>
          <cell r="BG11">
            <v>599961</v>
          </cell>
          <cell r="BH11"/>
          <cell r="BI11"/>
          <cell r="BJ11"/>
          <cell r="BK11"/>
          <cell r="BL11"/>
          <cell r="BM11"/>
          <cell r="BN11"/>
          <cell r="BO11"/>
          <cell r="BP11"/>
          <cell r="BQ11"/>
          <cell r="BR11" t="e">
            <v>#REF!</v>
          </cell>
          <cell r="BS11"/>
          <cell r="BT11"/>
          <cell r="BU11"/>
          <cell r="BV11"/>
          <cell r="BW11">
            <v>17014</v>
          </cell>
          <cell r="BX11"/>
          <cell r="BY11"/>
          <cell r="BZ11"/>
          <cell r="CA11"/>
          <cell r="CB11"/>
          <cell r="CC11"/>
          <cell r="CD11"/>
          <cell r="CE11"/>
          <cell r="CF11"/>
          <cell r="CG11"/>
          <cell r="CH11"/>
          <cell r="CI11"/>
          <cell r="CJ11"/>
          <cell r="CK11"/>
          <cell r="CL11"/>
          <cell r="CM11" t="e">
            <v>#REF!</v>
          </cell>
          <cell r="CN11"/>
          <cell r="CO11"/>
          <cell r="CP11"/>
          <cell r="CQ11"/>
          <cell r="CR11">
            <v>213131</v>
          </cell>
          <cell r="CS11"/>
          <cell r="CT11"/>
          <cell r="CU11"/>
          <cell r="CV11"/>
          <cell r="CW11"/>
          <cell r="CX11"/>
          <cell r="CY11"/>
          <cell r="CZ11"/>
          <cell r="DA11"/>
          <cell r="DB11"/>
          <cell r="DC11"/>
          <cell r="DD11"/>
          <cell r="DE11"/>
          <cell r="DF11"/>
          <cell r="DG11"/>
          <cell r="DH11"/>
          <cell r="DI11"/>
          <cell r="DJ11" t="e">
            <v>#REF!</v>
          </cell>
          <cell r="DK11"/>
          <cell r="DL11"/>
          <cell r="DM11"/>
          <cell r="DN11"/>
          <cell r="DO11" t="str">
            <v>5</v>
          </cell>
          <cell r="DP11"/>
        </row>
        <row r="12">
          <cell r="B12" t="str">
            <v>6</v>
          </cell>
          <cell r="C12"/>
          <cell r="D12" t="str">
            <v>Delivery Expense</v>
          </cell>
          <cell r="E12"/>
          <cell r="F12"/>
          <cell r="G12"/>
          <cell r="H12"/>
          <cell r="I12"/>
          <cell r="J12"/>
          <cell r="K12"/>
          <cell r="L12"/>
          <cell r="M12" t="str">
            <v>0110</v>
          </cell>
          <cell r="N12">
            <v>-7298</v>
          </cell>
          <cell r="O12"/>
          <cell r="P12"/>
          <cell r="Q12"/>
          <cell r="R12"/>
          <cell r="S12"/>
          <cell r="T12" t="e">
            <v>#REF!</v>
          </cell>
          <cell r="U12"/>
          <cell r="V12"/>
          <cell r="W12"/>
          <cell r="X12"/>
          <cell r="Y12">
            <v>-14995</v>
          </cell>
          <cell r="Z12"/>
          <cell r="AA12"/>
          <cell r="AB12"/>
          <cell r="AC12"/>
          <cell r="AD12"/>
          <cell r="AE12" t="e">
            <v>#REF!</v>
          </cell>
          <cell r="AF12"/>
          <cell r="AG12"/>
          <cell r="AH12"/>
          <cell r="AI12"/>
          <cell r="AJ12">
            <v>0</v>
          </cell>
          <cell r="AK12"/>
          <cell r="AL12" t="e">
            <v>#REF!</v>
          </cell>
          <cell r="AM12"/>
          <cell r="AN12"/>
          <cell r="AO12"/>
          <cell r="AP12"/>
          <cell r="AQ12">
            <v>-5201</v>
          </cell>
          <cell r="AR12"/>
          <cell r="AS12"/>
          <cell r="AT12"/>
          <cell r="AU12"/>
          <cell r="AV12"/>
          <cell r="AW12"/>
          <cell r="AX12"/>
          <cell r="AY12"/>
          <cell r="AZ12"/>
          <cell r="BA12"/>
          <cell r="BB12" t="e">
            <v>#REF!</v>
          </cell>
          <cell r="BC12"/>
          <cell r="BD12"/>
          <cell r="BE12"/>
          <cell r="BF12"/>
          <cell r="BG12">
            <v>-15547</v>
          </cell>
          <cell r="BH12"/>
          <cell r="BI12"/>
          <cell r="BJ12"/>
          <cell r="BK12"/>
          <cell r="BL12"/>
          <cell r="BM12"/>
          <cell r="BN12"/>
          <cell r="BO12"/>
          <cell r="BP12"/>
          <cell r="BQ12"/>
          <cell r="BR12" t="e">
            <v>#REF!</v>
          </cell>
          <cell r="BS12"/>
          <cell r="BT12"/>
          <cell r="BU12"/>
          <cell r="BV12"/>
          <cell r="BW12">
            <v>-2097</v>
          </cell>
          <cell r="BX12"/>
          <cell r="BY12"/>
          <cell r="BZ12"/>
          <cell r="CA12"/>
          <cell r="CB12"/>
          <cell r="CC12"/>
          <cell r="CD12"/>
          <cell r="CE12"/>
          <cell r="CF12"/>
          <cell r="CG12"/>
          <cell r="CH12"/>
          <cell r="CI12"/>
          <cell r="CJ12"/>
          <cell r="CK12"/>
          <cell r="CL12"/>
          <cell r="CM12" t="e">
            <v>#REF!</v>
          </cell>
          <cell r="CN12"/>
          <cell r="CO12"/>
          <cell r="CP12"/>
          <cell r="CQ12"/>
          <cell r="CR12">
            <v>552</v>
          </cell>
          <cell r="CS12"/>
          <cell r="CT12"/>
          <cell r="CU12"/>
          <cell r="CV12"/>
          <cell r="CW12"/>
          <cell r="CX12"/>
          <cell r="CY12"/>
          <cell r="CZ12"/>
          <cell r="DA12"/>
          <cell r="DB12"/>
          <cell r="DC12"/>
          <cell r="DD12"/>
          <cell r="DE12"/>
          <cell r="DF12"/>
          <cell r="DG12"/>
          <cell r="DH12"/>
          <cell r="DI12"/>
          <cell r="DJ12" t="e">
            <v>#REF!</v>
          </cell>
          <cell r="DK12"/>
          <cell r="DL12"/>
          <cell r="DM12"/>
          <cell r="DN12"/>
          <cell r="DO12" t="str">
            <v>6</v>
          </cell>
          <cell r="DP12"/>
        </row>
        <row r="13">
          <cell r="B13" t="str">
            <v>7</v>
          </cell>
          <cell r="C13"/>
          <cell r="D13" t="str">
            <v>Policy Adjustment</v>
          </cell>
          <cell r="E13"/>
          <cell r="F13"/>
          <cell r="G13"/>
          <cell r="H13"/>
          <cell r="I13"/>
          <cell r="J13"/>
          <cell r="K13"/>
          <cell r="L13"/>
          <cell r="M13" t="str">
            <v>0130</v>
          </cell>
          <cell r="N13">
            <v>4098</v>
          </cell>
          <cell r="O13"/>
          <cell r="P13"/>
          <cell r="Q13"/>
          <cell r="R13"/>
          <cell r="S13"/>
          <cell r="T13" t="e">
            <v>#REF!</v>
          </cell>
          <cell r="U13"/>
          <cell r="V13"/>
          <cell r="W13"/>
          <cell r="X13"/>
          <cell r="Y13">
            <v>48274</v>
          </cell>
          <cell r="Z13"/>
          <cell r="AA13"/>
          <cell r="AB13"/>
          <cell r="AC13"/>
          <cell r="AD13"/>
          <cell r="AE13" t="e">
            <v>#REF!</v>
          </cell>
          <cell r="AF13"/>
          <cell r="AG13"/>
          <cell r="AH13"/>
          <cell r="AI13"/>
          <cell r="AJ13">
            <v>0.1</v>
          </cell>
          <cell r="AK13"/>
          <cell r="AL13" t="e">
            <v>#REF!</v>
          </cell>
          <cell r="AM13"/>
          <cell r="AN13"/>
          <cell r="AO13"/>
          <cell r="AP13"/>
          <cell r="AQ13">
            <v>100</v>
          </cell>
          <cell r="AR13"/>
          <cell r="AS13"/>
          <cell r="AT13"/>
          <cell r="AU13"/>
          <cell r="AV13"/>
          <cell r="AW13"/>
          <cell r="AX13"/>
          <cell r="AY13"/>
          <cell r="AZ13"/>
          <cell r="BA13"/>
          <cell r="BB13" t="e">
            <v>#REF!</v>
          </cell>
          <cell r="BC13"/>
          <cell r="BD13"/>
          <cell r="BE13"/>
          <cell r="BF13"/>
          <cell r="BG13">
            <v>8299</v>
          </cell>
          <cell r="BH13"/>
          <cell r="BI13"/>
          <cell r="BJ13"/>
          <cell r="BK13"/>
          <cell r="BL13"/>
          <cell r="BM13"/>
          <cell r="BN13"/>
          <cell r="BO13"/>
          <cell r="BP13"/>
          <cell r="BQ13"/>
          <cell r="BR13" t="e">
            <v>#REF!</v>
          </cell>
          <cell r="BS13"/>
          <cell r="BT13"/>
          <cell r="BU13"/>
          <cell r="BV13"/>
          <cell r="BW13">
            <v>2487</v>
          </cell>
          <cell r="BX13"/>
          <cell r="BY13"/>
          <cell r="BZ13"/>
          <cell r="CA13"/>
          <cell r="CB13"/>
          <cell r="CC13"/>
          <cell r="CD13"/>
          <cell r="CE13"/>
          <cell r="CF13"/>
          <cell r="CG13"/>
          <cell r="CH13"/>
          <cell r="CI13"/>
          <cell r="CJ13"/>
          <cell r="CK13"/>
          <cell r="CL13"/>
          <cell r="CM13" t="e">
            <v>#REF!</v>
          </cell>
          <cell r="CN13"/>
          <cell r="CO13"/>
          <cell r="CP13"/>
          <cell r="CQ13"/>
          <cell r="CR13">
            <v>19255</v>
          </cell>
          <cell r="CS13"/>
          <cell r="CT13"/>
          <cell r="CU13"/>
          <cell r="CV13"/>
          <cell r="CW13"/>
          <cell r="CX13"/>
          <cell r="CY13"/>
          <cell r="CZ13"/>
          <cell r="DA13"/>
          <cell r="DB13"/>
          <cell r="DC13"/>
          <cell r="DD13"/>
          <cell r="DE13"/>
          <cell r="DF13"/>
          <cell r="DG13"/>
          <cell r="DH13"/>
          <cell r="DI13"/>
          <cell r="DJ13" t="e">
            <v>#REF!</v>
          </cell>
          <cell r="DK13"/>
          <cell r="DL13"/>
          <cell r="DM13"/>
          <cell r="DN13"/>
          <cell r="DO13" t="str">
            <v>7</v>
          </cell>
          <cell r="DP13"/>
        </row>
        <row r="14">
          <cell r="B14" t="str">
            <v>8</v>
          </cell>
          <cell r="C14"/>
          <cell r="D14" t="str">
            <v>Demonstration</v>
          </cell>
          <cell r="E14"/>
          <cell r="F14"/>
          <cell r="G14"/>
          <cell r="H14"/>
          <cell r="I14"/>
          <cell r="J14"/>
          <cell r="K14"/>
          <cell r="L14"/>
          <cell r="M14" t="str">
            <v>0140</v>
          </cell>
          <cell r="N14">
            <v>39515</v>
          </cell>
          <cell r="O14"/>
          <cell r="P14"/>
          <cell r="Q14"/>
          <cell r="R14"/>
          <cell r="S14"/>
          <cell r="T14" t="e">
            <v>#REF!</v>
          </cell>
          <cell r="U14"/>
          <cell r="V14"/>
          <cell r="W14"/>
          <cell r="X14"/>
          <cell r="Y14">
            <v>410020</v>
          </cell>
          <cell r="Z14"/>
          <cell r="AA14"/>
          <cell r="AB14"/>
          <cell r="AC14"/>
          <cell r="AD14"/>
          <cell r="AE14" t="e">
            <v>#REF!</v>
          </cell>
          <cell r="AF14"/>
          <cell r="AG14"/>
          <cell r="AH14"/>
          <cell r="AI14"/>
          <cell r="AJ14">
            <v>0.5</v>
          </cell>
          <cell r="AK14"/>
          <cell r="AL14" t="e">
            <v>#REF!</v>
          </cell>
          <cell r="AM14"/>
          <cell r="AN14"/>
          <cell r="AO14"/>
          <cell r="AP14"/>
          <cell r="AQ14">
            <v>21355</v>
          </cell>
          <cell r="AR14"/>
          <cell r="AS14"/>
          <cell r="AT14"/>
          <cell r="AU14"/>
          <cell r="AV14"/>
          <cell r="AW14"/>
          <cell r="AX14"/>
          <cell r="AY14"/>
          <cell r="AZ14"/>
          <cell r="BA14"/>
          <cell r="BB14" t="e">
            <v>#REF!</v>
          </cell>
          <cell r="BC14"/>
          <cell r="BD14"/>
          <cell r="BE14"/>
          <cell r="BF14"/>
          <cell r="BG14">
            <v>225998</v>
          </cell>
          <cell r="BH14"/>
          <cell r="BI14"/>
          <cell r="BJ14"/>
          <cell r="BK14"/>
          <cell r="BL14"/>
          <cell r="BM14"/>
          <cell r="BN14"/>
          <cell r="BO14"/>
          <cell r="BP14"/>
          <cell r="BQ14"/>
          <cell r="BR14" t="e">
            <v>#REF!</v>
          </cell>
          <cell r="BS14"/>
          <cell r="BT14"/>
          <cell r="BU14"/>
          <cell r="BV14"/>
          <cell r="BW14">
            <v>18160</v>
          </cell>
          <cell r="BX14"/>
          <cell r="BY14"/>
          <cell r="BZ14"/>
          <cell r="CA14"/>
          <cell r="CB14"/>
          <cell r="CC14"/>
          <cell r="CD14"/>
          <cell r="CE14"/>
          <cell r="CF14"/>
          <cell r="CG14"/>
          <cell r="CH14"/>
          <cell r="CI14"/>
          <cell r="CJ14"/>
          <cell r="CK14"/>
          <cell r="CL14"/>
          <cell r="CM14" t="e">
            <v>#REF!</v>
          </cell>
          <cell r="CN14"/>
          <cell r="CO14"/>
          <cell r="CP14"/>
          <cell r="CQ14"/>
          <cell r="CR14">
            <v>184022</v>
          </cell>
          <cell r="CS14"/>
          <cell r="CT14"/>
          <cell r="CU14"/>
          <cell r="CV14"/>
          <cell r="CW14"/>
          <cell r="CX14"/>
          <cell r="CY14"/>
          <cell r="CZ14"/>
          <cell r="DA14"/>
          <cell r="DB14"/>
          <cell r="DC14"/>
          <cell r="DD14"/>
          <cell r="DE14"/>
          <cell r="DF14"/>
          <cell r="DG14"/>
          <cell r="DH14"/>
          <cell r="DI14"/>
          <cell r="DJ14" t="e">
            <v>#REF!</v>
          </cell>
          <cell r="DK14"/>
          <cell r="DL14"/>
          <cell r="DM14"/>
          <cell r="DN14"/>
          <cell r="DO14" t="str">
            <v>8</v>
          </cell>
          <cell r="DP14"/>
        </row>
        <row r="15">
          <cell r="B15" t="str">
            <v>9</v>
          </cell>
          <cell r="C15"/>
          <cell r="D15" t="str">
            <v>Advertising</v>
          </cell>
          <cell r="E15"/>
          <cell r="F15"/>
          <cell r="G15"/>
          <cell r="H15"/>
          <cell r="I15"/>
          <cell r="J15"/>
          <cell r="K15"/>
          <cell r="L15"/>
          <cell r="M15" t="str">
            <v>0150</v>
          </cell>
          <cell r="N15">
            <v>116771</v>
          </cell>
          <cell r="O15"/>
          <cell r="P15"/>
          <cell r="Q15"/>
          <cell r="R15"/>
          <cell r="S15"/>
          <cell r="T15" t="e">
            <v>#REF!</v>
          </cell>
          <cell r="U15"/>
          <cell r="V15"/>
          <cell r="W15"/>
          <cell r="X15"/>
          <cell r="Y15">
            <v>1164427</v>
          </cell>
          <cell r="Z15"/>
          <cell r="AA15"/>
          <cell r="AB15"/>
          <cell r="AC15"/>
          <cell r="AD15"/>
          <cell r="AE15" t="e">
            <v>#REF!</v>
          </cell>
          <cell r="AF15"/>
          <cell r="AG15"/>
          <cell r="AH15"/>
          <cell r="AI15"/>
          <cell r="AJ15">
            <v>1.5</v>
          </cell>
          <cell r="AK15"/>
          <cell r="AL15" t="e">
            <v>#REF!</v>
          </cell>
          <cell r="AM15"/>
          <cell r="AN15"/>
          <cell r="AO15"/>
          <cell r="AP15"/>
          <cell r="AQ15">
            <v>69134</v>
          </cell>
          <cell r="AR15"/>
          <cell r="AS15"/>
          <cell r="AT15"/>
          <cell r="AU15"/>
          <cell r="AV15"/>
          <cell r="AW15"/>
          <cell r="AX15"/>
          <cell r="AY15"/>
          <cell r="AZ15"/>
          <cell r="BA15"/>
          <cell r="BB15" t="e">
            <v>#REF!</v>
          </cell>
          <cell r="BC15"/>
          <cell r="BD15"/>
          <cell r="BE15"/>
          <cell r="BF15"/>
          <cell r="BG15">
            <v>664325</v>
          </cell>
          <cell r="BH15"/>
          <cell r="BI15"/>
          <cell r="BJ15"/>
          <cell r="BK15"/>
          <cell r="BL15"/>
          <cell r="BM15"/>
          <cell r="BN15"/>
          <cell r="BO15"/>
          <cell r="BP15"/>
          <cell r="BQ15"/>
          <cell r="BR15" t="e">
            <v>#REF!</v>
          </cell>
          <cell r="BS15"/>
          <cell r="BT15"/>
          <cell r="BU15"/>
          <cell r="BV15"/>
          <cell r="BW15">
            <v>39719</v>
          </cell>
          <cell r="BX15"/>
          <cell r="BY15"/>
          <cell r="BZ15"/>
          <cell r="CA15"/>
          <cell r="CB15"/>
          <cell r="CC15"/>
          <cell r="CD15"/>
          <cell r="CE15"/>
          <cell r="CF15"/>
          <cell r="CG15"/>
          <cell r="CH15"/>
          <cell r="CI15"/>
          <cell r="CJ15"/>
          <cell r="CK15"/>
          <cell r="CL15"/>
          <cell r="CM15" t="e">
            <v>#REF!</v>
          </cell>
          <cell r="CN15"/>
          <cell r="CO15"/>
          <cell r="CP15"/>
          <cell r="CQ15"/>
          <cell r="CR15">
            <v>403023</v>
          </cell>
          <cell r="CS15"/>
          <cell r="CT15"/>
          <cell r="CU15"/>
          <cell r="CV15"/>
          <cell r="CW15"/>
          <cell r="CX15"/>
          <cell r="CY15"/>
          <cell r="CZ15"/>
          <cell r="DA15"/>
          <cell r="DB15"/>
          <cell r="DC15"/>
          <cell r="DD15"/>
          <cell r="DE15"/>
          <cell r="DF15"/>
          <cell r="DG15"/>
          <cell r="DH15"/>
          <cell r="DI15"/>
          <cell r="DJ15" t="e">
            <v>#REF!</v>
          </cell>
          <cell r="DK15"/>
          <cell r="DL15"/>
          <cell r="DM15"/>
          <cell r="DN15"/>
          <cell r="DO15" t="str">
            <v>9</v>
          </cell>
          <cell r="DP15"/>
        </row>
        <row r="16">
          <cell r="B16" t="str">
            <v>10</v>
          </cell>
          <cell r="C16"/>
          <cell r="D16" t="str">
            <v>LESS Advertising Reimbursement / Allowances</v>
          </cell>
          <cell r="E16"/>
          <cell r="F16"/>
          <cell r="G16"/>
          <cell r="H16"/>
          <cell r="I16"/>
          <cell r="J16"/>
          <cell r="K16"/>
          <cell r="L16"/>
          <cell r="M16" t="str">
            <v>0170</v>
          </cell>
          <cell r="N16">
            <v>39875</v>
          </cell>
          <cell r="O16"/>
          <cell r="P16"/>
          <cell r="Q16"/>
          <cell r="R16"/>
          <cell r="S16"/>
          <cell r="T16" t="e">
            <v>#REF!</v>
          </cell>
          <cell r="U16"/>
          <cell r="V16"/>
          <cell r="W16"/>
          <cell r="X16"/>
          <cell r="Y16">
            <v>468025</v>
          </cell>
          <cell r="Z16"/>
          <cell r="AA16"/>
          <cell r="AB16"/>
          <cell r="AC16"/>
          <cell r="AD16"/>
          <cell r="AE16" t="e">
            <v>#REF!</v>
          </cell>
          <cell r="AF16"/>
          <cell r="AG16"/>
          <cell r="AH16"/>
          <cell r="AI16"/>
          <cell r="AJ16">
            <v>-0.6</v>
          </cell>
          <cell r="AK16"/>
          <cell r="AL16" t="e">
            <v>#REF!</v>
          </cell>
          <cell r="AM16"/>
          <cell r="AN16"/>
          <cell r="AO16"/>
          <cell r="AP16"/>
          <cell r="AQ16">
            <v>28500</v>
          </cell>
          <cell r="AR16"/>
          <cell r="AS16"/>
          <cell r="AT16"/>
          <cell r="AU16"/>
          <cell r="AV16"/>
          <cell r="AW16"/>
          <cell r="AX16"/>
          <cell r="AY16"/>
          <cell r="AZ16"/>
          <cell r="BA16"/>
          <cell r="BB16" t="e">
            <v>#REF!</v>
          </cell>
          <cell r="BC16"/>
          <cell r="BD16"/>
          <cell r="BE16"/>
          <cell r="BF16"/>
          <cell r="BG16">
            <v>330999</v>
          </cell>
          <cell r="BH16"/>
          <cell r="BI16"/>
          <cell r="BJ16"/>
          <cell r="BK16"/>
          <cell r="BL16"/>
          <cell r="BM16"/>
          <cell r="BN16"/>
          <cell r="BO16"/>
          <cell r="BP16"/>
          <cell r="BQ16"/>
          <cell r="BR16" t="e">
            <v>#REF!</v>
          </cell>
          <cell r="BS16"/>
          <cell r="BT16"/>
          <cell r="BU16"/>
          <cell r="BV16"/>
          <cell r="BW16">
            <v>11375</v>
          </cell>
          <cell r="BX16"/>
          <cell r="BY16"/>
          <cell r="BZ16"/>
          <cell r="CA16"/>
          <cell r="CB16"/>
          <cell r="CC16"/>
          <cell r="CD16"/>
          <cell r="CE16"/>
          <cell r="CF16"/>
          <cell r="CG16"/>
          <cell r="CH16"/>
          <cell r="CI16"/>
          <cell r="CJ16"/>
          <cell r="CK16"/>
          <cell r="CL16"/>
          <cell r="CM16" t="e">
            <v>#REF!</v>
          </cell>
          <cell r="CN16"/>
          <cell r="CO16"/>
          <cell r="CP16"/>
          <cell r="CQ16"/>
          <cell r="CR16">
            <v>137026</v>
          </cell>
          <cell r="CS16"/>
          <cell r="CT16"/>
          <cell r="CU16"/>
          <cell r="CV16"/>
          <cell r="CW16"/>
          <cell r="CX16"/>
          <cell r="CY16"/>
          <cell r="CZ16"/>
          <cell r="DA16"/>
          <cell r="DB16"/>
          <cell r="DC16"/>
          <cell r="DD16"/>
          <cell r="DE16"/>
          <cell r="DF16"/>
          <cell r="DG16"/>
          <cell r="DH16"/>
          <cell r="DI16"/>
          <cell r="DJ16" t="e">
            <v>#REF!</v>
          </cell>
          <cell r="DK16"/>
          <cell r="DL16"/>
          <cell r="DM16"/>
          <cell r="DN16"/>
          <cell r="DO16" t="str">
            <v>10</v>
          </cell>
          <cell r="DP16"/>
        </row>
        <row r="17">
          <cell r="B17" t="str">
            <v>11</v>
          </cell>
          <cell r="C17"/>
          <cell r="D17" t="str">
            <v>Interest - Floor Plan - Vehicles</v>
          </cell>
          <cell r="E17"/>
          <cell r="F17"/>
          <cell r="G17"/>
          <cell r="H17"/>
          <cell r="I17"/>
          <cell r="J17"/>
          <cell r="K17"/>
          <cell r="L17"/>
          <cell r="M17" t="str">
            <v>0160</v>
          </cell>
          <cell r="N17">
            <v>41980</v>
          </cell>
          <cell r="O17"/>
          <cell r="P17"/>
          <cell r="Q17"/>
          <cell r="R17"/>
          <cell r="S17"/>
          <cell r="T17" t="e">
            <v>#REF!</v>
          </cell>
          <cell r="U17"/>
          <cell r="V17"/>
          <cell r="W17"/>
          <cell r="X17"/>
          <cell r="Y17">
            <v>408519</v>
          </cell>
          <cell r="Z17"/>
          <cell r="AA17"/>
          <cell r="AB17"/>
          <cell r="AC17"/>
          <cell r="AD17"/>
          <cell r="AE17" t="e">
            <v>#REF!</v>
          </cell>
          <cell r="AF17"/>
          <cell r="AG17"/>
          <cell r="AH17"/>
          <cell r="AI17"/>
          <cell r="AJ17">
            <v>0.5</v>
          </cell>
          <cell r="AK17"/>
          <cell r="AL17" t="e">
            <v>#REF!</v>
          </cell>
          <cell r="AM17"/>
          <cell r="AN17"/>
          <cell r="AO17"/>
          <cell r="AP17"/>
          <cell r="AQ17">
            <v>39623</v>
          </cell>
          <cell r="AR17"/>
          <cell r="AS17"/>
          <cell r="AT17"/>
          <cell r="AU17"/>
          <cell r="AV17"/>
          <cell r="AW17"/>
          <cell r="AX17"/>
          <cell r="AY17"/>
          <cell r="AZ17"/>
          <cell r="BA17"/>
          <cell r="BB17" t="e">
            <v>#REF!</v>
          </cell>
          <cell r="BC17"/>
          <cell r="BD17"/>
          <cell r="BE17"/>
          <cell r="BF17"/>
          <cell r="BG17">
            <v>375406</v>
          </cell>
          <cell r="BH17"/>
          <cell r="BI17"/>
          <cell r="BJ17"/>
          <cell r="BK17"/>
          <cell r="BL17"/>
          <cell r="BM17"/>
          <cell r="BN17"/>
          <cell r="BO17"/>
          <cell r="BP17"/>
          <cell r="BQ17"/>
          <cell r="BR17" t="e">
            <v>#REF!</v>
          </cell>
          <cell r="BS17"/>
          <cell r="BT17"/>
          <cell r="BU17"/>
          <cell r="BV17"/>
          <cell r="BW17">
            <v>2357</v>
          </cell>
          <cell r="BX17"/>
          <cell r="BY17"/>
          <cell r="BZ17"/>
          <cell r="CA17"/>
          <cell r="CB17"/>
          <cell r="CC17"/>
          <cell r="CD17"/>
          <cell r="CE17"/>
          <cell r="CF17"/>
          <cell r="CG17"/>
          <cell r="CH17"/>
          <cell r="CI17"/>
          <cell r="CJ17"/>
          <cell r="CK17"/>
          <cell r="CL17"/>
          <cell r="CM17" t="e">
            <v>#REF!</v>
          </cell>
          <cell r="CN17"/>
          <cell r="CO17"/>
          <cell r="CP17"/>
          <cell r="CQ17"/>
          <cell r="CR17">
            <v>33113</v>
          </cell>
          <cell r="CS17"/>
          <cell r="CT17"/>
          <cell r="CU17"/>
          <cell r="CV17"/>
          <cell r="CW17"/>
          <cell r="CX17"/>
          <cell r="CY17"/>
          <cell r="CZ17"/>
          <cell r="DA17"/>
          <cell r="DB17"/>
          <cell r="DC17"/>
          <cell r="DD17"/>
          <cell r="DE17"/>
          <cell r="DF17"/>
          <cell r="DG17"/>
          <cell r="DH17"/>
          <cell r="DI17"/>
          <cell r="DJ17" t="e">
            <v>#REF!</v>
          </cell>
          <cell r="DK17"/>
          <cell r="DL17"/>
          <cell r="DM17"/>
          <cell r="DN17"/>
          <cell r="DO17" t="str">
            <v>11</v>
          </cell>
          <cell r="DP17"/>
        </row>
        <row r="18">
          <cell r="B18" t="str">
            <v>12</v>
          </cell>
          <cell r="C18"/>
          <cell r="D18" t="str">
            <v>LESS Floor Plan Assistance</v>
          </cell>
          <cell r="E18"/>
          <cell r="F18"/>
          <cell r="G18"/>
          <cell r="H18"/>
          <cell r="I18"/>
          <cell r="J18"/>
          <cell r="K18"/>
          <cell r="L18"/>
          <cell r="M18" t="str">
            <v>0180</v>
          </cell>
          <cell r="N18">
            <v>72054</v>
          </cell>
          <cell r="O18"/>
          <cell r="P18"/>
          <cell r="Q18"/>
          <cell r="R18"/>
          <cell r="S18"/>
          <cell r="T18" t="e">
            <v>#REF!</v>
          </cell>
          <cell r="U18"/>
          <cell r="V18"/>
          <cell r="W18"/>
          <cell r="X18"/>
          <cell r="Y18">
            <v>746298</v>
          </cell>
          <cell r="Z18"/>
          <cell r="AA18"/>
          <cell r="AB18"/>
          <cell r="AC18"/>
          <cell r="AD18"/>
          <cell r="AE18" t="e">
            <v>#REF!</v>
          </cell>
          <cell r="AF18"/>
          <cell r="AG18"/>
          <cell r="AH18"/>
          <cell r="AI18"/>
          <cell r="AJ18">
            <v>-1</v>
          </cell>
          <cell r="AK18"/>
          <cell r="AL18" t="e">
            <v>#REF!</v>
          </cell>
          <cell r="AM18"/>
          <cell r="AN18"/>
          <cell r="AO18"/>
          <cell r="AP18"/>
          <cell r="AQ18">
            <v>72054</v>
          </cell>
          <cell r="AR18"/>
          <cell r="AS18"/>
          <cell r="AT18"/>
          <cell r="AU18"/>
          <cell r="AV18"/>
          <cell r="AW18"/>
          <cell r="AX18"/>
          <cell r="AY18"/>
          <cell r="AZ18"/>
          <cell r="BA18"/>
          <cell r="BB18" t="e">
            <v>#REF!</v>
          </cell>
          <cell r="BC18"/>
          <cell r="BD18"/>
          <cell r="BE18"/>
          <cell r="BF18"/>
          <cell r="BG18">
            <v>746298</v>
          </cell>
          <cell r="BH18"/>
          <cell r="BI18"/>
          <cell r="BJ18"/>
          <cell r="BK18"/>
          <cell r="BL18"/>
          <cell r="BM18"/>
          <cell r="BN18"/>
          <cell r="BO18"/>
          <cell r="BP18"/>
          <cell r="BQ18"/>
          <cell r="BR18" t="e">
            <v>#REF!</v>
          </cell>
          <cell r="BS18"/>
          <cell r="BT18"/>
          <cell r="BU18"/>
          <cell r="BV18"/>
          <cell r="BW18">
            <v>0</v>
          </cell>
          <cell r="BX18"/>
          <cell r="BY18"/>
          <cell r="BZ18"/>
          <cell r="CA18"/>
          <cell r="CB18"/>
          <cell r="CC18"/>
          <cell r="CD18"/>
          <cell r="CE18"/>
          <cell r="CF18"/>
          <cell r="CG18"/>
          <cell r="CH18"/>
          <cell r="CI18"/>
          <cell r="CJ18"/>
          <cell r="CK18"/>
          <cell r="CL18"/>
          <cell r="CM18" t="e">
            <v>#REF!</v>
          </cell>
          <cell r="CN18"/>
          <cell r="CO18"/>
          <cell r="CP18"/>
          <cell r="CQ18"/>
          <cell r="CR18">
            <v>0</v>
          </cell>
          <cell r="CS18"/>
          <cell r="CT18"/>
          <cell r="CU18"/>
          <cell r="CV18"/>
          <cell r="CW18"/>
          <cell r="CX18"/>
          <cell r="CY18"/>
          <cell r="CZ18"/>
          <cell r="DA18"/>
          <cell r="DB18"/>
          <cell r="DC18"/>
          <cell r="DD18"/>
          <cell r="DE18"/>
          <cell r="DF18"/>
          <cell r="DG18"/>
          <cell r="DH18"/>
          <cell r="DI18"/>
          <cell r="DJ18" t="e">
            <v>#REF!</v>
          </cell>
          <cell r="DK18"/>
          <cell r="DL18"/>
          <cell r="DM18"/>
          <cell r="DN18"/>
          <cell r="DO18" t="str">
            <v>12</v>
          </cell>
          <cell r="DP18"/>
        </row>
        <row r="19">
          <cell r="B19" t="str">
            <v>13</v>
          </cell>
          <cell r="C19"/>
          <cell r="D19" t="str">
            <v>Vehicle Maintenance</v>
          </cell>
          <cell r="E19"/>
          <cell r="F19"/>
          <cell r="G19"/>
          <cell r="H19"/>
          <cell r="I19"/>
          <cell r="J19"/>
          <cell r="K19"/>
          <cell r="L19"/>
          <cell r="M19" t="str">
            <v>0190</v>
          </cell>
          <cell r="N19">
            <v>0</v>
          </cell>
          <cell r="O19"/>
          <cell r="P19"/>
          <cell r="Q19"/>
          <cell r="R19"/>
          <cell r="S19"/>
          <cell r="T19" t="e">
            <v>#REF!</v>
          </cell>
          <cell r="U19"/>
          <cell r="V19"/>
          <cell r="W19"/>
          <cell r="X19"/>
          <cell r="Y19">
            <v>0</v>
          </cell>
          <cell r="Z19"/>
          <cell r="AA19"/>
          <cell r="AB19"/>
          <cell r="AC19"/>
          <cell r="AD19"/>
          <cell r="AE19" t="e">
            <v>#REF!</v>
          </cell>
          <cell r="AF19"/>
          <cell r="AG19"/>
          <cell r="AH19"/>
          <cell r="AI19"/>
          <cell r="AJ19">
            <v>0</v>
          </cell>
          <cell r="AK19"/>
          <cell r="AL19" t="e">
            <v>#REF!</v>
          </cell>
          <cell r="AM19"/>
          <cell r="AN19"/>
          <cell r="AO19"/>
          <cell r="AP19"/>
          <cell r="AQ19">
            <v>0</v>
          </cell>
          <cell r="AR19"/>
          <cell r="AS19"/>
          <cell r="AT19"/>
          <cell r="AU19"/>
          <cell r="AV19"/>
          <cell r="AW19"/>
          <cell r="AX19"/>
          <cell r="AY19"/>
          <cell r="AZ19"/>
          <cell r="BA19"/>
          <cell r="BB19" t="e">
            <v>#REF!</v>
          </cell>
          <cell r="BC19"/>
          <cell r="BD19"/>
          <cell r="BE19"/>
          <cell r="BF19"/>
          <cell r="BG19">
            <v>0</v>
          </cell>
          <cell r="BH19"/>
          <cell r="BI19"/>
          <cell r="BJ19"/>
          <cell r="BK19"/>
          <cell r="BL19"/>
          <cell r="BM19"/>
          <cell r="BN19"/>
          <cell r="BO19"/>
          <cell r="BP19"/>
          <cell r="BQ19"/>
          <cell r="BR19" t="e">
            <v>#REF!</v>
          </cell>
          <cell r="BS19"/>
          <cell r="BT19"/>
          <cell r="BU19"/>
          <cell r="BV19"/>
          <cell r="BW19">
            <v>0</v>
          </cell>
          <cell r="BX19"/>
          <cell r="BY19"/>
          <cell r="BZ19"/>
          <cell r="CA19"/>
          <cell r="CB19"/>
          <cell r="CC19"/>
          <cell r="CD19"/>
          <cell r="CE19"/>
          <cell r="CF19"/>
          <cell r="CG19"/>
          <cell r="CH19"/>
          <cell r="CI19"/>
          <cell r="CJ19"/>
          <cell r="CK19"/>
          <cell r="CL19"/>
          <cell r="CM19" t="e">
            <v>#REF!</v>
          </cell>
          <cell r="CN19"/>
          <cell r="CO19"/>
          <cell r="CP19"/>
          <cell r="CQ19"/>
          <cell r="CR19">
            <v>0</v>
          </cell>
          <cell r="CS19"/>
          <cell r="CT19"/>
          <cell r="CU19"/>
          <cell r="CV19"/>
          <cell r="CW19"/>
          <cell r="CX19"/>
          <cell r="CY19"/>
          <cell r="CZ19"/>
          <cell r="DA19"/>
          <cell r="DB19"/>
          <cell r="DC19"/>
          <cell r="DD19"/>
          <cell r="DE19"/>
          <cell r="DF19"/>
          <cell r="DG19"/>
          <cell r="DH19"/>
          <cell r="DI19"/>
          <cell r="DJ19" t="e">
            <v>#REF!</v>
          </cell>
          <cell r="DK19"/>
          <cell r="DL19"/>
          <cell r="DM19"/>
          <cell r="DN19"/>
          <cell r="DO19" t="str">
            <v>13</v>
          </cell>
          <cell r="DP19"/>
        </row>
        <row r="20">
          <cell r="B20" t="str">
            <v>14</v>
          </cell>
          <cell r="C20"/>
          <cell r="D20" t="str">
            <v>TOTAL VARIABLE SELLING EXPENSE</v>
          </cell>
          <cell r="E20"/>
          <cell r="F20"/>
          <cell r="G20"/>
          <cell r="H20"/>
          <cell r="I20"/>
          <cell r="J20"/>
          <cell r="K20"/>
          <cell r="L20" t="str">
            <v xml:space="preserve">(Lines 3 to 13) </v>
          </cell>
          <cell r="M20"/>
          <cell r="N20">
            <v>286963</v>
          </cell>
          <cell r="O20"/>
          <cell r="P20"/>
          <cell r="Q20"/>
          <cell r="R20"/>
          <cell r="S20"/>
          <cell r="T20" t="e">
            <v>#REF!</v>
          </cell>
          <cell r="U20"/>
          <cell r="V20"/>
          <cell r="W20"/>
          <cell r="X20"/>
          <cell r="Y20">
            <v>3248346</v>
          </cell>
          <cell r="Z20"/>
          <cell r="AA20"/>
          <cell r="AB20"/>
          <cell r="AC20"/>
          <cell r="AD20"/>
          <cell r="AE20" t="e">
            <v>#REF!</v>
          </cell>
          <cell r="AF20"/>
          <cell r="AG20"/>
          <cell r="AH20"/>
          <cell r="AI20"/>
          <cell r="AJ20">
            <v>4.2</v>
          </cell>
          <cell r="AK20"/>
          <cell r="AL20" t="e">
            <v>#REF!</v>
          </cell>
          <cell r="AM20"/>
          <cell r="AN20"/>
          <cell r="AO20"/>
          <cell r="AP20"/>
          <cell r="AQ20">
            <v>134825</v>
          </cell>
          <cell r="AR20"/>
          <cell r="AS20"/>
          <cell r="AT20"/>
          <cell r="AU20"/>
          <cell r="AV20"/>
          <cell r="AW20"/>
          <cell r="AX20"/>
          <cell r="AY20"/>
          <cell r="AZ20"/>
          <cell r="BA20"/>
          <cell r="BB20" t="e">
            <v>#REF!</v>
          </cell>
          <cell r="BC20"/>
          <cell r="BD20"/>
          <cell r="BE20"/>
          <cell r="BF20"/>
          <cell r="BG20">
            <v>1487776</v>
          </cell>
          <cell r="BH20"/>
          <cell r="BI20"/>
          <cell r="BJ20"/>
          <cell r="BK20"/>
          <cell r="BL20"/>
          <cell r="BM20"/>
          <cell r="BN20"/>
          <cell r="BO20"/>
          <cell r="BP20"/>
          <cell r="BQ20"/>
          <cell r="BR20" t="e">
            <v>#REF!</v>
          </cell>
          <cell r="BS20"/>
          <cell r="BT20"/>
          <cell r="BU20"/>
          <cell r="BV20"/>
          <cell r="BW20">
            <v>107872</v>
          </cell>
          <cell r="BX20"/>
          <cell r="BY20"/>
          <cell r="BZ20"/>
          <cell r="CA20"/>
          <cell r="CB20"/>
          <cell r="CC20"/>
          <cell r="CD20"/>
          <cell r="CE20"/>
          <cell r="CF20"/>
          <cell r="CG20"/>
          <cell r="CH20"/>
          <cell r="CI20"/>
          <cell r="CJ20"/>
          <cell r="CK20"/>
          <cell r="CL20"/>
          <cell r="CM20" t="e">
            <v>#REF!</v>
          </cell>
          <cell r="CN20"/>
          <cell r="CO20"/>
          <cell r="CP20"/>
          <cell r="CQ20"/>
          <cell r="CR20">
            <v>1240040</v>
          </cell>
          <cell r="CS20"/>
          <cell r="CT20"/>
          <cell r="CU20"/>
          <cell r="CV20"/>
          <cell r="CW20"/>
          <cell r="CX20"/>
          <cell r="CY20"/>
          <cell r="CZ20"/>
          <cell r="DA20"/>
          <cell r="DB20"/>
          <cell r="DC20"/>
          <cell r="DD20"/>
          <cell r="DE20"/>
          <cell r="DF20"/>
          <cell r="DG20"/>
          <cell r="DH20"/>
          <cell r="DI20"/>
          <cell r="DJ20" t="e">
            <v>#REF!</v>
          </cell>
          <cell r="DK20"/>
          <cell r="DL20"/>
          <cell r="DM20"/>
          <cell r="DN20"/>
          <cell r="DO20" t="str">
            <v>14</v>
          </cell>
          <cell r="DP20"/>
        </row>
        <row r="21">
          <cell r="B21" t="str">
            <v>15</v>
          </cell>
          <cell r="C21"/>
          <cell r="D21" t="str">
            <v>Salaries - Owners</v>
          </cell>
          <cell r="E21"/>
          <cell r="F21"/>
          <cell r="G21"/>
          <cell r="H21"/>
          <cell r="I21"/>
          <cell r="J21"/>
          <cell r="K21"/>
          <cell r="L21"/>
          <cell r="M21" t="str">
            <v>0200</v>
          </cell>
          <cell r="N21">
            <v>46251</v>
          </cell>
          <cell r="O21"/>
          <cell r="P21"/>
          <cell r="Q21"/>
          <cell r="R21"/>
          <cell r="S21"/>
          <cell r="T21" t="e">
            <v>#REF!</v>
          </cell>
          <cell r="U21"/>
          <cell r="V21"/>
          <cell r="W21"/>
          <cell r="X21"/>
          <cell r="Y21">
            <v>536100</v>
          </cell>
          <cell r="Z21"/>
          <cell r="AA21"/>
          <cell r="AB21"/>
          <cell r="AC21"/>
          <cell r="AD21"/>
          <cell r="AE21" t="e">
            <v>#REF!</v>
          </cell>
          <cell r="AF21"/>
          <cell r="AG21"/>
          <cell r="AH21"/>
          <cell r="AI21"/>
          <cell r="AJ21">
            <v>0.7</v>
          </cell>
          <cell r="AK21"/>
          <cell r="AL21" t="e">
            <v>#REF!</v>
          </cell>
          <cell r="AM21"/>
          <cell r="AN21"/>
          <cell r="AO21"/>
          <cell r="AP21"/>
          <cell r="AQ21">
            <v>16188</v>
          </cell>
          <cell r="AR21"/>
          <cell r="AS21"/>
          <cell r="AT21"/>
          <cell r="AU21"/>
          <cell r="AV21"/>
          <cell r="AW21"/>
          <cell r="AX21"/>
          <cell r="AY21"/>
          <cell r="AZ21"/>
          <cell r="BA21"/>
          <cell r="BB21" t="e">
            <v>#REF!</v>
          </cell>
          <cell r="BC21"/>
          <cell r="BD21"/>
          <cell r="BE21"/>
          <cell r="BF21"/>
          <cell r="BG21">
            <v>187635</v>
          </cell>
          <cell r="BH21"/>
          <cell r="BI21"/>
          <cell r="BJ21"/>
          <cell r="BK21"/>
          <cell r="BL21"/>
          <cell r="BM21"/>
          <cell r="BN21"/>
          <cell r="BO21"/>
          <cell r="BP21"/>
          <cell r="BQ21"/>
          <cell r="BR21" t="e">
            <v>#REF!</v>
          </cell>
          <cell r="BS21"/>
          <cell r="BT21"/>
          <cell r="BU21"/>
          <cell r="BV21"/>
          <cell r="BW21">
            <v>13875</v>
          </cell>
          <cell r="BX21"/>
          <cell r="BY21"/>
          <cell r="BZ21"/>
          <cell r="CA21"/>
          <cell r="CB21"/>
          <cell r="CC21"/>
          <cell r="CD21"/>
          <cell r="CE21"/>
          <cell r="CF21"/>
          <cell r="CG21"/>
          <cell r="CH21"/>
          <cell r="CI21"/>
          <cell r="CJ21"/>
          <cell r="CK21"/>
          <cell r="CL21"/>
          <cell r="CM21" t="e">
            <v>#REF!</v>
          </cell>
          <cell r="CN21"/>
          <cell r="CO21"/>
          <cell r="CP21"/>
          <cell r="CQ21"/>
          <cell r="CR21">
            <v>160830</v>
          </cell>
          <cell r="CS21"/>
          <cell r="CT21"/>
          <cell r="CU21"/>
          <cell r="CV21"/>
          <cell r="CW21"/>
          <cell r="CX21"/>
          <cell r="CY21"/>
          <cell r="CZ21"/>
          <cell r="DA21"/>
          <cell r="DB21"/>
          <cell r="DC21"/>
          <cell r="DD21"/>
          <cell r="DE21"/>
          <cell r="DF21"/>
          <cell r="DG21"/>
          <cell r="DH21"/>
          <cell r="DI21"/>
          <cell r="DJ21" t="e">
            <v>#REF!</v>
          </cell>
          <cell r="DK21"/>
          <cell r="DL21"/>
          <cell r="DM21"/>
          <cell r="DN21"/>
          <cell r="DO21" t="str">
            <v>15</v>
          </cell>
          <cell r="DP21"/>
        </row>
        <row r="22">
          <cell r="B22" t="str">
            <v>16</v>
          </cell>
          <cell r="C22"/>
          <cell r="D22" t="str">
            <v>Salaries - Supervision</v>
          </cell>
          <cell r="E22"/>
          <cell r="F22"/>
          <cell r="G22"/>
          <cell r="H22"/>
          <cell r="I22"/>
          <cell r="J22"/>
          <cell r="K22"/>
          <cell r="L22"/>
          <cell r="M22" t="str">
            <v>0210</v>
          </cell>
          <cell r="N22">
            <v>197750</v>
          </cell>
          <cell r="O22"/>
          <cell r="P22"/>
          <cell r="Q22"/>
          <cell r="R22"/>
          <cell r="S22"/>
          <cell r="T22" t="e">
            <v>#REF!</v>
          </cell>
          <cell r="U22"/>
          <cell r="V22"/>
          <cell r="W22"/>
          <cell r="X22"/>
          <cell r="Y22">
            <v>2208493</v>
          </cell>
          <cell r="Z22"/>
          <cell r="AA22"/>
          <cell r="AB22"/>
          <cell r="AC22"/>
          <cell r="AD22"/>
          <cell r="AE22" t="e">
            <v>#REF!</v>
          </cell>
          <cell r="AF22"/>
          <cell r="AG22"/>
          <cell r="AH22"/>
          <cell r="AI22"/>
          <cell r="AJ22">
            <v>2.9</v>
          </cell>
          <cell r="AK22"/>
          <cell r="AL22" t="e">
            <v>#REF!</v>
          </cell>
          <cell r="AM22"/>
          <cell r="AN22"/>
          <cell r="AO22"/>
          <cell r="AP22"/>
          <cell r="AQ22">
            <v>117260</v>
          </cell>
          <cell r="AR22"/>
          <cell r="AS22"/>
          <cell r="AT22"/>
          <cell r="AU22"/>
          <cell r="AV22"/>
          <cell r="AW22"/>
          <cell r="AX22"/>
          <cell r="AY22"/>
          <cell r="AZ22"/>
          <cell r="BA22"/>
          <cell r="BB22" t="e">
            <v>#REF!</v>
          </cell>
          <cell r="BC22"/>
          <cell r="BD22"/>
          <cell r="BE22"/>
          <cell r="BF22"/>
          <cell r="BG22">
            <v>1289078</v>
          </cell>
          <cell r="BH22"/>
          <cell r="BI22"/>
          <cell r="BJ22"/>
          <cell r="BK22"/>
          <cell r="BL22"/>
          <cell r="BM22"/>
          <cell r="BN22"/>
          <cell r="BO22"/>
          <cell r="BP22"/>
          <cell r="BQ22"/>
          <cell r="BR22" t="e">
            <v>#REF!</v>
          </cell>
          <cell r="BS22"/>
          <cell r="BT22"/>
          <cell r="BU22"/>
          <cell r="BV22"/>
          <cell r="BW22">
            <v>44568</v>
          </cell>
          <cell r="BX22"/>
          <cell r="BY22"/>
          <cell r="BZ22"/>
          <cell r="CA22"/>
          <cell r="CB22"/>
          <cell r="CC22"/>
          <cell r="CD22"/>
          <cell r="CE22"/>
          <cell r="CF22"/>
          <cell r="CG22"/>
          <cell r="CH22"/>
          <cell r="CI22"/>
          <cell r="CJ22"/>
          <cell r="CK22"/>
          <cell r="CL22"/>
          <cell r="CM22" t="e">
            <v>#REF!</v>
          </cell>
          <cell r="CN22"/>
          <cell r="CO22"/>
          <cell r="CP22"/>
          <cell r="CQ22"/>
          <cell r="CR22">
            <v>552383</v>
          </cell>
          <cell r="CS22"/>
          <cell r="CT22"/>
          <cell r="CU22"/>
          <cell r="CV22"/>
          <cell r="CW22"/>
          <cell r="CX22"/>
          <cell r="CY22"/>
          <cell r="CZ22"/>
          <cell r="DA22"/>
          <cell r="DB22"/>
          <cell r="DC22"/>
          <cell r="DD22"/>
          <cell r="DE22"/>
          <cell r="DF22"/>
          <cell r="DG22"/>
          <cell r="DH22"/>
          <cell r="DI22"/>
          <cell r="DJ22" t="e">
            <v>#REF!</v>
          </cell>
          <cell r="DK22"/>
          <cell r="DL22"/>
          <cell r="DM22"/>
          <cell r="DN22"/>
          <cell r="DO22" t="str">
            <v>16</v>
          </cell>
          <cell r="DP22"/>
        </row>
        <row r="23">
          <cell r="B23" t="str">
            <v>17</v>
          </cell>
          <cell r="C23"/>
          <cell r="D23" t="str">
            <v>Salaries - Clerical</v>
          </cell>
          <cell r="E23"/>
          <cell r="F23"/>
          <cell r="G23"/>
          <cell r="H23"/>
          <cell r="I23"/>
          <cell r="J23"/>
          <cell r="K23"/>
          <cell r="L23"/>
          <cell r="M23" t="str">
            <v>0220</v>
          </cell>
          <cell r="N23">
            <v>22434</v>
          </cell>
          <cell r="O23"/>
          <cell r="P23"/>
          <cell r="Q23"/>
          <cell r="R23"/>
          <cell r="S23"/>
          <cell r="T23" t="e">
            <v>#REF!</v>
          </cell>
          <cell r="U23"/>
          <cell r="V23"/>
          <cell r="W23"/>
          <cell r="X23"/>
          <cell r="Y23">
            <v>206799</v>
          </cell>
          <cell r="Z23"/>
          <cell r="AA23"/>
          <cell r="AB23"/>
          <cell r="AC23"/>
          <cell r="AD23"/>
          <cell r="AE23" t="e">
            <v>#REF!</v>
          </cell>
          <cell r="AF23"/>
          <cell r="AG23"/>
          <cell r="AH23"/>
          <cell r="AI23"/>
          <cell r="AJ23">
            <v>0.3</v>
          </cell>
          <cell r="AK23"/>
          <cell r="AL23" t="e">
            <v>#REF!</v>
          </cell>
          <cell r="AM23"/>
          <cell r="AN23"/>
          <cell r="AO23"/>
          <cell r="AP23"/>
          <cell r="AQ23">
            <v>8133</v>
          </cell>
          <cell r="AR23"/>
          <cell r="AS23"/>
          <cell r="AT23"/>
          <cell r="AU23"/>
          <cell r="AV23"/>
          <cell r="AW23"/>
          <cell r="AX23"/>
          <cell r="AY23"/>
          <cell r="AZ23"/>
          <cell r="BA23"/>
          <cell r="BB23" t="e">
            <v>#REF!</v>
          </cell>
          <cell r="BC23"/>
          <cell r="BD23"/>
          <cell r="BE23"/>
          <cell r="BF23"/>
          <cell r="BG23">
            <v>62812</v>
          </cell>
          <cell r="BH23"/>
          <cell r="BI23"/>
          <cell r="BJ23"/>
          <cell r="BK23"/>
          <cell r="BL23"/>
          <cell r="BM23"/>
          <cell r="BN23"/>
          <cell r="BO23"/>
          <cell r="BP23"/>
          <cell r="BQ23"/>
          <cell r="BR23" t="e">
            <v>#REF!</v>
          </cell>
          <cell r="BS23"/>
          <cell r="BT23"/>
          <cell r="BU23"/>
          <cell r="BV23"/>
          <cell r="BW23">
            <v>7599</v>
          </cell>
          <cell r="BX23"/>
          <cell r="BY23"/>
          <cell r="BZ23"/>
          <cell r="CA23"/>
          <cell r="CB23"/>
          <cell r="CC23"/>
          <cell r="CD23"/>
          <cell r="CE23"/>
          <cell r="CF23"/>
          <cell r="CG23"/>
          <cell r="CH23"/>
          <cell r="CI23"/>
          <cell r="CJ23"/>
          <cell r="CK23"/>
          <cell r="CL23"/>
          <cell r="CM23" t="e">
            <v>#REF!</v>
          </cell>
          <cell r="CN23"/>
          <cell r="CO23"/>
          <cell r="CP23"/>
          <cell r="CQ23"/>
          <cell r="CR23">
            <v>60501</v>
          </cell>
          <cell r="CS23"/>
          <cell r="CT23"/>
          <cell r="CU23"/>
          <cell r="CV23"/>
          <cell r="CW23"/>
          <cell r="CX23"/>
          <cell r="CY23"/>
          <cell r="CZ23"/>
          <cell r="DA23"/>
          <cell r="DB23"/>
          <cell r="DC23"/>
          <cell r="DD23"/>
          <cell r="DE23"/>
          <cell r="DF23"/>
          <cell r="DG23"/>
          <cell r="DH23"/>
          <cell r="DI23"/>
          <cell r="DJ23" t="e">
            <v>#REF!</v>
          </cell>
          <cell r="DK23"/>
          <cell r="DL23"/>
          <cell r="DM23"/>
          <cell r="DN23"/>
          <cell r="DO23" t="str">
            <v>17</v>
          </cell>
          <cell r="DP23"/>
        </row>
        <row r="24">
          <cell r="B24" t="str">
            <v>18</v>
          </cell>
          <cell r="C24"/>
          <cell r="D24" t="str">
            <v>Other Salaries &amp; Wages</v>
          </cell>
          <cell r="E24"/>
          <cell r="F24"/>
          <cell r="G24"/>
          <cell r="H24"/>
          <cell r="I24"/>
          <cell r="J24"/>
          <cell r="K24"/>
          <cell r="L24"/>
          <cell r="M24" t="str">
            <v>0230</v>
          </cell>
          <cell r="N24">
            <v>25146</v>
          </cell>
          <cell r="O24"/>
          <cell r="P24"/>
          <cell r="Q24"/>
          <cell r="R24"/>
          <cell r="S24"/>
          <cell r="T24" t="e">
            <v>#REF!</v>
          </cell>
          <cell r="U24"/>
          <cell r="V24"/>
          <cell r="W24"/>
          <cell r="X24"/>
          <cell r="Y24">
            <v>208844</v>
          </cell>
          <cell r="Z24"/>
          <cell r="AA24"/>
          <cell r="AB24"/>
          <cell r="AC24"/>
          <cell r="AD24"/>
          <cell r="AE24" t="e">
            <v>#REF!</v>
          </cell>
          <cell r="AF24"/>
          <cell r="AG24"/>
          <cell r="AH24"/>
          <cell r="AI24"/>
          <cell r="AJ24">
            <v>0.3</v>
          </cell>
          <cell r="AK24"/>
          <cell r="AL24" t="e">
            <v>#REF!</v>
          </cell>
          <cell r="AM24"/>
          <cell r="AN24"/>
          <cell r="AO24"/>
          <cell r="AP24"/>
          <cell r="AQ24">
            <v>5493</v>
          </cell>
          <cell r="AR24"/>
          <cell r="AS24"/>
          <cell r="AT24"/>
          <cell r="AU24"/>
          <cell r="AV24"/>
          <cell r="AW24"/>
          <cell r="AX24"/>
          <cell r="AY24"/>
          <cell r="AZ24"/>
          <cell r="BA24"/>
          <cell r="BB24" t="e">
            <v>#REF!</v>
          </cell>
          <cell r="BC24"/>
          <cell r="BD24"/>
          <cell r="BE24"/>
          <cell r="BF24"/>
          <cell r="BG24">
            <v>45125</v>
          </cell>
          <cell r="BH24"/>
          <cell r="BI24"/>
          <cell r="BJ24"/>
          <cell r="BK24"/>
          <cell r="BL24"/>
          <cell r="BM24"/>
          <cell r="BN24"/>
          <cell r="BO24"/>
          <cell r="BP24"/>
          <cell r="BQ24"/>
          <cell r="BR24" t="e">
            <v>#REF!</v>
          </cell>
          <cell r="BS24"/>
          <cell r="BT24"/>
          <cell r="BU24"/>
          <cell r="BV24"/>
          <cell r="BW24">
            <v>4148</v>
          </cell>
          <cell r="BX24"/>
          <cell r="BY24"/>
          <cell r="BZ24"/>
          <cell r="CA24"/>
          <cell r="CB24"/>
          <cell r="CC24"/>
          <cell r="CD24"/>
          <cell r="CE24"/>
          <cell r="CF24"/>
          <cell r="CG24"/>
          <cell r="CH24"/>
          <cell r="CI24"/>
          <cell r="CJ24"/>
          <cell r="CK24"/>
          <cell r="CL24"/>
          <cell r="CM24" t="e">
            <v>#REF!</v>
          </cell>
          <cell r="CN24"/>
          <cell r="CO24"/>
          <cell r="CP24"/>
          <cell r="CQ24"/>
          <cell r="CR24">
            <v>39621</v>
          </cell>
          <cell r="CS24"/>
          <cell r="CT24"/>
          <cell r="CU24"/>
          <cell r="CV24"/>
          <cell r="CW24"/>
          <cell r="CX24"/>
          <cell r="CY24"/>
          <cell r="CZ24"/>
          <cell r="DA24"/>
          <cell r="DB24"/>
          <cell r="DC24"/>
          <cell r="DD24"/>
          <cell r="DE24"/>
          <cell r="DF24"/>
          <cell r="DG24"/>
          <cell r="DH24"/>
          <cell r="DI24"/>
          <cell r="DJ24" t="e">
            <v>#REF!</v>
          </cell>
          <cell r="DK24"/>
          <cell r="DL24"/>
          <cell r="DM24"/>
          <cell r="DN24"/>
          <cell r="DO24" t="str">
            <v>18</v>
          </cell>
          <cell r="DP24"/>
        </row>
        <row r="25">
          <cell r="B25" t="str">
            <v>19</v>
          </cell>
          <cell r="C25"/>
          <cell r="D25" t="str">
            <v>Absentee Wages - Productive Personnel</v>
          </cell>
          <cell r="E25"/>
          <cell r="F25"/>
          <cell r="G25"/>
          <cell r="H25"/>
          <cell r="I25"/>
          <cell r="J25"/>
          <cell r="K25"/>
          <cell r="L25"/>
          <cell r="M25" t="str">
            <v>0240</v>
          </cell>
          <cell r="N25">
            <v>1219</v>
          </cell>
          <cell r="O25"/>
          <cell r="P25"/>
          <cell r="Q25"/>
          <cell r="R25"/>
          <cell r="S25"/>
          <cell r="T25" t="e">
            <v>#REF!</v>
          </cell>
          <cell r="U25"/>
          <cell r="V25"/>
          <cell r="W25"/>
          <cell r="X25"/>
          <cell r="Y25">
            <v>23996</v>
          </cell>
          <cell r="Z25"/>
          <cell r="AA25"/>
          <cell r="AB25"/>
          <cell r="AC25"/>
          <cell r="AD25"/>
          <cell r="AE25" t="e">
            <v>#REF!</v>
          </cell>
          <cell r="AF25"/>
          <cell r="AG25"/>
          <cell r="AH25"/>
          <cell r="AI25"/>
          <cell r="AJ25">
            <v>0</v>
          </cell>
          <cell r="AK25"/>
          <cell r="AL25" t="e">
            <v>#REF!</v>
          </cell>
          <cell r="AM25"/>
          <cell r="AN25"/>
          <cell r="AO25"/>
          <cell r="AP25"/>
          <cell r="AQ25"/>
          <cell r="AR25"/>
          <cell r="AS25"/>
          <cell r="AT25"/>
          <cell r="AU25"/>
          <cell r="AV25"/>
          <cell r="AW25"/>
          <cell r="AX25"/>
          <cell r="AY25"/>
          <cell r="AZ25"/>
          <cell r="BA25"/>
          <cell r="BB25"/>
          <cell r="BC25"/>
          <cell r="BD25"/>
          <cell r="BE25"/>
          <cell r="BF25"/>
          <cell r="BG25"/>
          <cell r="BH25"/>
          <cell r="BI25"/>
          <cell r="BJ25"/>
          <cell r="BK25"/>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cell r="CV25"/>
          <cell r="CW25"/>
          <cell r="CX25"/>
          <cell r="CY25"/>
          <cell r="CZ25"/>
          <cell r="DA25"/>
          <cell r="DB25"/>
          <cell r="DC25"/>
          <cell r="DD25"/>
          <cell r="DE25"/>
          <cell r="DF25"/>
          <cell r="DG25"/>
          <cell r="DH25"/>
          <cell r="DI25"/>
          <cell r="DJ25" t="e">
            <v>#REF!</v>
          </cell>
          <cell r="DK25"/>
          <cell r="DL25"/>
          <cell r="DM25"/>
          <cell r="DN25"/>
          <cell r="DO25" t="str">
            <v>19</v>
          </cell>
          <cell r="DP25"/>
        </row>
        <row r="26">
          <cell r="B26" t="str">
            <v>20</v>
          </cell>
          <cell r="C26"/>
          <cell r="D26" t="str">
            <v>Taxes - Payroll</v>
          </cell>
          <cell r="E26"/>
          <cell r="F26"/>
          <cell r="G26"/>
          <cell r="H26"/>
          <cell r="I26"/>
          <cell r="J26"/>
          <cell r="K26"/>
          <cell r="L26"/>
          <cell r="M26" t="str">
            <v>0250</v>
          </cell>
          <cell r="N26">
            <v>22952</v>
          </cell>
          <cell r="O26"/>
          <cell r="P26"/>
          <cell r="Q26"/>
          <cell r="R26"/>
          <cell r="S26"/>
          <cell r="T26" t="e">
            <v>#REF!</v>
          </cell>
          <cell r="U26"/>
          <cell r="V26"/>
          <cell r="W26"/>
          <cell r="X26"/>
          <cell r="Y26">
            <v>458987</v>
          </cell>
          <cell r="Z26"/>
          <cell r="AA26"/>
          <cell r="AB26"/>
          <cell r="AC26"/>
          <cell r="AD26"/>
          <cell r="AE26" t="e">
            <v>#REF!</v>
          </cell>
          <cell r="AF26"/>
          <cell r="AG26"/>
          <cell r="AH26"/>
          <cell r="AI26"/>
          <cell r="AJ26">
            <v>0.6</v>
          </cell>
          <cell r="AK26"/>
          <cell r="AL26" t="e">
            <v>#REF!</v>
          </cell>
          <cell r="AM26"/>
          <cell r="AN26"/>
          <cell r="AO26"/>
          <cell r="AP26"/>
          <cell r="AQ26">
            <v>12136</v>
          </cell>
          <cell r="AR26"/>
          <cell r="AS26"/>
          <cell r="AT26"/>
          <cell r="AU26"/>
          <cell r="AV26"/>
          <cell r="AW26"/>
          <cell r="AX26"/>
          <cell r="AY26"/>
          <cell r="AZ26"/>
          <cell r="BA26"/>
          <cell r="BB26" t="e">
            <v>#REF!</v>
          </cell>
          <cell r="BC26"/>
          <cell r="BD26"/>
          <cell r="BE26"/>
          <cell r="BF26"/>
          <cell r="BG26">
            <v>277646</v>
          </cell>
          <cell r="BH26"/>
          <cell r="BI26"/>
          <cell r="BJ26"/>
          <cell r="BK26"/>
          <cell r="BL26"/>
          <cell r="BM26"/>
          <cell r="BN26"/>
          <cell r="BO26"/>
          <cell r="BP26"/>
          <cell r="BQ26"/>
          <cell r="BR26" t="e">
            <v>#REF!</v>
          </cell>
          <cell r="BS26"/>
          <cell r="BT26"/>
          <cell r="BU26"/>
          <cell r="BV26"/>
          <cell r="BW26">
            <v>-498</v>
          </cell>
          <cell r="BX26"/>
          <cell r="BY26"/>
          <cell r="BZ26"/>
          <cell r="CA26"/>
          <cell r="CB26"/>
          <cell r="CC26"/>
          <cell r="CD26"/>
          <cell r="CE26"/>
          <cell r="CF26"/>
          <cell r="CG26"/>
          <cell r="CH26"/>
          <cell r="CI26"/>
          <cell r="CJ26"/>
          <cell r="CK26"/>
          <cell r="CL26"/>
          <cell r="CM26" t="e">
            <v>#REF!</v>
          </cell>
          <cell r="CN26"/>
          <cell r="CO26"/>
          <cell r="CP26"/>
          <cell r="CQ26"/>
          <cell r="CR26">
            <v>20794</v>
          </cell>
          <cell r="CS26"/>
          <cell r="CT26"/>
          <cell r="CU26"/>
          <cell r="CV26"/>
          <cell r="CW26"/>
          <cell r="CX26"/>
          <cell r="CY26"/>
          <cell r="CZ26"/>
          <cell r="DA26"/>
          <cell r="DB26"/>
          <cell r="DC26"/>
          <cell r="DD26"/>
          <cell r="DE26"/>
          <cell r="DF26"/>
          <cell r="DG26"/>
          <cell r="DH26"/>
          <cell r="DI26"/>
          <cell r="DJ26" t="e">
            <v>#REF!</v>
          </cell>
          <cell r="DK26"/>
          <cell r="DL26"/>
          <cell r="DM26"/>
          <cell r="DN26"/>
          <cell r="DO26" t="str">
            <v>20</v>
          </cell>
          <cell r="DP26"/>
        </row>
        <row r="27">
          <cell r="B27" t="str">
            <v>21</v>
          </cell>
          <cell r="C27"/>
          <cell r="D27" t="str">
            <v>Employee Benefits / Pension Fund / 401 K</v>
          </cell>
          <cell r="E27"/>
          <cell r="F27"/>
          <cell r="G27"/>
          <cell r="H27"/>
          <cell r="I27"/>
          <cell r="J27"/>
          <cell r="K27"/>
          <cell r="L27"/>
          <cell r="M27" t="str">
            <v>0260</v>
          </cell>
          <cell r="N27">
            <v>32975</v>
          </cell>
          <cell r="O27"/>
          <cell r="P27"/>
          <cell r="Q27"/>
          <cell r="R27"/>
          <cell r="S27"/>
          <cell r="T27" t="e">
            <v>#REF!</v>
          </cell>
          <cell r="U27"/>
          <cell r="V27"/>
          <cell r="W27"/>
          <cell r="X27"/>
          <cell r="Y27">
            <v>308330</v>
          </cell>
          <cell r="Z27"/>
          <cell r="AA27"/>
          <cell r="AB27"/>
          <cell r="AC27"/>
          <cell r="AD27"/>
          <cell r="AE27" t="e">
            <v>#REF!</v>
          </cell>
          <cell r="AF27"/>
          <cell r="AG27"/>
          <cell r="AH27"/>
          <cell r="AI27"/>
          <cell r="AJ27">
            <v>0.4</v>
          </cell>
          <cell r="AK27"/>
          <cell r="AL27" t="e">
            <v>#REF!</v>
          </cell>
          <cell r="AM27"/>
          <cell r="AN27"/>
          <cell r="AO27"/>
          <cell r="AP27"/>
          <cell r="AQ27">
            <v>11464</v>
          </cell>
          <cell r="AR27"/>
          <cell r="AS27"/>
          <cell r="AT27"/>
          <cell r="AU27"/>
          <cell r="AV27"/>
          <cell r="AW27"/>
          <cell r="AX27"/>
          <cell r="AY27"/>
          <cell r="AZ27"/>
          <cell r="BA27"/>
          <cell r="BB27" t="e">
            <v>#REF!</v>
          </cell>
          <cell r="BC27"/>
          <cell r="BD27"/>
          <cell r="BE27"/>
          <cell r="BF27"/>
          <cell r="BG27">
            <v>119383</v>
          </cell>
          <cell r="BH27"/>
          <cell r="BI27"/>
          <cell r="BJ27"/>
          <cell r="BK27"/>
          <cell r="BL27"/>
          <cell r="BM27"/>
          <cell r="BN27"/>
          <cell r="BO27"/>
          <cell r="BP27"/>
          <cell r="BQ27"/>
          <cell r="BR27" t="e">
            <v>#REF!</v>
          </cell>
          <cell r="BS27"/>
          <cell r="BT27"/>
          <cell r="BU27"/>
          <cell r="BV27"/>
          <cell r="BW27">
            <v>9541</v>
          </cell>
          <cell r="BX27"/>
          <cell r="BY27"/>
          <cell r="BZ27"/>
          <cell r="CA27"/>
          <cell r="CB27"/>
          <cell r="CC27"/>
          <cell r="CD27"/>
          <cell r="CE27"/>
          <cell r="CF27"/>
          <cell r="CG27"/>
          <cell r="CH27"/>
          <cell r="CI27"/>
          <cell r="CJ27"/>
          <cell r="CK27"/>
          <cell r="CL27"/>
          <cell r="CM27" t="e">
            <v>#REF!</v>
          </cell>
          <cell r="CN27"/>
          <cell r="CO27"/>
          <cell r="CP27"/>
          <cell r="CQ27"/>
          <cell r="CR27">
            <v>93732</v>
          </cell>
          <cell r="CS27"/>
          <cell r="CT27"/>
          <cell r="CU27"/>
          <cell r="CV27"/>
          <cell r="CW27"/>
          <cell r="CX27"/>
          <cell r="CY27"/>
          <cell r="CZ27"/>
          <cell r="DA27"/>
          <cell r="DB27"/>
          <cell r="DC27"/>
          <cell r="DD27"/>
          <cell r="DE27"/>
          <cell r="DF27"/>
          <cell r="DG27"/>
          <cell r="DH27"/>
          <cell r="DI27"/>
          <cell r="DJ27" t="e">
            <v>#REF!</v>
          </cell>
          <cell r="DK27"/>
          <cell r="DL27"/>
          <cell r="DM27"/>
          <cell r="DN27"/>
          <cell r="DO27" t="str">
            <v>21</v>
          </cell>
          <cell r="DP27"/>
        </row>
        <row r="28">
          <cell r="B28" t="str">
            <v>22</v>
          </cell>
          <cell r="C28"/>
          <cell r="D28" t="str">
            <v>TOTAL SALARY &amp; WAGE GROUP</v>
          </cell>
          <cell r="E28"/>
          <cell r="F28"/>
          <cell r="G28"/>
          <cell r="H28"/>
          <cell r="I28"/>
          <cell r="J28"/>
          <cell r="K28"/>
          <cell r="L28" t="str">
            <v xml:space="preserve">(Lines 15 to 21) </v>
          </cell>
          <cell r="M28"/>
          <cell r="N28">
            <v>348727</v>
          </cell>
          <cell r="O28"/>
          <cell r="P28"/>
          <cell r="Q28"/>
          <cell r="R28"/>
          <cell r="S28"/>
          <cell r="T28" t="e">
            <v>#REF!</v>
          </cell>
          <cell r="U28"/>
          <cell r="V28"/>
          <cell r="W28"/>
          <cell r="X28"/>
          <cell r="Y28">
            <v>3951549</v>
          </cell>
          <cell r="Z28"/>
          <cell r="AA28"/>
          <cell r="AB28"/>
          <cell r="AC28"/>
          <cell r="AD28"/>
          <cell r="AE28" t="e">
            <v>#REF!</v>
          </cell>
          <cell r="AF28"/>
          <cell r="AG28"/>
          <cell r="AH28"/>
          <cell r="AI28"/>
          <cell r="AJ28">
            <v>5.0999999999999996</v>
          </cell>
          <cell r="AK28"/>
          <cell r="AL28" t="e">
            <v>#REF!</v>
          </cell>
          <cell r="AM28"/>
          <cell r="AN28"/>
          <cell r="AO28"/>
          <cell r="AP28"/>
          <cell r="AQ28">
            <v>170674</v>
          </cell>
          <cell r="AR28"/>
          <cell r="AS28"/>
          <cell r="AT28"/>
          <cell r="AU28"/>
          <cell r="AV28"/>
          <cell r="AW28"/>
          <cell r="AX28"/>
          <cell r="AY28"/>
          <cell r="AZ28"/>
          <cell r="BA28"/>
          <cell r="BB28" t="e">
            <v>#REF!</v>
          </cell>
          <cell r="BC28"/>
          <cell r="BD28"/>
          <cell r="BE28"/>
          <cell r="BF28"/>
          <cell r="BG28">
            <v>1981679</v>
          </cell>
          <cell r="BH28"/>
          <cell r="BI28"/>
          <cell r="BJ28"/>
          <cell r="BK28"/>
          <cell r="BL28"/>
          <cell r="BM28"/>
          <cell r="BN28"/>
          <cell r="BO28"/>
          <cell r="BP28"/>
          <cell r="BQ28"/>
          <cell r="BR28" t="e">
            <v>#REF!</v>
          </cell>
          <cell r="BS28"/>
          <cell r="BT28"/>
          <cell r="BU28"/>
          <cell r="BV28"/>
          <cell r="BW28">
            <v>79233</v>
          </cell>
          <cell r="BX28"/>
          <cell r="BY28"/>
          <cell r="BZ28"/>
          <cell r="CA28"/>
          <cell r="CB28"/>
          <cell r="CC28"/>
          <cell r="CD28"/>
          <cell r="CE28"/>
          <cell r="CF28"/>
          <cell r="CG28"/>
          <cell r="CH28"/>
          <cell r="CI28"/>
          <cell r="CJ28"/>
          <cell r="CK28"/>
          <cell r="CL28"/>
          <cell r="CM28" t="e">
            <v>#REF!</v>
          </cell>
          <cell r="CN28"/>
          <cell r="CO28"/>
          <cell r="CP28"/>
          <cell r="CQ28"/>
          <cell r="CR28">
            <v>927861</v>
          </cell>
          <cell r="CS28"/>
          <cell r="CT28"/>
          <cell r="CU28"/>
          <cell r="CV28"/>
          <cell r="CW28"/>
          <cell r="CX28"/>
          <cell r="CY28"/>
          <cell r="CZ28"/>
          <cell r="DA28"/>
          <cell r="DB28"/>
          <cell r="DC28"/>
          <cell r="DD28"/>
          <cell r="DE28"/>
          <cell r="DF28"/>
          <cell r="DG28"/>
          <cell r="DH28"/>
          <cell r="DI28"/>
          <cell r="DJ28" t="e">
            <v>#REF!</v>
          </cell>
          <cell r="DK28"/>
          <cell r="DL28"/>
          <cell r="DM28"/>
          <cell r="DN28"/>
          <cell r="DO28" t="str">
            <v>22</v>
          </cell>
          <cell r="DP28"/>
        </row>
        <row r="29">
          <cell r="B29" t="str">
            <v>23</v>
          </cell>
          <cell r="C29"/>
          <cell r="D29" t="str">
            <v>Company Vehicle</v>
          </cell>
          <cell r="E29"/>
          <cell r="F29"/>
          <cell r="G29"/>
          <cell r="H29"/>
          <cell r="I29"/>
          <cell r="J29"/>
          <cell r="K29"/>
          <cell r="L29"/>
          <cell r="M29" t="str">
            <v>0310</v>
          </cell>
          <cell r="N29">
            <v>2501</v>
          </cell>
          <cell r="O29"/>
          <cell r="P29"/>
          <cell r="Q29"/>
          <cell r="R29"/>
          <cell r="S29"/>
          <cell r="T29" t="e">
            <v>#REF!</v>
          </cell>
          <cell r="U29"/>
          <cell r="V29"/>
          <cell r="W29"/>
          <cell r="X29"/>
          <cell r="Y29">
            <v>27632</v>
          </cell>
          <cell r="Z29"/>
          <cell r="AA29"/>
          <cell r="AB29"/>
          <cell r="AC29"/>
          <cell r="AD29"/>
          <cell r="AE29" t="e">
            <v>#REF!</v>
          </cell>
          <cell r="AF29"/>
          <cell r="AG29"/>
          <cell r="AH29"/>
          <cell r="AI29"/>
          <cell r="AJ29">
            <v>0</v>
          </cell>
          <cell r="AK29"/>
          <cell r="AL29" t="e">
            <v>#REF!</v>
          </cell>
          <cell r="AM29"/>
          <cell r="AN29"/>
          <cell r="AO29"/>
          <cell r="AP29"/>
          <cell r="AQ29">
            <v>613</v>
          </cell>
          <cell r="AR29"/>
          <cell r="AS29"/>
          <cell r="AT29"/>
          <cell r="AU29"/>
          <cell r="AV29"/>
          <cell r="AW29"/>
          <cell r="AX29"/>
          <cell r="AY29"/>
          <cell r="AZ29"/>
          <cell r="BA29"/>
          <cell r="BB29" t="e">
            <v>#REF!</v>
          </cell>
          <cell r="BC29"/>
          <cell r="BD29"/>
          <cell r="BE29"/>
          <cell r="BF29"/>
          <cell r="BG29">
            <v>4914</v>
          </cell>
          <cell r="BH29"/>
          <cell r="BI29"/>
          <cell r="BJ29"/>
          <cell r="BK29"/>
          <cell r="BL29"/>
          <cell r="BM29"/>
          <cell r="BN29"/>
          <cell r="BO29"/>
          <cell r="BP29"/>
          <cell r="BQ29"/>
          <cell r="BR29" t="e">
            <v>#REF!</v>
          </cell>
          <cell r="BS29"/>
          <cell r="BT29"/>
          <cell r="BU29"/>
          <cell r="BV29"/>
          <cell r="BW29">
            <v>525</v>
          </cell>
          <cell r="BX29"/>
          <cell r="BY29"/>
          <cell r="BZ29"/>
          <cell r="CA29"/>
          <cell r="CB29"/>
          <cell r="CC29"/>
          <cell r="CD29"/>
          <cell r="CE29"/>
          <cell r="CF29"/>
          <cell r="CG29"/>
          <cell r="CH29"/>
          <cell r="CI29"/>
          <cell r="CJ29"/>
          <cell r="CK29"/>
          <cell r="CL29"/>
          <cell r="CM29" t="e">
            <v>#REF!</v>
          </cell>
          <cell r="CN29"/>
          <cell r="CO29"/>
          <cell r="CP29"/>
          <cell r="CQ29"/>
          <cell r="CR29">
            <v>4212</v>
          </cell>
          <cell r="CS29"/>
          <cell r="CT29"/>
          <cell r="CU29"/>
          <cell r="CV29"/>
          <cell r="CW29"/>
          <cell r="CX29"/>
          <cell r="CY29"/>
          <cell r="CZ29"/>
          <cell r="DA29"/>
          <cell r="DB29"/>
          <cell r="DC29"/>
          <cell r="DD29"/>
          <cell r="DE29"/>
          <cell r="DF29"/>
          <cell r="DG29"/>
          <cell r="DH29"/>
          <cell r="DI29"/>
          <cell r="DJ29" t="e">
            <v>#REF!</v>
          </cell>
          <cell r="DK29"/>
          <cell r="DL29"/>
          <cell r="DM29"/>
          <cell r="DN29"/>
          <cell r="DO29" t="str">
            <v>23</v>
          </cell>
          <cell r="DP29"/>
        </row>
        <row r="30">
          <cell r="B30" t="str">
            <v>24</v>
          </cell>
          <cell r="C30"/>
          <cell r="D30" t="str">
            <v>Small Tools</v>
          </cell>
          <cell r="E30"/>
          <cell r="F30"/>
          <cell r="G30"/>
          <cell r="H30"/>
          <cell r="I30"/>
          <cell r="J30"/>
          <cell r="K30"/>
          <cell r="L30"/>
          <cell r="M30" t="str">
            <v>0320</v>
          </cell>
          <cell r="N30">
            <v>0</v>
          </cell>
          <cell r="O30"/>
          <cell r="P30"/>
          <cell r="Q30"/>
          <cell r="R30"/>
          <cell r="S30"/>
          <cell r="T30" t="e">
            <v>#REF!</v>
          </cell>
          <cell r="U30"/>
          <cell r="V30"/>
          <cell r="W30"/>
          <cell r="X30"/>
          <cell r="Y30">
            <v>434</v>
          </cell>
          <cell r="Z30"/>
          <cell r="AA30"/>
          <cell r="AB30"/>
          <cell r="AC30"/>
          <cell r="AD30"/>
          <cell r="AE30" t="e">
            <v>#REF!</v>
          </cell>
          <cell r="AF30"/>
          <cell r="AG30"/>
          <cell r="AH30"/>
          <cell r="AI30"/>
          <cell r="AJ30">
            <v>0</v>
          </cell>
          <cell r="AK30"/>
          <cell r="AL30" t="e">
            <v>#REF!</v>
          </cell>
          <cell r="AM30"/>
          <cell r="AN30"/>
          <cell r="AO30"/>
          <cell r="AP30"/>
          <cell r="AQ30"/>
          <cell r="AR30"/>
          <cell r="AS30"/>
          <cell r="AT30"/>
          <cell r="AU30"/>
          <cell r="AV30"/>
          <cell r="AW30"/>
          <cell r="AX30"/>
          <cell r="AY30"/>
          <cell r="AZ30"/>
          <cell r="BA30"/>
          <cell r="BB30"/>
          <cell r="BC30"/>
          <cell r="BD30"/>
          <cell r="BE30"/>
          <cell r="BF30"/>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cell r="CV30"/>
          <cell r="CW30"/>
          <cell r="CX30"/>
          <cell r="CY30"/>
          <cell r="CZ30"/>
          <cell r="DA30"/>
          <cell r="DB30"/>
          <cell r="DC30"/>
          <cell r="DD30"/>
          <cell r="DE30"/>
          <cell r="DF30"/>
          <cell r="DG30"/>
          <cell r="DH30"/>
          <cell r="DI30"/>
          <cell r="DJ30" t="e">
            <v>#REF!</v>
          </cell>
          <cell r="DK30"/>
          <cell r="DL30"/>
          <cell r="DM30"/>
          <cell r="DN30"/>
          <cell r="DO30" t="str">
            <v>24</v>
          </cell>
          <cell r="DP30"/>
        </row>
        <row r="31">
          <cell r="B31" t="str">
            <v>25</v>
          </cell>
          <cell r="C31"/>
          <cell r="D31" t="str">
            <v>Freight &amp; Express</v>
          </cell>
          <cell r="E31"/>
          <cell r="F31"/>
          <cell r="G31"/>
          <cell r="H31"/>
          <cell r="I31"/>
          <cell r="J31"/>
          <cell r="K31"/>
          <cell r="L31"/>
          <cell r="M31" t="str">
            <v>0340</v>
          </cell>
          <cell r="N31">
            <v>375</v>
          </cell>
          <cell r="O31"/>
          <cell r="P31"/>
          <cell r="Q31"/>
          <cell r="R31"/>
          <cell r="S31"/>
          <cell r="T31" t="e">
            <v>#REF!</v>
          </cell>
          <cell r="U31"/>
          <cell r="V31"/>
          <cell r="W31"/>
          <cell r="X31"/>
          <cell r="Y31">
            <v>6389</v>
          </cell>
          <cell r="Z31"/>
          <cell r="AA31"/>
          <cell r="AB31"/>
          <cell r="AC31"/>
          <cell r="AD31"/>
          <cell r="AE31" t="e">
            <v>#REF!</v>
          </cell>
          <cell r="AF31"/>
          <cell r="AG31"/>
          <cell r="AH31"/>
          <cell r="AI31"/>
          <cell r="AJ31">
            <v>0</v>
          </cell>
          <cell r="AK31"/>
          <cell r="AL31" t="e">
            <v>#REF!</v>
          </cell>
          <cell r="AM31"/>
          <cell r="AN31"/>
          <cell r="AO31"/>
          <cell r="AP31"/>
          <cell r="AQ31"/>
          <cell r="AR31"/>
          <cell r="AS31"/>
          <cell r="AT31"/>
          <cell r="AU31"/>
          <cell r="AV31"/>
          <cell r="AW31"/>
          <cell r="AX31"/>
          <cell r="AY31"/>
          <cell r="AZ31"/>
          <cell r="BA31"/>
          <cell r="BB31"/>
          <cell r="BC31"/>
          <cell r="BD31"/>
          <cell r="BE31"/>
          <cell r="BF31"/>
          <cell r="BG31"/>
          <cell r="BH31"/>
          <cell r="BI31"/>
          <cell r="BJ31"/>
          <cell r="BK31"/>
          <cell r="BL31"/>
          <cell r="BM31"/>
          <cell r="BN31"/>
          <cell r="BO31"/>
          <cell r="BP31"/>
          <cell r="BQ31"/>
          <cell r="BR31"/>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cell r="DG31"/>
          <cell r="DH31"/>
          <cell r="DI31"/>
          <cell r="DJ31" t="e">
            <v>#REF!</v>
          </cell>
          <cell r="DK31"/>
          <cell r="DL31"/>
          <cell r="DM31"/>
          <cell r="DN31"/>
          <cell r="DO31" t="str">
            <v>25</v>
          </cell>
          <cell r="DP31"/>
        </row>
        <row r="32">
          <cell r="B32" t="str">
            <v>26</v>
          </cell>
          <cell r="C32"/>
          <cell r="D32" t="str">
            <v>Institutional Advertising</v>
          </cell>
          <cell r="E32"/>
          <cell r="F32"/>
          <cell r="G32"/>
          <cell r="H32"/>
          <cell r="I32"/>
          <cell r="J32"/>
          <cell r="K32"/>
          <cell r="L32"/>
          <cell r="M32" t="str">
            <v>0350</v>
          </cell>
          <cell r="N32">
            <v>2224</v>
          </cell>
          <cell r="O32"/>
          <cell r="P32"/>
          <cell r="Q32"/>
          <cell r="R32"/>
          <cell r="S32"/>
          <cell r="T32" t="e">
            <v>#REF!</v>
          </cell>
          <cell r="U32"/>
          <cell r="V32"/>
          <cell r="W32"/>
          <cell r="X32"/>
          <cell r="Y32">
            <v>21711</v>
          </cell>
          <cell r="Z32"/>
          <cell r="AA32"/>
          <cell r="AB32"/>
          <cell r="AC32"/>
          <cell r="AD32"/>
          <cell r="AE32" t="e">
            <v>#REF!</v>
          </cell>
          <cell r="AF32"/>
          <cell r="AG32"/>
          <cell r="AH32"/>
          <cell r="AI32"/>
          <cell r="AJ32">
            <v>0</v>
          </cell>
          <cell r="AK32"/>
          <cell r="AL32" t="e">
            <v>#REF!</v>
          </cell>
          <cell r="AM32"/>
          <cell r="AN32"/>
          <cell r="AO32"/>
          <cell r="AP32"/>
          <cell r="AQ32">
            <v>1855</v>
          </cell>
          <cell r="AR32"/>
          <cell r="AS32"/>
          <cell r="AT32"/>
          <cell r="AU32"/>
          <cell r="AV32"/>
          <cell r="AW32"/>
          <cell r="AX32"/>
          <cell r="AY32"/>
          <cell r="AZ32"/>
          <cell r="BA32"/>
          <cell r="BB32" t="e">
            <v>#REF!</v>
          </cell>
          <cell r="BC32"/>
          <cell r="BD32"/>
          <cell r="BE32"/>
          <cell r="BF32"/>
          <cell r="BG32">
            <v>2333</v>
          </cell>
          <cell r="BH32"/>
          <cell r="BI32"/>
          <cell r="BJ32"/>
          <cell r="BK32"/>
          <cell r="BL32"/>
          <cell r="BM32"/>
          <cell r="BN32"/>
          <cell r="BO32"/>
          <cell r="BP32"/>
          <cell r="BQ32"/>
          <cell r="BR32" t="e">
            <v>#REF!</v>
          </cell>
          <cell r="BS32"/>
          <cell r="BT32"/>
          <cell r="BU32"/>
          <cell r="BV32"/>
          <cell r="BW32">
            <v>0</v>
          </cell>
          <cell r="BX32"/>
          <cell r="BY32"/>
          <cell r="BZ32"/>
          <cell r="CA32"/>
          <cell r="CB32"/>
          <cell r="CC32"/>
          <cell r="CD32"/>
          <cell r="CE32"/>
          <cell r="CF32"/>
          <cell r="CG32"/>
          <cell r="CH32"/>
          <cell r="CI32"/>
          <cell r="CJ32"/>
          <cell r="CK32"/>
          <cell r="CL32"/>
          <cell r="CM32" t="e">
            <v>#REF!</v>
          </cell>
          <cell r="CN32"/>
          <cell r="CO32"/>
          <cell r="CP32"/>
          <cell r="CQ32"/>
          <cell r="CR32">
            <v>410</v>
          </cell>
          <cell r="CS32"/>
          <cell r="CT32"/>
          <cell r="CU32"/>
          <cell r="CV32"/>
          <cell r="CW32"/>
          <cell r="CX32"/>
          <cell r="CY32"/>
          <cell r="CZ32"/>
          <cell r="DA32"/>
          <cell r="DB32"/>
          <cell r="DC32"/>
          <cell r="DD32"/>
          <cell r="DE32"/>
          <cell r="DF32"/>
          <cell r="DG32"/>
          <cell r="DH32"/>
          <cell r="DI32"/>
          <cell r="DJ32" t="e">
            <v>#REF!</v>
          </cell>
          <cell r="DK32"/>
          <cell r="DL32"/>
          <cell r="DM32"/>
          <cell r="DN32"/>
          <cell r="DO32" t="str">
            <v>26</v>
          </cell>
          <cell r="DP32"/>
        </row>
        <row r="33">
          <cell r="B33" t="str">
            <v>27</v>
          </cell>
          <cell r="C33"/>
          <cell r="D33" t="str">
            <v>Stationery &amp; Office Supplies</v>
          </cell>
          <cell r="E33"/>
          <cell r="F33"/>
          <cell r="G33"/>
          <cell r="H33"/>
          <cell r="I33"/>
          <cell r="J33"/>
          <cell r="K33"/>
          <cell r="L33"/>
          <cell r="M33" t="str">
            <v>0360</v>
          </cell>
          <cell r="N33">
            <v>5335</v>
          </cell>
          <cell r="O33"/>
          <cell r="P33"/>
          <cell r="Q33"/>
          <cell r="R33"/>
          <cell r="S33"/>
          <cell r="T33" t="e">
            <v>#REF!</v>
          </cell>
          <cell r="U33"/>
          <cell r="V33"/>
          <cell r="W33"/>
          <cell r="X33"/>
          <cell r="Y33">
            <v>74734</v>
          </cell>
          <cell r="Z33"/>
          <cell r="AA33"/>
          <cell r="AB33"/>
          <cell r="AC33"/>
          <cell r="AD33"/>
          <cell r="AE33" t="e">
            <v>#REF!</v>
          </cell>
          <cell r="AF33"/>
          <cell r="AG33"/>
          <cell r="AH33"/>
          <cell r="AI33"/>
          <cell r="AJ33">
            <v>0.1</v>
          </cell>
          <cell r="AK33"/>
          <cell r="AL33" t="e">
            <v>#REF!</v>
          </cell>
          <cell r="AM33"/>
          <cell r="AN33"/>
          <cell r="AO33"/>
          <cell r="AP33"/>
          <cell r="AQ33">
            <v>2417</v>
          </cell>
          <cell r="AR33"/>
          <cell r="AS33"/>
          <cell r="AT33"/>
          <cell r="AU33"/>
          <cell r="AV33"/>
          <cell r="AW33"/>
          <cell r="AX33"/>
          <cell r="AY33"/>
          <cell r="AZ33"/>
          <cell r="BA33"/>
          <cell r="BB33" t="e">
            <v>#REF!</v>
          </cell>
          <cell r="BC33"/>
          <cell r="BD33"/>
          <cell r="BE33"/>
          <cell r="BF33"/>
          <cell r="BG33">
            <v>28831</v>
          </cell>
          <cell r="BH33"/>
          <cell r="BI33"/>
          <cell r="BJ33"/>
          <cell r="BK33"/>
          <cell r="BL33"/>
          <cell r="BM33"/>
          <cell r="BN33"/>
          <cell r="BO33"/>
          <cell r="BP33"/>
          <cell r="BQ33"/>
          <cell r="BR33" t="e">
            <v>#REF!</v>
          </cell>
          <cell r="BS33"/>
          <cell r="BT33"/>
          <cell r="BU33"/>
          <cell r="BV33"/>
          <cell r="BW33">
            <v>1683</v>
          </cell>
          <cell r="BX33"/>
          <cell r="BY33"/>
          <cell r="BZ33"/>
          <cell r="CA33"/>
          <cell r="CB33"/>
          <cell r="CC33"/>
          <cell r="CD33"/>
          <cell r="CE33"/>
          <cell r="CF33"/>
          <cell r="CG33"/>
          <cell r="CH33"/>
          <cell r="CI33"/>
          <cell r="CJ33"/>
          <cell r="CK33"/>
          <cell r="CL33"/>
          <cell r="CM33" t="e">
            <v>#REF!</v>
          </cell>
          <cell r="CN33"/>
          <cell r="CO33"/>
          <cell r="CP33"/>
          <cell r="CQ33"/>
          <cell r="CR33">
            <v>26195</v>
          </cell>
          <cell r="CS33"/>
          <cell r="CT33"/>
          <cell r="CU33"/>
          <cell r="CV33"/>
          <cell r="CW33"/>
          <cell r="CX33"/>
          <cell r="CY33"/>
          <cell r="CZ33"/>
          <cell r="DA33"/>
          <cell r="DB33"/>
          <cell r="DC33"/>
          <cell r="DD33"/>
          <cell r="DE33"/>
          <cell r="DF33"/>
          <cell r="DG33"/>
          <cell r="DH33"/>
          <cell r="DI33"/>
          <cell r="DJ33" t="e">
            <v>#REF!</v>
          </cell>
          <cell r="DK33"/>
          <cell r="DL33"/>
          <cell r="DM33"/>
          <cell r="DN33"/>
          <cell r="DO33" t="str">
            <v>27</v>
          </cell>
          <cell r="DP33"/>
        </row>
        <row r="34">
          <cell r="B34" t="str">
            <v>28</v>
          </cell>
          <cell r="C34"/>
          <cell r="D34" t="str">
            <v>Supplies &amp; Laundry</v>
          </cell>
          <cell r="E34"/>
          <cell r="F34"/>
          <cell r="G34"/>
          <cell r="H34"/>
          <cell r="I34"/>
          <cell r="J34"/>
          <cell r="K34"/>
          <cell r="L34"/>
          <cell r="M34" t="str">
            <v>0370</v>
          </cell>
          <cell r="N34">
            <v>4725</v>
          </cell>
          <cell r="O34"/>
          <cell r="P34"/>
          <cell r="Q34"/>
          <cell r="R34"/>
          <cell r="S34"/>
          <cell r="T34" t="e">
            <v>#REF!</v>
          </cell>
          <cell r="U34"/>
          <cell r="V34"/>
          <cell r="W34"/>
          <cell r="X34"/>
          <cell r="Y34">
            <v>28618</v>
          </cell>
          <cell r="Z34"/>
          <cell r="AA34"/>
          <cell r="AB34"/>
          <cell r="AC34"/>
          <cell r="AD34"/>
          <cell r="AE34" t="e">
            <v>#REF!</v>
          </cell>
          <cell r="AF34"/>
          <cell r="AG34"/>
          <cell r="AH34"/>
          <cell r="AI34"/>
          <cell r="AJ34">
            <v>0</v>
          </cell>
          <cell r="AK34"/>
          <cell r="AL34" t="e">
            <v>#REF!</v>
          </cell>
          <cell r="AM34"/>
          <cell r="AN34"/>
          <cell r="AO34"/>
          <cell r="AP34"/>
          <cell r="AQ34">
            <v>-571</v>
          </cell>
          <cell r="AR34"/>
          <cell r="AS34"/>
          <cell r="AT34"/>
          <cell r="AU34"/>
          <cell r="AV34"/>
          <cell r="AW34"/>
          <cell r="AX34"/>
          <cell r="AY34"/>
          <cell r="AZ34"/>
          <cell r="BA34"/>
          <cell r="BB34" t="e">
            <v>#REF!</v>
          </cell>
          <cell r="BC34"/>
          <cell r="BD34"/>
          <cell r="BE34"/>
          <cell r="BF34"/>
          <cell r="BG34">
            <v>17284</v>
          </cell>
          <cell r="BH34"/>
          <cell r="BI34"/>
          <cell r="BJ34"/>
          <cell r="BK34"/>
          <cell r="BL34"/>
          <cell r="BM34"/>
          <cell r="BN34"/>
          <cell r="BO34"/>
          <cell r="BP34"/>
          <cell r="BQ34"/>
          <cell r="BR34" t="e">
            <v>#REF!</v>
          </cell>
          <cell r="BS34"/>
          <cell r="BT34"/>
          <cell r="BU34"/>
          <cell r="BV34"/>
          <cell r="BW34">
            <v>-625</v>
          </cell>
          <cell r="BX34"/>
          <cell r="BY34"/>
          <cell r="BZ34"/>
          <cell r="CA34"/>
          <cell r="CB34"/>
          <cell r="CC34"/>
          <cell r="CD34"/>
          <cell r="CE34"/>
          <cell r="CF34"/>
          <cell r="CG34"/>
          <cell r="CH34"/>
          <cell r="CI34"/>
          <cell r="CJ34"/>
          <cell r="CK34"/>
          <cell r="CL34"/>
          <cell r="CM34" t="e">
            <v>#REF!</v>
          </cell>
          <cell r="CN34"/>
          <cell r="CO34"/>
          <cell r="CP34"/>
          <cell r="CQ34"/>
          <cell r="CR34">
            <v>15160</v>
          </cell>
          <cell r="CS34"/>
          <cell r="CT34"/>
          <cell r="CU34"/>
          <cell r="CV34"/>
          <cell r="CW34"/>
          <cell r="CX34"/>
          <cell r="CY34"/>
          <cell r="CZ34"/>
          <cell r="DA34"/>
          <cell r="DB34"/>
          <cell r="DC34"/>
          <cell r="DD34"/>
          <cell r="DE34"/>
          <cell r="DF34"/>
          <cell r="DG34"/>
          <cell r="DH34"/>
          <cell r="DI34"/>
          <cell r="DJ34" t="e">
            <v>#REF!</v>
          </cell>
          <cell r="DK34"/>
          <cell r="DL34"/>
          <cell r="DM34"/>
          <cell r="DN34"/>
          <cell r="DO34" t="str">
            <v>28</v>
          </cell>
          <cell r="DP34"/>
        </row>
        <row r="35">
          <cell r="B35" t="str">
            <v>29</v>
          </cell>
          <cell r="C35"/>
          <cell r="D35" t="str">
            <v>Outside Services</v>
          </cell>
          <cell r="E35"/>
          <cell r="F35"/>
          <cell r="G35"/>
          <cell r="H35"/>
          <cell r="I35"/>
          <cell r="J35"/>
          <cell r="K35"/>
          <cell r="L35"/>
          <cell r="M35" t="str">
            <v>0380</v>
          </cell>
          <cell r="N35">
            <v>26788</v>
          </cell>
          <cell r="O35"/>
          <cell r="P35"/>
          <cell r="Q35"/>
          <cell r="R35"/>
          <cell r="S35"/>
          <cell r="T35" t="e">
            <v>#REF!</v>
          </cell>
          <cell r="U35"/>
          <cell r="V35"/>
          <cell r="W35"/>
          <cell r="X35"/>
          <cell r="Y35">
            <v>273484</v>
          </cell>
          <cell r="Z35"/>
          <cell r="AA35"/>
          <cell r="AB35"/>
          <cell r="AC35"/>
          <cell r="AD35"/>
          <cell r="AE35" t="e">
            <v>#REF!</v>
          </cell>
          <cell r="AF35"/>
          <cell r="AG35"/>
          <cell r="AH35"/>
          <cell r="AI35"/>
          <cell r="AJ35">
            <v>0.4</v>
          </cell>
          <cell r="AK35"/>
          <cell r="AL35" t="e">
            <v>#REF!</v>
          </cell>
          <cell r="AM35"/>
          <cell r="AN35"/>
          <cell r="AO35"/>
          <cell r="AP35"/>
          <cell r="AQ35">
            <v>10570</v>
          </cell>
          <cell r="AR35"/>
          <cell r="AS35"/>
          <cell r="AT35"/>
          <cell r="AU35"/>
          <cell r="AV35"/>
          <cell r="AW35"/>
          <cell r="AX35"/>
          <cell r="AY35"/>
          <cell r="AZ35"/>
          <cell r="BA35"/>
          <cell r="BB35" t="e">
            <v>#REF!</v>
          </cell>
          <cell r="BC35"/>
          <cell r="BD35"/>
          <cell r="BE35"/>
          <cell r="BF35"/>
          <cell r="BG35">
            <v>101398</v>
          </cell>
          <cell r="BH35"/>
          <cell r="BI35"/>
          <cell r="BJ35"/>
          <cell r="BK35"/>
          <cell r="BL35"/>
          <cell r="BM35"/>
          <cell r="BN35"/>
          <cell r="BO35"/>
          <cell r="BP35"/>
          <cell r="BQ35"/>
          <cell r="BR35" t="e">
            <v>#REF!</v>
          </cell>
          <cell r="BS35"/>
          <cell r="BT35"/>
          <cell r="BU35"/>
          <cell r="BV35"/>
          <cell r="BW35">
            <v>11211</v>
          </cell>
          <cell r="BX35"/>
          <cell r="BY35"/>
          <cell r="BZ35"/>
          <cell r="CA35"/>
          <cell r="CB35"/>
          <cell r="CC35"/>
          <cell r="CD35"/>
          <cell r="CE35"/>
          <cell r="CF35"/>
          <cell r="CG35"/>
          <cell r="CH35"/>
          <cell r="CI35"/>
          <cell r="CJ35"/>
          <cell r="CK35"/>
          <cell r="CL35"/>
          <cell r="CM35" t="e">
            <v>#REF!</v>
          </cell>
          <cell r="CN35"/>
          <cell r="CO35"/>
          <cell r="CP35"/>
          <cell r="CQ35"/>
          <cell r="CR35">
            <v>122360</v>
          </cell>
          <cell r="CS35"/>
          <cell r="CT35"/>
          <cell r="CU35"/>
          <cell r="CV35"/>
          <cell r="CW35"/>
          <cell r="CX35"/>
          <cell r="CY35"/>
          <cell r="CZ35"/>
          <cell r="DA35"/>
          <cell r="DB35"/>
          <cell r="DC35"/>
          <cell r="DD35"/>
          <cell r="DE35"/>
          <cell r="DF35"/>
          <cell r="DG35"/>
          <cell r="DH35"/>
          <cell r="DI35"/>
          <cell r="DJ35" t="e">
            <v>#REF!</v>
          </cell>
          <cell r="DK35"/>
          <cell r="DL35"/>
          <cell r="DM35"/>
          <cell r="DN35"/>
          <cell r="DO35" t="str">
            <v>29</v>
          </cell>
          <cell r="DP35"/>
        </row>
        <row r="36">
          <cell r="B36" t="str">
            <v>30</v>
          </cell>
          <cell r="C36"/>
          <cell r="D36" t="str">
            <v>Travel &amp; Entertainment</v>
          </cell>
          <cell r="E36"/>
          <cell r="F36"/>
          <cell r="G36"/>
          <cell r="H36"/>
          <cell r="I36"/>
          <cell r="J36"/>
          <cell r="K36"/>
          <cell r="L36"/>
          <cell r="M36" t="str">
            <v>0390</v>
          </cell>
          <cell r="N36">
            <v>3230</v>
          </cell>
          <cell r="O36"/>
          <cell r="P36"/>
          <cell r="Q36"/>
          <cell r="R36"/>
          <cell r="S36"/>
          <cell r="T36" t="e">
            <v>#REF!</v>
          </cell>
          <cell r="U36"/>
          <cell r="V36"/>
          <cell r="W36"/>
          <cell r="X36"/>
          <cell r="Y36">
            <v>32747</v>
          </cell>
          <cell r="Z36"/>
          <cell r="AA36"/>
          <cell r="AB36"/>
          <cell r="AC36"/>
          <cell r="AD36"/>
          <cell r="AE36" t="e">
            <v>#REF!</v>
          </cell>
          <cell r="AF36"/>
          <cell r="AG36"/>
          <cell r="AH36"/>
          <cell r="AI36"/>
          <cell r="AJ36">
            <v>0</v>
          </cell>
          <cell r="AK36"/>
          <cell r="AL36" t="e">
            <v>#REF!</v>
          </cell>
          <cell r="AM36"/>
          <cell r="AN36"/>
          <cell r="AO36"/>
          <cell r="AP36"/>
          <cell r="AQ36">
            <v>1122</v>
          </cell>
          <cell r="AR36"/>
          <cell r="AS36"/>
          <cell r="AT36"/>
          <cell r="AU36"/>
          <cell r="AV36"/>
          <cell r="AW36"/>
          <cell r="AX36"/>
          <cell r="AY36"/>
          <cell r="AZ36"/>
          <cell r="BA36"/>
          <cell r="BB36" t="e">
            <v>#REF!</v>
          </cell>
          <cell r="BC36"/>
          <cell r="BD36"/>
          <cell r="BE36"/>
          <cell r="BF36"/>
          <cell r="BG36">
            <v>11121</v>
          </cell>
          <cell r="BH36"/>
          <cell r="BI36"/>
          <cell r="BJ36"/>
          <cell r="BK36"/>
          <cell r="BL36"/>
          <cell r="BM36"/>
          <cell r="BN36"/>
          <cell r="BO36"/>
          <cell r="BP36"/>
          <cell r="BQ36"/>
          <cell r="BR36" t="e">
            <v>#REF!</v>
          </cell>
          <cell r="BS36"/>
          <cell r="BT36"/>
          <cell r="BU36"/>
          <cell r="BV36"/>
          <cell r="BW36">
            <v>962</v>
          </cell>
          <cell r="BX36"/>
          <cell r="BY36"/>
          <cell r="BZ36"/>
          <cell r="CA36"/>
          <cell r="CB36"/>
          <cell r="CC36"/>
          <cell r="CD36"/>
          <cell r="CE36"/>
          <cell r="CF36"/>
          <cell r="CG36"/>
          <cell r="CH36"/>
          <cell r="CI36"/>
          <cell r="CJ36"/>
          <cell r="CK36"/>
          <cell r="CL36"/>
          <cell r="CM36" t="e">
            <v>#REF!</v>
          </cell>
          <cell r="CN36"/>
          <cell r="CO36"/>
          <cell r="CP36"/>
          <cell r="CQ36"/>
          <cell r="CR36">
            <v>9485</v>
          </cell>
          <cell r="CS36"/>
          <cell r="CT36"/>
          <cell r="CU36"/>
          <cell r="CV36"/>
          <cell r="CW36"/>
          <cell r="CX36"/>
          <cell r="CY36"/>
          <cell r="CZ36"/>
          <cell r="DA36"/>
          <cell r="DB36"/>
          <cell r="DC36"/>
          <cell r="DD36"/>
          <cell r="DE36"/>
          <cell r="DF36"/>
          <cell r="DG36"/>
          <cell r="DH36"/>
          <cell r="DI36"/>
          <cell r="DJ36" t="e">
            <v>#REF!</v>
          </cell>
          <cell r="DK36"/>
          <cell r="DL36"/>
          <cell r="DM36"/>
          <cell r="DN36"/>
          <cell r="DO36" t="str">
            <v>30</v>
          </cell>
          <cell r="DP36"/>
        </row>
        <row r="37">
          <cell r="B37" t="str">
            <v>31</v>
          </cell>
          <cell r="C37"/>
          <cell r="D37" t="str">
            <v>Legal &amp; Auditing</v>
          </cell>
          <cell r="E37"/>
          <cell r="F37"/>
          <cell r="G37"/>
          <cell r="H37"/>
          <cell r="I37"/>
          <cell r="J37"/>
          <cell r="K37"/>
          <cell r="L37"/>
          <cell r="M37" t="str">
            <v>0400</v>
          </cell>
          <cell r="N37">
            <v>3114</v>
          </cell>
          <cell r="O37"/>
          <cell r="P37"/>
          <cell r="Q37"/>
          <cell r="R37"/>
          <cell r="S37"/>
          <cell r="T37" t="e">
            <v>#REF!</v>
          </cell>
          <cell r="U37"/>
          <cell r="V37"/>
          <cell r="W37"/>
          <cell r="X37"/>
          <cell r="Y37">
            <v>47886</v>
          </cell>
          <cell r="Z37"/>
          <cell r="AA37"/>
          <cell r="AB37"/>
          <cell r="AC37"/>
          <cell r="AD37"/>
          <cell r="AE37" t="e">
            <v>#REF!</v>
          </cell>
          <cell r="AF37"/>
          <cell r="AG37"/>
          <cell r="AH37"/>
          <cell r="AI37"/>
          <cell r="AJ37">
            <v>0.1</v>
          </cell>
          <cell r="AK37"/>
          <cell r="AL37" t="e">
            <v>#REF!</v>
          </cell>
          <cell r="AM37"/>
          <cell r="AN37"/>
          <cell r="AO37"/>
          <cell r="AP37"/>
          <cell r="AQ37">
            <v>1090</v>
          </cell>
          <cell r="AR37"/>
          <cell r="AS37"/>
          <cell r="AT37"/>
          <cell r="AU37"/>
          <cell r="AV37"/>
          <cell r="AW37"/>
          <cell r="AX37"/>
          <cell r="AY37"/>
          <cell r="AZ37"/>
          <cell r="BA37"/>
          <cell r="BB37" t="e">
            <v>#REF!</v>
          </cell>
          <cell r="BC37"/>
          <cell r="BD37"/>
          <cell r="BE37"/>
          <cell r="BF37"/>
          <cell r="BG37">
            <v>16760</v>
          </cell>
          <cell r="BH37"/>
          <cell r="BI37"/>
          <cell r="BJ37"/>
          <cell r="BK37"/>
          <cell r="BL37"/>
          <cell r="BM37"/>
          <cell r="BN37"/>
          <cell r="BO37"/>
          <cell r="BP37"/>
          <cell r="BQ37"/>
          <cell r="BR37" t="e">
            <v>#REF!</v>
          </cell>
          <cell r="BS37"/>
          <cell r="BT37"/>
          <cell r="BU37"/>
          <cell r="BV37"/>
          <cell r="BW37">
            <v>934</v>
          </cell>
          <cell r="BX37"/>
          <cell r="BY37"/>
          <cell r="BZ37"/>
          <cell r="CA37"/>
          <cell r="CB37"/>
          <cell r="CC37"/>
          <cell r="CD37"/>
          <cell r="CE37"/>
          <cell r="CF37"/>
          <cell r="CG37"/>
          <cell r="CH37"/>
          <cell r="CI37"/>
          <cell r="CJ37"/>
          <cell r="CK37"/>
          <cell r="CL37"/>
          <cell r="CM37" t="e">
            <v>#REF!</v>
          </cell>
          <cell r="CN37"/>
          <cell r="CO37"/>
          <cell r="CP37"/>
          <cell r="CQ37"/>
          <cell r="CR37">
            <v>14366</v>
          </cell>
          <cell r="CS37"/>
          <cell r="CT37"/>
          <cell r="CU37"/>
          <cell r="CV37"/>
          <cell r="CW37"/>
          <cell r="CX37"/>
          <cell r="CY37"/>
          <cell r="CZ37"/>
          <cell r="DA37"/>
          <cell r="DB37"/>
          <cell r="DC37"/>
          <cell r="DD37"/>
          <cell r="DE37"/>
          <cell r="DF37"/>
          <cell r="DG37"/>
          <cell r="DH37"/>
          <cell r="DI37"/>
          <cell r="DJ37" t="e">
            <v>#REF!</v>
          </cell>
          <cell r="DK37"/>
          <cell r="DL37"/>
          <cell r="DM37"/>
          <cell r="DN37"/>
          <cell r="DO37" t="str">
            <v>31</v>
          </cell>
          <cell r="DP37"/>
        </row>
        <row r="38">
          <cell r="B38" t="str">
            <v>32</v>
          </cell>
          <cell r="C38"/>
          <cell r="D38" t="str">
            <v>Communication, Telephone, Internet &amp; Data Processing</v>
          </cell>
          <cell r="E38"/>
          <cell r="F38"/>
          <cell r="G38"/>
          <cell r="H38"/>
          <cell r="I38"/>
          <cell r="J38"/>
          <cell r="K38"/>
          <cell r="L38"/>
          <cell r="M38" t="str">
            <v>0410</v>
          </cell>
          <cell r="N38">
            <v>28029</v>
          </cell>
          <cell r="O38"/>
          <cell r="P38"/>
          <cell r="Q38"/>
          <cell r="R38"/>
          <cell r="S38"/>
          <cell r="T38" t="e">
            <v>#REF!</v>
          </cell>
          <cell r="U38"/>
          <cell r="V38"/>
          <cell r="W38"/>
          <cell r="X38"/>
          <cell r="Y38">
            <v>363328</v>
          </cell>
          <cell r="Z38"/>
          <cell r="AA38"/>
          <cell r="AB38"/>
          <cell r="AC38"/>
          <cell r="AD38"/>
          <cell r="AE38" t="e">
            <v>#REF!</v>
          </cell>
          <cell r="AF38"/>
          <cell r="AG38"/>
          <cell r="AH38"/>
          <cell r="AI38"/>
          <cell r="AJ38">
            <v>0.5</v>
          </cell>
          <cell r="AK38"/>
          <cell r="AL38" t="e">
            <v>#REF!</v>
          </cell>
          <cell r="AM38"/>
          <cell r="AN38"/>
          <cell r="AO38"/>
          <cell r="AP38"/>
          <cell r="AQ38">
            <v>11727</v>
          </cell>
          <cell r="AR38"/>
          <cell r="AS38"/>
          <cell r="AT38"/>
          <cell r="AU38"/>
          <cell r="AV38"/>
          <cell r="AW38"/>
          <cell r="AX38"/>
          <cell r="AY38"/>
          <cell r="AZ38"/>
          <cell r="BA38"/>
          <cell r="BB38" t="e">
            <v>#REF!</v>
          </cell>
          <cell r="BC38"/>
          <cell r="BD38"/>
          <cell r="BE38"/>
          <cell r="BF38"/>
          <cell r="BG38">
            <v>147454</v>
          </cell>
          <cell r="BH38"/>
          <cell r="BI38"/>
          <cell r="BJ38"/>
          <cell r="BK38"/>
          <cell r="BL38"/>
          <cell r="BM38"/>
          <cell r="BN38"/>
          <cell r="BO38"/>
          <cell r="BP38"/>
          <cell r="BQ38"/>
          <cell r="BR38" t="e">
            <v>#REF!</v>
          </cell>
          <cell r="BS38"/>
          <cell r="BT38"/>
          <cell r="BU38"/>
          <cell r="BV38"/>
          <cell r="BW38">
            <v>10456</v>
          </cell>
          <cell r="BX38"/>
          <cell r="BY38"/>
          <cell r="BZ38"/>
          <cell r="CA38"/>
          <cell r="CB38"/>
          <cell r="CC38"/>
          <cell r="CD38"/>
          <cell r="CE38"/>
          <cell r="CF38"/>
          <cell r="CG38"/>
          <cell r="CH38"/>
          <cell r="CI38"/>
          <cell r="CJ38"/>
          <cell r="CK38"/>
          <cell r="CL38"/>
          <cell r="CM38" t="e">
            <v>#REF!</v>
          </cell>
          <cell r="CN38"/>
          <cell r="CO38"/>
          <cell r="CP38"/>
          <cell r="CQ38"/>
          <cell r="CR38">
            <v>142047</v>
          </cell>
          <cell r="CS38"/>
          <cell r="CT38"/>
          <cell r="CU38"/>
          <cell r="CV38"/>
          <cell r="CW38"/>
          <cell r="CX38"/>
          <cell r="CY38"/>
          <cell r="CZ38"/>
          <cell r="DA38"/>
          <cell r="DB38"/>
          <cell r="DC38"/>
          <cell r="DD38"/>
          <cell r="DE38"/>
          <cell r="DF38"/>
          <cell r="DG38"/>
          <cell r="DH38"/>
          <cell r="DI38"/>
          <cell r="DJ38" t="e">
            <v>#REF!</v>
          </cell>
          <cell r="DK38"/>
          <cell r="DL38"/>
          <cell r="DM38"/>
          <cell r="DN38"/>
          <cell r="DO38" t="str">
            <v>32</v>
          </cell>
          <cell r="DP38"/>
        </row>
        <row r="39">
          <cell r="B39" t="str">
            <v>33</v>
          </cell>
          <cell r="C39"/>
          <cell r="D39" t="str">
            <v>Employee Training</v>
          </cell>
          <cell r="E39"/>
          <cell r="F39"/>
          <cell r="G39"/>
          <cell r="H39"/>
          <cell r="I39"/>
          <cell r="J39"/>
          <cell r="K39"/>
          <cell r="L39"/>
          <cell r="M39" t="str">
            <v>0420</v>
          </cell>
          <cell r="N39">
            <v>2831</v>
          </cell>
          <cell r="O39"/>
          <cell r="P39"/>
          <cell r="Q39"/>
          <cell r="R39"/>
          <cell r="S39"/>
          <cell r="T39" t="e">
            <v>#REF!</v>
          </cell>
          <cell r="U39"/>
          <cell r="V39"/>
          <cell r="W39"/>
          <cell r="X39"/>
          <cell r="Y39">
            <v>30178</v>
          </cell>
          <cell r="Z39"/>
          <cell r="AA39"/>
          <cell r="AB39"/>
          <cell r="AC39"/>
          <cell r="AD39"/>
          <cell r="AE39" t="e">
            <v>#REF!</v>
          </cell>
          <cell r="AF39"/>
          <cell r="AG39"/>
          <cell r="AH39"/>
          <cell r="AI39"/>
          <cell r="AJ39">
            <v>0</v>
          </cell>
          <cell r="AK39"/>
          <cell r="AL39" t="e">
            <v>#REF!</v>
          </cell>
          <cell r="AM39"/>
          <cell r="AN39"/>
          <cell r="AO39"/>
          <cell r="AP39"/>
          <cell r="AQ39">
            <v>865</v>
          </cell>
          <cell r="AR39"/>
          <cell r="AS39"/>
          <cell r="AT39"/>
          <cell r="AU39"/>
          <cell r="AV39"/>
          <cell r="AW39"/>
          <cell r="AX39"/>
          <cell r="AY39"/>
          <cell r="AZ39"/>
          <cell r="BA39"/>
          <cell r="BB39" t="e">
            <v>#REF!</v>
          </cell>
          <cell r="BC39"/>
          <cell r="BD39"/>
          <cell r="BE39"/>
          <cell r="BF39"/>
          <cell r="BG39">
            <v>7031</v>
          </cell>
          <cell r="BH39"/>
          <cell r="BI39"/>
          <cell r="BJ39"/>
          <cell r="BK39"/>
          <cell r="BL39"/>
          <cell r="BM39"/>
          <cell r="BN39"/>
          <cell r="BO39"/>
          <cell r="BP39"/>
          <cell r="BQ39"/>
          <cell r="BR39" t="e">
            <v>#REF!</v>
          </cell>
          <cell r="BS39"/>
          <cell r="BT39"/>
          <cell r="BU39"/>
          <cell r="BV39"/>
          <cell r="BW39">
            <v>777</v>
          </cell>
          <cell r="BX39"/>
          <cell r="BY39"/>
          <cell r="BZ39"/>
          <cell r="CA39"/>
          <cell r="CB39"/>
          <cell r="CC39"/>
          <cell r="CD39"/>
          <cell r="CE39"/>
          <cell r="CF39"/>
          <cell r="CG39"/>
          <cell r="CH39"/>
          <cell r="CI39"/>
          <cell r="CJ39"/>
          <cell r="CK39"/>
          <cell r="CL39"/>
          <cell r="CM39" t="e">
            <v>#REF!</v>
          </cell>
          <cell r="CN39"/>
          <cell r="CO39"/>
          <cell r="CP39"/>
          <cell r="CQ39"/>
          <cell r="CR39">
            <v>6160</v>
          </cell>
          <cell r="CS39"/>
          <cell r="CT39"/>
          <cell r="CU39"/>
          <cell r="CV39"/>
          <cell r="CW39"/>
          <cell r="CX39"/>
          <cell r="CY39"/>
          <cell r="CZ39"/>
          <cell r="DA39"/>
          <cell r="DB39"/>
          <cell r="DC39"/>
          <cell r="DD39"/>
          <cell r="DE39"/>
          <cell r="DF39"/>
          <cell r="DG39"/>
          <cell r="DH39"/>
          <cell r="DI39"/>
          <cell r="DJ39" t="e">
            <v>#REF!</v>
          </cell>
          <cell r="DK39"/>
          <cell r="DL39"/>
          <cell r="DM39"/>
          <cell r="DN39"/>
          <cell r="DO39" t="str">
            <v>33</v>
          </cell>
          <cell r="DP39"/>
        </row>
        <row r="40">
          <cell r="B40" t="str">
            <v>34</v>
          </cell>
          <cell r="C40"/>
          <cell r="D40" t="str">
            <v>Bad Debts</v>
          </cell>
          <cell r="E40"/>
          <cell r="F40"/>
          <cell r="G40"/>
          <cell r="H40"/>
          <cell r="I40"/>
          <cell r="J40"/>
          <cell r="K40"/>
          <cell r="L40"/>
          <cell r="M40" t="str">
            <v>0430</v>
          </cell>
          <cell r="N40">
            <v>0</v>
          </cell>
          <cell r="O40"/>
          <cell r="P40"/>
          <cell r="Q40"/>
          <cell r="R40"/>
          <cell r="S40"/>
          <cell r="T40" t="e">
            <v>#REF!</v>
          </cell>
          <cell r="U40"/>
          <cell r="V40"/>
          <cell r="W40"/>
          <cell r="X40"/>
          <cell r="Y40">
            <v>0</v>
          </cell>
          <cell r="Z40"/>
          <cell r="AA40"/>
          <cell r="AB40"/>
          <cell r="AC40"/>
          <cell r="AD40"/>
          <cell r="AE40" t="e">
            <v>#REF!</v>
          </cell>
          <cell r="AF40"/>
          <cell r="AG40"/>
          <cell r="AH40"/>
          <cell r="AI40"/>
          <cell r="AJ40">
            <v>0</v>
          </cell>
          <cell r="AK40"/>
          <cell r="AL40" t="e">
            <v>#REF!</v>
          </cell>
          <cell r="AM40"/>
          <cell r="AN40"/>
          <cell r="AO40"/>
          <cell r="AP40"/>
          <cell r="AQ40">
            <v>0</v>
          </cell>
          <cell r="AR40"/>
          <cell r="AS40"/>
          <cell r="AT40"/>
          <cell r="AU40"/>
          <cell r="AV40"/>
          <cell r="AW40"/>
          <cell r="AX40"/>
          <cell r="AY40"/>
          <cell r="AZ40"/>
          <cell r="BA40"/>
          <cell r="BB40" t="e">
            <v>#REF!</v>
          </cell>
          <cell r="BC40"/>
          <cell r="BD40"/>
          <cell r="BE40"/>
          <cell r="BF40"/>
          <cell r="BG40">
            <v>0</v>
          </cell>
          <cell r="BH40"/>
          <cell r="BI40"/>
          <cell r="BJ40"/>
          <cell r="BK40"/>
          <cell r="BL40"/>
          <cell r="BM40"/>
          <cell r="BN40"/>
          <cell r="BO40"/>
          <cell r="BP40"/>
          <cell r="BQ40"/>
          <cell r="BR40" t="e">
            <v>#REF!</v>
          </cell>
          <cell r="BS40"/>
          <cell r="BT40"/>
          <cell r="BU40"/>
          <cell r="BV40"/>
          <cell r="BW40">
            <v>0</v>
          </cell>
          <cell r="BX40"/>
          <cell r="BY40"/>
          <cell r="BZ40"/>
          <cell r="CA40"/>
          <cell r="CB40"/>
          <cell r="CC40"/>
          <cell r="CD40"/>
          <cell r="CE40"/>
          <cell r="CF40"/>
          <cell r="CG40"/>
          <cell r="CH40"/>
          <cell r="CI40"/>
          <cell r="CJ40"/>
          <cell r="CK40"/>
          <cell r="CL40"/>
          <cell r="CM40" t="e">
            <v>#REF!</v>
          </cell>
          <cell r="CN40"/>
          <cell r="CO40"/>
          <cell r="CP40"/>
          <cell r="CQ40"/>
          <cell r="CR40">
            <v>0</v>
          </cell>
          <cell r="CS40"/>
          <cell r="CT40"/>
          <cell r="CU40"/>
          <cell r="CV40"/>
          <cell r="CW40"/>
          <cell r="CX40"/>
          <cell r="CY40"/>
          <cell r="CZ40"/>
          <cell r="DA40"/>
          <cell r="DB40"/>
          <cell r="DC40"/>
          <cell r="DD40"/>
          <cell r="DE40"/>
          <cell r="DF40"/>
          <cell r="DG40"/>
          <cell r="DH40"/>
          <cell r="DI40"/>
          <cell r="DJ40" t="e">
            <v>#REF!</v>
          </cell>
          <cell r="DK40"/>
          <cell r="DL40"/>
          <cell r="DM40"/>
          <cell r="DN40"/>
          <cell r="DO40" t="str">
            <v>34</v>
          </cell>
          <cell r="DP40"/>
        </row>
        <row r="41">
          <cell r="B41" t="str">
            <v>35</v>
          </cell>
          <cell r="C41"/>
          <cell r="D41" t="str">
            <v>Postage &amp; Misc.</v>
          </cell>
          <cell r="E41"/>
          <cell r="F41"/>
          <cell r="G41"/>
          <cell r="H41"/>
          <cell r="I41"/>
          <cell r="J41"/>
          <cell r="K41"/>
          <cell r="L41"/>
          <cell r="M41" t="str">
            <v>0440</v>
          </cell>
          <cell r="N41">
            <v>4071</v>
          </cell>
          <cell r="O41"/>
          <cell r="P41"/>
          <cell r="Q41"/>
          <cell r="R41"/>
          <cell r="S41"/>
          <cell r="T41" t="e">
            <v>#REF!</v>
          </cell>
          <cell r="U41"/>
          <cell r="V41"/>
          <cell r="W41"/>
          <cell r="X41"/>
          <cell r="Y41">
            <v>54974</v>
          </cell>
          <cell r="Z41"/>
          <cell r="AA41"/>
          <cell r="AB41"/>
          <cell r="AC41"/>
          <cell r="AD41"/>
          <cell r="AE41" t="e">
            <v>#REF!</v>
          </cell>
          <cell r="AF41"/>
          <cell r="AG41"/>
          <cell r="AH41"/>
          <cell r="AI41"/>
          <cell r="AJ41">
            <v>0.1</v>
          </cell>
          <cell r="AK41"/>
          <cell r="AL41" t="e">
            <v>#REF!</v>
          </cell>
          <cell r="AM41"/>
          <cell r="AN41"/>
          <cell r="AO41"/>
          <cell r="AP41"/>
          <cell r="AQ41">
            <v>1844</v>
          </cell>
          <cell r="AR41"/>
          <cell r="AS41"/>
          <cell r="AT41"/>
          <cell r="AU41"/>
          <cell r="AV41"/>
          <cell r="AW41"/>
          <cell r="AX41"/>
          <cell r="AY41"/>
          <cell r="AZ41"/>
          <cell r="BA41"/>
          <cell r="BB41" t="e">
            <v>#REF!</v>
          </cell>
          <cell r="BC41"/>
          <cell r="BD41"/>
          <cell r="BE41"/>
          <cell r="BF41"/>
          <cell r="BG41">
            <v>24548</v>
          </cell>
          <cell r="BH41"/>
          <cell r="BI41"/>
          <cell r="BJ41"/>
          <cell r="BK41"/>
          <cell r="BL41"/>
          <cell r="BM41"/>
          <cell r="BN41"/>
          <cell r="BO41"/>
          <cell r="BP41"/>
          <cell r="BQ41"/>
          <cell r="BR41" t="e">
            <v>#REF!</v>
          </cell>
          <cell r="BS41"/>
          <cell r="BT41"/>
          <cell r="BU41"/>
          <cell r="BV41"/>
          <cell r="BW41">
            <v>1819</v>
          </cell>
          <cell r="BX41"/>
          <cell r="BY41"/>
          <cell r="BZ41"/>
          <cell r="CA41"/>
          <cell r="CB41"/>
          <cell r="CC41"/>
          <cell r="CD41"/>
          <cell r="CE41"/>
          <cell r="CF41"/>
          <cell r="CG41"/>
          <cell r="CH41"/>
          <cell r="CI41"/>
          <cell r="CJ41"/>
          <cell r="CK41"/>
          <cell r="CL41"/>
          <cell r="CM41" t="e">
            <v>#REF!</v>
          </cell>
          <cell r="CN41"/>
          <cell r="CO41"/>
          <cell r="CP41"/>
          <cell r="CQ41"/>
          <cell r="CR41">
            <v>23977</v>
          </cell>
          <cell r="CS41"/>
          <cell r="CT41"/>
          <cell r="CU41"/>
          <cell r="CV41"/>
          <cell r="CW41"/>
          <cell r="CX41"/>
          <cell r="CY41"/>
          <cell r="CZ41"/>
          <cell r="DA41"/>
          <cell r="DB41"/>
          <cell r="DC41"/>
          <cell r="DD41"/>
          <cell r="DE41"/>
          <cell r="DF41"/>
          <cell r="DG41"/>
          <cell r="DH41"/>
          <cell r="DI41"/>
          <cell r="DJ41" t="e">
            <v>#REF!</v>
          </cell>
          <cell r="DK41"/>
          <cell r="DL41"/>
          <cell r="DM41"/>
          <cell r="DN41"/>
          <cell r="DO41" t="str">
            <v>35</v>
          </cell>
          <cell r="DP41"/>
        </row>
        <row r="42">
          <cell r="B42" t="str">
            <v>36</v>
          </cell>
          <cell r="C42"/>
          <cell r="D42" t="str">
            <v>Dues, Subscriptions, Memberships &amp; Contributions</v>
          </cell>
          <cell r="E42"/>
          <cell r="F42"/>
          <cell r="G42"/>
          <cell r="H42"/>
          <cell r="I42"/>
          <cell r="J42"/>
          <cell r="K42"/>
          <cell r="L42"/>
          <cell r="M42" t="str">
            <v>0480</v>
          </cell>
          <cell r="N42">
            <v>1394</v>
          </cell>
          <cell r="O42"/>
          <cell r="P42"/>
          <cell r="Q42"/>
          <cell r="R42"/>
          <cell r="S42"/>
          <cell r="T42" t="e">
            <v>#REF!</v>
          </cell>
          <cell r="U42"/>
          <cell r="V42"/>
          <cell r="W42"/>
          <cell r="X42"/>
          <cell r="Y42">
            <v>27377</v>
          </cell>
          <cell r="Z42"/>
          <cell r="AA42"/>
          <cell r="AB42"/>
          <cell r="AC42"/>
          <cell r="AD42"/>
          <cell r="AE42" t="e">
            <v>#REF!</v>
          </cell>
          <cell r="AF42"/>
          <cell r="AG42"/>
          <cell r="AH42"/>
          <cell r="AI42"/>
          <cell r="AJ42">
            <v>0</v>
          </cell>
          <cell r="AK42"/>
          <cell r="AL42" t="e">
            <v>#REF!</v>
          </cell>
          <cell r="AM42"/>
          <cell r="AN42"/>
          <cell r="AO42"/>
          <cell r="AP42"/>
          <cell r="AQ42">
            <v>440</v>
          </cell>
          <cell r="AR42"/>
          <cell r="AS42"/>
          <cell r="AT42"/>
          <cell r="AU42"/>
          <cell r="AV42"/>
          <cell r="AW42"/>
          <cell r="AX42"/>
          <cell r="AY42"/>
          <cell r="AZ42"/>
          <cell r="BA42"/>
          <cell r="BB42" t="e">
            <v>#REF!</v>
          </cell>
          <cell r="BC42"/>
          <cell r="BD42"/>
          <cell r="BE42"/>
          <cell r="BF42"/>
          <cell r="BG42">
            <v>9061</v>
          </cell>
          <cell r="BH42"/>
          <cell r="BI42"/>
          <cell r="BJ42"/>
          <cell r="BK42"/>
          <cell r="BL42"/>
          <cell r="BM42"/>
          <cell r="BN42"/>
          <cell r="BO42"/>
          <cell r="BP42"/>
          <cell r="BQ42"/>
          <cell r="BR42" t="e">
            <v>#REF!</v>
          </cell>
          <cell r="BS42"/>
          <cell r="BT42"/>
          <cell r="BU42"/>
          <cell r="BV42"/>
          <cell r="BW42">
            <v>374</v>
          </cell>
          <cell r="BX42"/>
          <cell r="BY42"/>
          <cell r="BZ42"/>
          <cell r="CA42"/>
          <cell r="CB42"/>
          <cell r="CC42"/>
          <cell r="CD42"/>
          <cell r="CE42"/>
          <cell r="CF42"/>
          <cell r="CG42"/>
          <cell r="CH42"/>
          <cell r="CI42"/>
          <cell r="CJ42"/>
          <cell r="CK42"/>
          <cell r="CL42"/>
          <cell r="CM42" t="e">
            <v>#REF!</v>
          </cell>
          <cell r="CN42"/>
          <cell r="CO42"/>
          <cell r="CP42"/>
          <cell r="CQ42"/>
          <cell r="CR42">
            <v>8172</v>
          </cell>
          <cell r="CS42"/>
          <cell r="CT42"/>
          <cell r="CU42"/>
          <cell r="CV42"/>
          <cell r="CW42"/>
          <cell r="CX42"/>
          <cell r="CY42"/>
          <cell r="CZ42"/>
          <cell r="DA42"/>
          <cell r="DB42"/>
          <cell r="DC42"/>
          <cell r="DD42"/>
          <cell r="DE42"/>
          <cell r="DF42"/>
          <cell r="DG42"/>
          <cell r="DH42"/>
          <cell r="DI42"/>
          <cell r="DJ42" t="e">
            <v>#REF!</v>
          </cell>
          <cell r="DK42"/>
          <cell r="DL42"/>
          <cell r="DM42"/>
          <cell r="DN42"/>
          <cell r="DO42" t="str">
            <v>36</v>
          </cell>
          <cell r="DP42"/>
        </row>
        <row r="43">
          <cell r="B43" t="str">
            <v>37</v>
          </cell>
          <cell r="C43"/>
          <cell r="D43" t="str">
            <v>TOTAL SEMI-FIXED EXPENSE GROUP</v>
          </cell>
          <cell r="E43"/>
          <cell r="F43"/>
          <cell r="G43"/>
          <cell r="H43"/>
          <cell r="I43"/>
          <cell r="J43"/>
          <cell r="K43"/>
          <cell r="L43" t="str">
            <v xml:space="preserve">(Lines 23 to 36) </v>
          </cell>
          <cell r="M43"/>
          <cell r="N43">
            <v>84617</v>
          </cell>
          <cell r="O43"/>
          <cell r="P43"/>
          <cell r="Q43"/>
          <cell r="R43"/>
          <cell r="S43"/>
          <cell r="T43" t="e">
            <v>#REF!</v>
          </cell>
          <cell r="U43"/>
          <cell r="V43"/>
          <cell r="W43"/>
          <cell r="X43"/>
          <cell r="Y43">
            <v>989492</v>
          </cell>
          <cell r="Z43"/>
          <cell r="AA43"/>
          <cell r="AB43"/>
          <cell r="AC43"/>
          <cell r="AD43"/>
          <cell r="AE43" t="e">
            <v>#REF!</v>
          </cell>
          <cell r="AF43"/>
          <cell r="AG43"/>
          <cell r="AH43"/>
          <cell r="AI43"/>
          <cell r="AJ43">
            <v>1.3</v>
          </cell>
          <cell r="AK43"/>
          <cell r="AL43" t="e">
            <v>#REF!</v>
          </cell>
          <cell r="AM43"/>
          <cell r="AN43"/>
          <cell r="AO43"/>
          <cell r="AP43"/>
          <cell r="AQ43">
            <v>31972</v>
          </cell>
          <cell r="AR43"/>
          <cell r="AS43"/>
          <cell r="AT43"/>
          <cell r="AU43"/>
          <cell r="AV43"/>
          <cell r="AW43"/>
          <cell r="AX43"/>
          <cell r="AY43"/>
          <cell r="AZ43"/>
          <cell r="BA43"/>
          <cell r="BB43" t="e">
            <v>#REF!</v>
          </cell>
          <cell r="BC43"/>
          <cell r="BD43"/>
          <cell r="BE43"/>
          <cell r="BF43"/>
          <cell r="BG43">
            <v>370735</v>
          </cell>
          <cell r="BH43"/>
          <cell r="BI43"/>
          <cell r="BJ43"/>
          <cell r="BK43"/>
          <cell r="BL43"/>
          <cell r="BM43"/>
          <cell r="BN43"/>
          <cell r="BO43"/>
          <cell r="BP43"/>
          <cell r="BQ43"/>
          <cell r="BR43" t="e">
            <v>#REF!</v>
          </cell>
          <cell r="BS43"/>
          <cell r="BT43"/>
          <cell r="BU43"/>
          <cell r="BV43"/>
          <cell r="BW43">
            <v>28116</v>
          </cell>
          <cell r="BX43"/>
          <cell r="BY43"/>
          <cell r="BZ43"/>
          <cell r="CA43"/>
          <cell r="CB43"/>
          <cell r="CC43"/>
          <cell r="CD43"/>
          <cell r="CE43"/>
          <cell r="CF43"/>
          <cell r="CG43"/>
          <cell r="CH43"/>
          <cell r="CI43"/>
          <cell r="CJ43"/>
          <cell r="CK43"/>
          <cell r="CL43"/>
          <cell r="CM43" t="e">
            <v>#REF!</v>
          </cell>
          <cell r="CN43"/>
          <cell r="CO43"/>
          <cell r="CP43"/>
          <cell r="CQ43"/>
          <cell r="CR43">
            <v>372544</v>
          </cell>
          <cell r="CS43"/>
          <cell r="CT43"/>
          <cell r="CU43"/>
          <cell r="CV43"/>
          <cell r="CW43"/>
          <cell r="CX43"/>
          <cell r="CY43"/>
          <cell r="CZ43"/>
          <cell r="DA43"/>
          <cell r="DB43"/>
          <cell r="DC43"/>
          <cell r="DD43"/>
          <cell r="DE43"/>
          <cell r="DF43"/>
          <cell r="DG43"/>
          <cell r="DH43"/>
          <cell r="DI43"/>
          <cell r="DJ43" t="e">
            <v>#REF!</v>
          </cell>
          <cell r="DK43"/>
          <cell r="DL43"/>
          <cell r="DM43"/>
          <cell r="DN43"/>
          <cell r="DO43" t="str">
            <v>37</v>
          </cell>
          <cell r="DP43"/>
        </row>
        <row r="44">
          <cell r="B44" t="str">
            <v>38</v>
          </cell>
          <cell r="C44"/>
          <cell r="D44" t="str">
            <v>Rent and Interest - Real Estate Mortgages</v>
          </cell>
          <cell r="E44"/>
          <cell r="F44"/>
          <cell r="G44"/>
          <cell r="H44"/>
          <cell r="I44"/>
          <cell r="J44"/>
          <cell r="K44"/>
          <cell r="L44"/>
          <cell r="M44" t="str">
            <v>0500</v>
          </cell>
          <cell r="N44">
            <v>56500</v>
          </cell>
          <cell r="O44"/>
          <cell r="P44"/>
          <cell r="Q44"/>
          <cell r="R44"/>
          <cell r="S44"/>
          <cell r="T44" t="e">
            <v>#REF!</v>
          </cell>
          <cell r="U44"/>
          <cell r="V44"/>
          <cell r="W44"/>
          <cell r="X44"/>
          <cell r="Y44">
            <v>683500</v>
          </cell>
          <cell r="Z44"/>
          <cell r="AA44"/>
          <cell r="AB44"/>
          <cell r="AC44"/>
          <cell r="AD44"/>
          <cell r="AE44" t="e">
            <v>#REF!</v>
          </cell>
          <cell r="AF44"/>
          <cell r="AG44"/>
          <cell r="AH44"/>
          <cell r="AI44"/>
          <cell r="AJ44">
            <v>0.9</v>
          </cell>
          <cell r="AK44"/>
          <cell r="AL44" t="e">
            <v>#REF!</v>
          </cell>
          <cell r="AM44"/>
          <cell r="AN44"/>
          <cell r="AO44"/>
          <cell r="AP44"/>
          <cell r="AQ44">
            <v>19775</v>
          </cell>
          <cell r="AR44"/>
          <cell r="AS44"/>
          <cell r="AT44"/>
          <cell r="AU44"/>
          <cell r="AV44"/>
          <cell r="AW44"/>
          <cell r="AX44"/>
          <cell r="AY44"/>
          <cell r="AZ44"/>
          <cell r="BA44"/>
          <cell r="BB44" t="e">
            <v>#REF!</v>
          </cell>
          <cell r="BC44"/>
          <cell r="BD44"/>
          <cell r="BE44"/>
          <cell r="BF44"/>
          <cell r="BG44">
            <v>239225</v>
          </cell>
          <cell r="BH44"/>
          <cell r="BI44"/>
          <cell r="BJ44"/>
          <cell r="BK44"/>
          <cell r="BL44"/>
          <cell r="BM44"/>
          <cell r="BN44"/>
          <cell r="BO44"/>
          <cell r="BP44"/>
          <cell r="BQ44"/>
          <cell r="BR44" t="e">
            <v>#REF!</v>
          </cell>
          <cell r="BS44"/>
          <cell r="BT44"/>
          <cell r="BU44"/>
          <cell r="BV44"/>
          <cell r="BW44">
            <v>16950</v>
          </cell>
          <cell r="BX44"/>
          <cell r="BY44"/>
          <cell r="BZ44"/>
          <cell r="CA44"/>
          <cell r="CB44"/>
          <cell r="CC44"/>
          <cell r="CD44"/>
          <cell r="CE44"/>
          <cell r="CF44"/>
          <cell r="CG44"/>
          <cell r="CH44"/>
          <cell r="CI44"/>
          <cell r="CJ44"/>
          <cell r="CK44"/>
          <cell r="CL44"/>
          <cell r="CM44" t="e">
            <v>#REF!</v>
          </cell>
          <cell r="CN44"/>
          <cell r="CO44"/>
          <cell r="CP44"/>
          <cell r="CQ44"/>
          <cell r="CR44">
            <v>205050</v>
          </cell>
          <cell r="CS44"/>
          <cell r="CT44"/>
          <cell r="CU44"/>
          <cell r="CV44"/>
          <cell r="CW44"/>
          <cell r="CX44"/>
          <cell r="CY44"/>
          <cell r="CZ44"/>
          <cell r="DA44"/>
          <cell r="DB44"/>
          <cell r="DC44"/>
          <cell r="DD44"/>
          <cell r="DE44"/>
          <cell r="DF44"/>
          <cell r="DG44"/>
          <cell r="DH44"/>
          <cell r="DI44"/>
          <cell r="DJ44" t="e">
            <v>#REF!</v>
          </cell>
          <cell r="DK44"/>
          <cell r="DL44"/>
          <cell r="DM44"/>
          <cell r="DN44"/>
          <cell r="DO44" t="str">
            <v>38</v>
          </cell>
          <cell r="DP44"/>
        </row>
        <row r="45">
          <cell r="B45" t="str">
            <v>39</v>
          </cell>
          <cell r="C45"/>
          <cell r="D45" t="str">
            <v>Amortization - Leaseholds</v>
          </cell>
          <cell r="E45"/>
          <cell r="F45"/>
          <cell r="G45"/>
          <cell r="H45"/>
          <cell r="I45"/>
          <cell r="J45"/>
          <cell r="K45"/>
          <cell r="L45"/>
          <cell r="M45" t="str">
            <v>0510</v>
          </cell>
          <cell r="N45">
            <v>-382</v>
          </cell>
          <cell r="O45"/>
          <cell r="P45"/>
          <cell r="Q45"/>
          <cell r="R45"/>
          <cell r="S45"/>
          <cell r="T45" t="e">
            <v>#REF!</v>
          </cell>
          <cell r="U45"/>
          <cell r="V45"/>
          <cell r="W45"/>
          <cell r="X45"/>
          <cell r="Y45">
            <v>2896</v>
          </cell>
          <cell r="Z45"/>
          <cell r="AA45"/>
          <cell r="AB45"/>
          <cell r="AC45"/>
          <cell r="AD45"/>
          <cell r="AE45" t="e">
            <v>#REF!</v>
          </cell>
          <cell r="AF45"/>
          <cell r="AG45"/>
          <cell r="AH45"/>
          <cell r="AI45"/>
          <cell r="AJ45">
            <v>0</v>
          </cell>
          <cell r="AK45"/>
          <cell r="AL45" t="e">
            <v>#REF!</v>
          </cell>
          <cell r="AM45"/>
          <cell r="AN45"/>
          <cell r="AO45"/>
          <cell r="AP45"/>
          <cell r="AQ45">
            <v>-134</v>
          </cell>
          <cell r="AR45"/>
          <cell r="AS45"/>
          <cell r="AT45"/>
          <cell r="AU45"/>
          <cell r="AV45"/>
          <cell r="AW45"/>
          <cell r="AX45"/>
          <cell r="AY45"/>
          <cell r="AZ45"/>
          <cell r="BA45"/>
          <cell r="BB45" t="e">
            <v>#REF!</v>
          </cell>
          <cell r="BC45"/>
          <cell r="BD45"/>
          <cell r="BE45"/>
          <cell r="BF45"/>
          <cell r="BG45">
            <v>1014</v>
          </cell>
          <cell r="BH45"/>
          <cell r="BI45"/>
          <cell r="BJ45"/>
          <cell r="BK45"/>
          <cell r="BL45"/>
          <cell r="BM45"/>
          <cell r="BN45"/>
          <cell r="BO45"/>
          <cell r="BP45"/>
          <cell r="BQ45"/>
          <cell r="BR45" t="e">
            <v>#REF!</v>
          </cell>
          <cell r="BS45"/>
          <cell r="BT45"/>
          <cell r="BU45"/>
          <cell r="BV45"/>
          <cell r="BW45">
            <v>-76</v>
          </cell>
          <cell r="BX45"/>
          <cell r="BY45"/>
          <cell r="BZ45"/>
          <cell r="CA45"/>
          <cell r="CB45"/>
          <cell r="CC45"/>
          <cell r="CD45"/>
          <cell r="CE45"/>
          <cell r="CF45"/>
          <cell r="CG45"/>
          <cell r="CH45"/>
          <cell r="CI45"/>
          <cell r="CJ45"/>
          <cell r="CK45"/>
          <cell r="CL45"/>
          <cell r="CM45" t="e">
            <v>#REF!</v>
          </cell>
          <cell r="CN45"/>
          <cell r="CO45"/>
          <cell r="CP45"/>
          <cell r="CQ45"/>
          <cell r="CR45">
            <v>579</v>
          </cell>
          <cell r="CS45"/>
          <cell r="CT45"/>
          <cell r="CU45"/>
          <cell r="CV45"/>
          <cell r="CW45"/>
          <cell r="CX45"/>
          <cell r="CY45"/>
          <cell r="CZ45"/>
          <cell r="DA45"/>
          <cell r="DB45"/>
          <cell r="DC45"/>
          <cell r="DD45"/>
          <cell r="DE45"/>
          <cell r="DF45"/>
          <cell r="DG45"/>
          <cell r="DH45"/>
          <cell r="DI45"/>
          <cell r="DJ45" t="e">
            <v>#REF!</v>
          </cell>
          <cell r="DK45"/>
          <cell r="DL45"/>
          <cell r="DM45"/>
          <cell r="DN45"/>
          <cell r="DO45" t="str">
            <v>39</v>
          </cell>
          <cell r="DP45"/>
        </row>
        <row r="46">
          <cell r="B46" t="str">
            <v>40</v>
          </cell>
          <cell r="C46"/>
          <cell r="D46" t="str">
            <v>Repair &amp; Maintenance - Real Estate</v>
          </cell>
          <cell r="E46"/>
          <cell r="F46"/>
          <cell r="G46"/>
          <cell r="H46"/>
          <cell r="I46"/>
          <cell r="J46"/>
          <cell r="K46"/>
          <cell r="L46"/>
          <cell r="M46" t="str">
            <v>0520</v>
          </cell>
          <cell r="N46">
            <v>0</v>
          </cell>
          <cell r="O46"/>
          <cell r="P46"/>
          <cell r="Q46"/>
          <cell r="R46"/>
          <cell r="S46"/>
          <cell r="T46" t="e">
            <v>#REF!</v>
          </cell>
          <cell r="U46"/>
          <cell r="V46"/>
          <cell r="W46"/>
          <cell r="X46"/>
          <cell r="Y46">
            <v>16350</v>
          </cell>
          <cell r="Z46"/>
          <cell r="AA46"/>
          <cell r="AB46"/>
          <cell r="AC46"/>
          <cell r="AD46"/>
          <cell r="AE46" t="e">
            <v>#REF!</v>
          </cell>
          <cell r="AF46"/>
          <cell r="AG46"/>
          <cell r="AH46"/>
          <cell r="AI46"/>
          <cell r="AJ46">
            <v>0</v>
          </cell>
          <cell r="AK46"/>
          <cell r="AL46" t="e">
            <v>#REF!</v>
          </cell>
          <cell r="AM46"/>
          <cell r="AN46"/>
          <cell r="AO46"/>
          <cell r="AP46"/>
          <cell r="AQ46">
            <v>0</v>
          </cell>
          <cell r="AR46"/>
          <cell r="AS46"/>
          <cell r="AT46"/>
          <cell r="AU46"/>
          <cell r="AV46"/>
          <cell r="AW46"/>
          <cell r="AX46"/>
          <cell r="AY46"/>
          <cell r="AZ46"/>
          <cell r="BA46"/>
          <cell r="BB46" t="e">
            <v>#REF!</v>
          </cell>
          <cell r="BC46"/>
          <cell r="BD46"/>
          <cell r="BE46"/>
          <cell r="BF46"/>
          <cell r="BG46">
            <v>2573</v>
          </cell>
          <cell r="BH46"/>
          <cell r="BI46"/>
          <cell r="BJ46"/>
          <cell r="BK46"/>
          <cell r="BL46"/>
          <cell r="BM46"/>
          <cell r="BN46"/>
          <cell r="BO46"/>
          <cell r="BP46"/>
          <cell r="BQ46"/>
          <cell r="BR46" t="e">
            <v>#REF!</v>
          </cell>
          <cell r="BS46"/>
          <cell r="BT46"/>
          <cell r="BU46"/>
          <cell r="BV46"/>
          <cell r="BW46">
            <v>0</v>
          </cell>
          <cell r="BX46"/>
          <cell r="BY46"/>
          <cell r="BZ46"/>
          <cell r="CA46"/>
          <cell r="CB46"/>
          <cell r="CC46"/>
          <cell r="CD46"/>
          <cell r="CE46"/>
          <cell r="CF46"/>
          <cell r="CG46"/>
          <cell r="CH46"/>
          <cell r="CI46"/>
          <cell r="CJ46"/>
          <cell r="CK46"/>
          <cell r="CL46"/>
          <cell r="CM46" t="e">
            <v>#REF!</v>
          </cell>
          <cell r="CN46"/>
          <cell r="CO46"/>
          <cell r="CP46"/>
          <cell r="CQ46"/>
          <cell r="CR46">
            <v>2412</v>
          </cell>
          <cell r="CS46"/>
          <cell r="CT46"/>
          <cell r="CU46"/>
          <cell r="CV46"/>
          <cell r="CW46"/>
          <cell r="CX46"/>
          <cell r="CY46"/>
          <cell r="CZ46"/>
          <cell r="DA46"/>
          <cell r="DB46"/>
          <cell r="DC46"/>
          <cell r="DD46"/>
          <cell r="DE46"/>
          <cell r="DF46"/>
          <cell r="DG46"/>
          <cell r="DH46"/>
          <cell r="DI46"/>
          <cell r="DJ46" t="e">
            <v>#REF!</v>
          </cell>
          <cell r="DK46"/>
          <cell r="DL46"/>
          <cell r="DM46"/>
          <cell r="DN46"/>
          <cell r="DO46" t="str">
            <v>40</v>
          </cell>
          <cell r="DP46"/>
        </row>
        <row r="47">
          <cell r="B47" t="str">
            <v>41</v>
          </cell>
          <cell r="C47"/>
          <cell r="D47" t="str">
            <v>Depreciation - Buildings &amp; Improvements</v>
          </cell>
          <cell r="E47"/>
          <cell r="F47"/>
          <cell r="G47"/>
          <cell r="H47"/>
          <cell r="I47"/>
          <cell r="J47"/>
          <cell r="K47"/>
          <cell r="L47"/>
          <cell r="M47" t="str">
            <v>0530</v>
          </cell>
          <cell r="N47">
            <v>0</v>
          </cell>
          <cell r="O47"/>
          <cell r="P47"/>
          <cell r="Q47"/>
          <cell r="R47"/>
          <cell r="S47"/>
          <cell r="T47" t="e">
            <v>#REF!</v>
          </cell>
          <cell r="U47"/>
          <cell r="V47"/>
          <cell r="W47"/>
          <cell r="X47"/>
          <cell r="Y47">
            <v>0</v>
          </cell>
          <cell r="Z47"/>
          <cell r="AA47"/>
          <cell r="AB47"/>
          <cell r="AC47"/>
          <cell r="AD47"/>
          <cell r="AE47" t="e">
            <v>#REF!</v>
          </cell>
          <cell r="AF47"/>
          <cell r="AG47"/>
          <cell r="AH47"/>
          <cell r="AI47"/>
          <cell r="AJ47">
            <v>0</v>
          </cell>
          <cell r="AK47"/>
          <cell r="AL47" t="e">
            <v>#REF!</v>
          </cell>
          <cell r="AM47"/>
          <cell r="AN47"/>
          <cell r="AO47"/>
          <cell r="AP47"/>
          <cell r="AQ47">
            <v>0</v>
          </cell>
          <cell r="AR47"/>
          <cell r="AS47"/>
          <cell r="AT47"/>
          <cell r="AU47"/>
          <cell r="AV47"/>
          <cell r="AW47"/>
          <cell r="AX47"/>
          <cell r="AY47"/>
          <cell r="AZ47"/>
          <cell r="BA47"/>
          <cell r="BB47" t="e">
            <v>#REF!</v>
          </cell>
          <cell r="BC47"/>
          <cell r="BD47"/>
          <cell r="BE47"/>
          <cell r="BF47"/>
          <cell r="BG47">
            <v>0</v>
          </cell>
          <cell r="BH47"/>
          <cell r="BI47"/>
          <cell r="BJ47"/>
          <cell r="BK47"/>
          <cell r="BL47"/>
          <cell r="BM47"/>
          <cell r="BN47"/>
          <cell r="BO47"/>
          <cell r="BP47"/>
          <cell r="BQ47"/>
          <cell r="BR47" t="e">
            <v>#REF!</v>
          </cell>
          <cell r="BS47"/>
          <cell r="BT47"/>
          <cell r="BU47"/>
          <cell r="BV47"/>
          <cell r="BW47">
            <v>0</v>
          </cell>
          <cell r="BX47"/>
          <cell r="BY47"/>
          <cell r="BZ47"/>
          <cell r="CA47"/>
          <cell r="CB47"/>
          <cell r="CC47"/>
          <cell r="CD47"/>
          <cell r="CE47"/>
          <cell r="CF47"/>
          <cell r="CG47"/>
          <cell r="CH47"/>
          <cell r="CI47"/>
          <cell r="CJ47"/>
          <cell r="CK47"/>
          <cell r="CL47"/>
          <cell r="CM47" t="e">
            <v>#REF!</v>
          </cell>
          <cell r="CN47"/>
          <cell r="CO47"/>
          <cell r="CP47"/>
          <cell r="CQ47"/>
          <cell r="CR47">
            <v>0</v>
          </cell>
          <cell r="CS47"/>
          <cell r="CT47"/>
          <cell r="CU47"/>
          <cell r="CV47"/>
          <cell r="CW47"/>
          <cell r="CX47"/>
          <cell r="CY47"/>
          <cell r="CZ47"/>
          <cell r="DA47"/>
          <cell r="DB47"/>
          <cell r="DC47"/>
          <cell r="DD47"/>
          <cell r="DE47"/>
          <cell r="DF47"/>
          <cell r="DG47"/>
          <cell r="DH47"/>
          <cell r="DI47"/>
          <cell r="DJ47" t="e">
            <v>#REF!</v>
          </cell>
          <cell r="DK47"/>
          <cell r="DL47"/>
          <cell r="DM47"/>
          <cell r="DN47"/>
          <cell r="DO47" t="str">
            <v>41</v>
          </cell>
          <cell r="DP47"/>
        </row>
        <row r="48">
          <cell r="B48" t="str">
            <v>42</v>
          </cell>
          <cell r="C48"/>
          <cell r="D48" t="str">
            <v>Insurance - Buildings &amp; Improvements</v>
          </cell>
          <cell r="E48"/>
          <cell r="F48"/>
          <cell r="G48"/>
          <cell r="H48"/>
          <cell r="I48"/>
          <cell r="J48"/>
          <cell r="K48"/>
          <cell r="L48"/>
          <cell r="M48" t="str">
            <v>0540</v>
          </cell>
          <cell r="N48">
            <v>5732</v>
          </cell>
          <cell r="O48"/>
          <cell r="P48"/>
          <cell r="Q48"/>
          <cell r="R48"/>
          <cell r="S48"/>
          <cell r="T48" t="e">
            <v>#REF!</v>
          </cell>
          <cell r="U48"/>
          <cell r="V48"/>
          <cell r="W48"/>
          <cell r="X48"/>
          <cell r="Y48">
            <v>53358</v>
          </cell>
          <cell r="Z48"/>
          <cell r="AA48"/>
          <cell r="AB48"/>
          <cell r="AC48"/>
          <cell r="AD48"/>
          <cell r="AE48" t="e">
            <v>#REF!</v>
          </cell>
          <cell r="AF48"/>
          <cell r="AG48"/>
          <cell r="AH48"/>
          <cell r="AI48"/>
          <cell r="AJ48">
            <v>0.1</v>
          </cell>
          <cell r="AK48"/>
          <cell r="AL48" t="e">
            <v>#REF!</v>
          </cell>
          <cell r="AM48"/>
          <cell r="AN48"/>
          <cell r="AO48"/>
          <cell r="AP48"/>
          <cell r="AQ48">
            <v>2006</v>
          </cell>
          <cell r="AR48"/>
          <cell r="AS48"/>
          <cell r="AT48"/>
          <cell r="AU48"/>
          <cell r="AV48"/>
          <cell r="AW48"/>
          <cell r="AX48"/>
          <cell r="AY48"/>
          <cell r="AZ48"/>
          <cell r="BA48"/>
          <cell r="BB48" t="e">
            <v>#REF!</v>
          </cell>
          <cell r="BC48"/>
          <cell r="BD48"/>
          <cell r="BE48"/>
          <cell r="BF48"/>
          <cell r="BG48">
            <v>18675</v>
          </cell>
          <cell r="BH48"/>
          <cell r="BI48"/>
          <cell r="BJ48"/>
          <cell r="BK48"/>
          <cell r="BL48"/>
          <cell r="BM48"/>
          <cell r="BN48"/>
          <cell r="BO48"/>
          <cell r="BP48"/>
          <cell r="BQ48"/>
          <cell r="BR48" t="e">
            <v>#REF!</v>
          </cell>
          <cell r="BS48"/>
          <cell r="BT48"/>
          <cell r="BU48"/>
          <cell r="BV48"/>
          <cell r="BW48">
            <v>1720</v>
          </cell>
          <cell r="BX48"/>
          <cell r="BY48"/>
          <cell r="BZ48"/>
          <cell r="CA48"/>
          <cell r="CB48"/>
          <cell r="CC48"/>
          <cell r="CD48"/>
          <cell r="CE48"/>
          <cell r="CF48"/>
          <cell r="CG48"/>
          <cell r="CH48"/>
          <cell r="CI48"/>
          <cell r="CJ48"/>
          <cell r="CK48"/>
          <cell r="CL48"/>
          <cell r="CM48" t="e">
            <v>#REF!</v>
          </cell>
          <cell r="CN48"/>
          <cell r="CO48"/>
          <cell r="CP48"/>
          <cell r="CQ48"/>
          <cell r="CR48">
            <v>16007</v>
          </cell>
          <cell r="CS48"/>
          <cell r="CT48"/>
          <cell r="CU48"/>
          <cell r="CV48"/>
          <cell r="CW48"/>
          <cell r="CX48"/>
          <cell r="CY48"/>
          <cell r="CZ48"/>
          <cell r="DA48"/>
          <cell r="DB48"/>
          <cell r="DC48"/>
          <cell r="DD48"/>
          <cell r="DE48"/>
          <cell r="DF48"/>
          <cell r="DG48"/>
          <cell r="DH48"/>
          <cell r="DI48"/>
          <cell r="DJ48" t="e">
            <v>#REF!</v>
          </cell>
          <cell r="DK48"/>
          <cell r="DL48"/>
          <cell r="DM48"/>
          <cell r="DN48"/>
          <cell r="DO48" t="str">
            <v>42</v>
          </cell>
          <cell r="DP48"/>
        </row>
        <row r="49">
          <cell r="B49" t="str">
            <v>43</v>
          </cell>
          <cell r="C49"/>
          <cell r="D49" t="str">
            <v>Taxes - Real Estate</v>
          </cell>
          <cell r="E49"/>
          <cell r="F49"/>
          <cell r="G49"/>
          <cell r="H49"/>
          <cell r="I49"/>
          <cell r="J49"/>
          <cell r="K49"/>
          <cell r="L49"/>
          <cell r="M49" t="str">
            <v>0550</v>
          </cell>
          <cell r="N49">
            <v>3112</v>
          </cell>
          <cell r="O49"/>
          <cell r="P49"/>
          <cell r="Q49"/>
          <cell r="R49"/>
          <cell r="S49"/>
          <cell r="T49" t="e">
            <v>#REF!</v>
          </cell>
          <cell r="U49"/>
          <cell r="V49"/>
          <cell r="W49"/>
          <cell r="X49"/>
          <cell r="Y49">
            <v>26046</v>
          </cell>
          <cell r="Z49"/>
          <cell r="AA49"/>
          <cell r="AB49"/>
          <cell r="AC49"/>
          <cell r="AD49"/>
          <cell r="AE49" t="e">
            <v>#REF!</v>
          </cell>
          <cell r="AF49"/>
          <cell r="AG49"/>
          <cell r="AH49"/>
          <cell r="AI49"/>
          <cell r="AJ49">
            <v>0</v>
          </cell>
          <cell r="AK49"/>
          <cell r="AL49" t="e">
            <v>#REF!</v>
          </cell>
          <cell r="AM49"/>
          <cell r="AN49"/>
          <cell r="AO49"/>
          <cell r="AP49"/>
          <cell r="AQ49">
            <v>1301</v>
          </cell>
          <cell r="AR49"/>
          <cell r="AS49"/>
          <cell r="AT49"/>
          <cell r="AU49"/>
          <cell r="AV49"/>
          <cell r="AW49"/>
          <cell r="AX49"/>
          <cell r="AY49"/>
          <cell r="AZ49"/>
          <cell r="BA49"/>
          <cell r="BB49" t="e">
            <v>#REF!</v>
          </cell>
          <cell r="BC49"/>
          <cell r="BD49"/>
          <cell r="BE49"/>
          <cell r="BF49"/>
          <cell r="BG49">
            <v>9963</v>
          </cell>
          <cell r="BH49"/>
          <cell r="BI49"/>
          <cell r="BJ49"/>
          <cell r="BK49"/>
          <cell r="BL49"/>
          <cell r="BM49"/>
          <cell r="BN49"/>
          <cell r="BO49"/>
          <cell r="BP49"/>
          <cell r="BQ49"/>
          <cell r="BR49" t="e">
            <v>#REF!</v>
          </cell>
          <cell r="BS49"/>
          <cell r="BT49"/>
          <cell r="BU49"/>
          <cell r="BV49"/>
          <cell r="BW49">
            <v>1216</v>
          </cell>
          <cell r="BX49"/>
          <cell r="BY49"/>
          <cell r="BZ49"/>
          <cell r="CA49"/>
          <cell r="CB49"/>
          <cell r="CC49"/>
          <cell r="CD49"/>
          <cell r="CE49"/>
          <cell r="CF49"/>
          <cell r="CG49"/>
          <cell r="CH49"/>
          <cell r="CI49"/>
          <cell r="CJ49"/>
          <cell r="CK49"/>
          <cell r="CL49"/>
          <cell r="CM49" t="e">
            <v>#REF!</v>
          </cell>
          <cell r="CN49"/>
          <cell r="CO49"/>
          <cell r="CP49"/>
          <cell r="CQ49"/>
          <cell r="CR49">
            <v>8943</v>
          </cell>
          <cell r="CS49"/>
          <cell r="CT49"/>
          <cell r="CU49"/>
          <cell r="CV49"/>
          <cell r="CW49"/>
          <cell r="CX49"/>
          <cell r="CY49"/>
          <cell r="CZ49"/>
          <cell r="DA49"/>
          <cell r="DB49"/>
          <cell r="DC49"/>
          <cell r="DD49"/>
          <cell r="DE49"/>
          <cell r="DF49"/>
          <cell r="DG49"/>
          <cell r="DH49"/>
          <cell r="DI49"/>
          <cell r="DJ49" t="e">
            <v>#REF!</v>
          </cell>
          <cell r="DK49"/>
          <cell r="DL49"/>
          <cell r="DM49"/>
          <cell r="DN49"/>
          <cell r="DO49" t="str">
            <v>43</v>
          </cell>
          <cell r="DP49"/>
        </row>
        <row r="50">
          <cell r="B50" t="str">
            <v>44</v>
          </cell>
          <cell r="C50"/>
          <cell r="D50" t="str">
            <v>Heat, Light, Power &amp; Water</v>
          </cell>
          <cell r="E50"/>
          <cell r="F50"/>
          <cell r="G50"/>
          <cell r="H50"/>
          <cell r="I50"/>
          <cell r="J50"/>
          <cell r="K50"/>
          <cell r="L50"/>
          <cell r="M50" t="str">
            <v>0570</v>
          </cell>
          <cell r="N50">
            <v>6333</v>
          </cell>
          <cell r="O50"/>
          <cell r="P50"/>
          <cell r="Q50"/>
          <cell r="R50"/>
          <cell r="S50"/>
          <cell r="T50" t="e">
            <v>#REF!</v>
          </cell>
          <cell r="U50"/>
          <cell r="V50"/>
          <cell r="W50"/>
          <cell r="X50"/>
          <cell r="Y50">
            <v>100203</v>
          </cell>
          <cell r="Z50"/>
          <cell r="AA50"/>
          <cell r="AB50"/>
          <cell r="AC50"/>
          <cell r="AD50"/>
          <cell r="AE50" t="e">
            <v>#REF!</v>
          </cell>
          <cell r="AF50"/>
          <cell r="AG50"/>
          <cell r="AH50"/>
          <cell r="AI50"/>
          <cell r="AJ50">
            <v>0.1</v>
          </cell>
          <cell r="AK50"/>
          <cell r="AL50" t="e">
            <v>#REF!</v>
          </cell>
          <cell r="AM50"/>
          <cell r="AN50"/>
          <cell r="AO50"/>
          <cell r="AP50"/>
          <cell r="AQ50">
            <v>2505</v>
          </cell>
          <cell r="AR50"/>
          <cell r="AS50"/>
          <cell r="AT50"/>
          <cell r="AU50"/>
          <cell r="AV50"/>
          <cell r="AW50"/>
          <cell r="AX50"/>
          <cell r="AY50"/>
          <cell r="AZ50"/>
          <cell r="BA50"/>
          <cell r="BB50" t="e">
            <v>#REF!</v>
          </cell>
          <cell r="BC50"/>
          <cell r="BD50"/>
          <cell r="BE50"/>
          <cell r="BF50"/>
          <cell r="BG50">
            <v>35359</v>
          </cell>
          <cell r="BH50"/>
          <cell r="BI50"/>
          <cell r="BJ50"/>
          <cell r="BK50"/>
          <cell r="BL50"/>
          <cell r="BM50"/>
          <cell r="BN50"/>
          <cell r="BO50"/>
          <cell r="BP50"/>
          <cell r="BQ50"/>
          <cell r="BR50" t="e">
            <v>#REF!</v>
          </cell>
          <cell r="BS50"/>
          <cell r="BT50"/>
          <cell r="BU50"/>
          <cell r="BV50"/>
          <cell r="BW50">
            <v>1767</v>
          </cell>
          <cell r="BX50"/>
          <cell r="BY50"/>
          <cell r="BZ50"/>
          <cell r="CA50"/>
          <cell r="CB50"/>
          <cell r="CC50"/>
          <cell r="CD50"/>
          <cell r="CE50"/>
          <cell r="CF50"/>
          <cell r="CG50"/>
          <cell r="CH50"/>
          <cell r="CI50"/>
          <cell r="CJ50"/>
          <cell r="CK50"/>
          <cell r="CL50"/>
          <cell r="CM50" t="e">
            <v>#REF!</v>
          </cell>
          <cell r="CN50"/>
          <cell r="CO50"/>
          <cell r="CP50"/>
          <cell r="CQ50"/>
          <cell r="CR50">
            <v>29928</v>
          </cell>
          <cell r="CS50"/>
          <cell r="CT50"/>
          <cell r="CU50"/>
          <cell r="CV50"/>
          <cell r="CW50"/>
          <cell r="CX50"/>
          <cell r="CY50"/>
          <cell r="CZ50"/>
          <cell r="DA50"/>
          <cell r="DB50"/>
          <cell r="DC50"/>
          <cell r="DD50"/>
          <cell r="DE50"/>
          <cell r="DF50"/>
          <cell r="DG50"/>
          <cell r="DH50"/>
          <cell r="DI50"/>
          <cell r="DJ50" t="e">
            <v>#REF!</v>
          </cell>
          <cell r="DK50"/>
          <cell r="DL50"/>
          <cell r="DM50"/>
          <cell r="DN50"/>
          <cell r="DO50" t="str">
            <v>44</v>
          </cell>
          <cell r="DP50"/>
        </row>
        <row r="51">
          <cell r="B51" t="str">
            <v>45</v>
          </cell>
          <cell r="C51"/>
          <cell r="D51" t="str">
            <v>SUBTOTAL - RENT &amp; RENT EQUIV. EXP.</v>
          </cell>
          <cell r="E51"/>
          <cell r="F51"/>
          <cell r="G51"/>
          <cell r="H51"/>
          <cell r="I51"/>
          <cell r="J51"/>
          <cell r="K51"/>
          <cell r="L51" t="str">
            <v xml:space="preserve">(Lines 38 to 44) </v>
          </cell>
          <cell r="M51"/>
          <cell r="N51">
            <v>71295</v>
          </cell>
          <cell r="O51"/>
          <cell r="P51"/>
          <cell r="Q51"/>
          <cell r="R51"/>
          <cell r="S51"/>
          <cell r="T51" t="e">
            <v>#REF!</v>
          </cell>
          <cell r="U51"/>
          <cell r="V51"/>
          <cell r="W51"/>
          <cell r="X51"/>
          <cell r="Y51">
            <v>882353</v>
          </cell>
          <cell r="Z51"/>
          <cell r="AA51"/>
          <cell r="AB51"/>
          <cell r="AC51"/>
          <cell r="AD51"/>
          <cell r="AE51" t="e">
            <v>#REF!</v>
          </cell>
          <cell r="AF51"/>
          <cell r="AG51"/>
          <cell r="AH51"/>
          <cell r="AI51"/>
          <cell r="AJ51">
            <v>1.1000000000000001</v>
          </cell>
          <cell r="AK51"/>
          <cell r="AL51" t="e">
            <v>#REF!</v>
          </cell>
          <cell r="AM51"/>
          <cell r="AN51"/>
          <cell r="AO51"/>
          <cell r="AP51"/>
          <cell r="AQ51">
            <v>25453</v>
          </cell>
          <cell r="AR51"/>
          <cell r="AS51"/>
          <cell r="AT51"/>
          <cell r="AU51"/>
          <cell r="AV51"/>
          <cell r="AW51"/>
          <cell r="AX51"/>
          <cell r="AY51"/>
          <cell r="AZ51"/>
          <cell r="BA51"/>
          <cell r="BB51" t="e">
            <v>#REF!</v>
          </cell>
          <cell r="BC51"/>
          <cell r="BD51"/>
          <cell r="BE51"/>
          <cell r="BF51"/>
          <cell r="BG51">
            <v>306809</v>
          </cell>
          <cell r="BH51"/>
          <cell r="BI51"/>
          <cell r="BJ51"/>
          <cell r="BK51"/>
          <cell r="BL51"/>
          <cell r="BM51"/>
          <cell r="BN51"/>
          <cell r="BO51"/>
          <cell r="BP51"/>
          <cell r="BQ51"/>
          <cell r="BR51" t="e">
            <v>#REF!</v>
          </cell>
          <cell r="BS51"/>
          <cell r="BT51"/>
          <cell r="BU51"/>
          <cell r="BV51"/>
          <cell r="BW51">
            <v>21577</v>
          </cell>
          <cell r="BX51"/>
          <cell r="BY51"/>
          <cell r="BZ51"/>
          <cell r="CA51"/>
          <cell r="CB51"/>
          <cell r="CC51"/>
          <cell r="CD51"/>
          <cell r="CE51"/>
          <cell r="CF51"/>
          <cell r="CG51"/>
          <cell r="CH51"/>
          <cell r="CI51"/>
          <cell r="CJ51"/>
          <cell r="CK51"/>
          <cell r="CL51"/>
          <cell r="CM51" t="e">
            <v>#REF!</v>
          </cell>
          <cell r="CN51"/>
          <cell r="CO51"/>
          <cell r="CP51"/>
          <cell r="CQ51"/>
          <cell r="CR51">
            <v>262919</v>
          </cell>
          <cell r="CS51"/>
          <cell r="CT51"/>
          <cell r="CU51"/>
          <cell r="CV51"/>
          <cell r="CW51"/>
          <cell r="CX51"/>
          <cell r="CY51"/>
          <cell r="CZ51"/>
          <cell r="DA51"/>
          <cell r="DB51"/>
          <cell r="DC51"/>
          <cell r="DD51"/>
          <cell r="DE51"/>
          <cell r="DF51"/>
          <cell r="DG51"/>
          <cell r="DH51"/>
          <cell r="DI51"/>
          <cell r="DJ51" t="e">
            <v>#REF!</v>
          </cell>
          <cell r="DK51"/>
          <cell r="DL51"/>
          <cell r="DM51"/>
          <cell r="DN51"/>
          <cell r="DO51" t="str">
            <v>45</v>
          </cell>
          <cell r="DP51"/>
        </row>
        <row r="52">
          <cell r="B52" t="str">
            <v>46</v>
          </cell>
          <cell r="C52"/>
          <cell r="D52" t="str">
            <v>Management Fees</v>
          </cell>
          <cell r="E52"/>
          <cell r="F52"/>
          <cell r="G52"/>
          <cell r="H52"/>
          <cell r="I52"/>
          <cell r="J52"/>
          <cell r="K52"/>
          <cell r="L52"/>
          <cell r="M52" t="str">
            <v>0600</v>
          </cell>
          <cell r="N52">
            <v>0</v>
          </cell>
          <cell r="O52"/>
          <cell r="P52"/>
          <cell r="Q52"/>
          <cell r="R52"/>
          <cell r="S52"/>
          <cell r="T52" t="e">
            <v>#REF!</v>
          </cell>
          <cell r="U52"/>
          <cell r="V52"/>
          <cell r="W52"/>
          <cell r="X52"/>
          <cell r="Y52">
            <v>0</v>
          </cell>
          <cell r="Z52"/>
          <cell r="AA52"/>
          <cell r="AB52"/>
          <cell r="AC52"/>
          <cell r="AD52"/>
          <cell r="AE52" t="e">
            <v>#REF!</v>
          </cell>
          <cell r="AF52"/>
          <cell r="AG52"/>
          <cell r="AH52"/>
          <cell r="AI52"/>
          <cell r="AJ52">
            <v>0</v>
          </cell>
          <cell r="AK52"/>
          <cell r="AL52" t="e">
            <v>#REF!</v>
          </cell>
          <cell r="AM52"/>
          <cell r="AN52"/>
          <cell r="AO52"/>
          <cell r="AP52"/>
          <cell r="AQ52">
            <v>0</v>
          </cell>
          <cell r="AR52"/>
          <cell r="AS52"/>
          <cell r="AT52"/>
          <cell r="AU52"/>
          <cell r="AV52"/>
          <cell r="AW52"/>
          <cell r="AX52"/>
          <cell r="AY52"/>
          <cell r="AZ52"/>
          <cell r="BA52"/>
          <cell r="BB52" t="e">
            <v>#REF!</v>
          </cell>
          <cell r="BC52"/>
          <cell r="BD52"/>
          <cell r="BE52"/>
          <cell r="BF52"/>
          <cell r="BG52">
            <v>0</v>
          </cell>
          <cell r="BH52"/>
          <cell r="BI52"/>
          <cell r="BJ52"/>
          <cell r="BK52"/>
          <cell r="BL52"/>
          <cell r="BM52"/>
          <cell r="BN52"/>
          <cell r="BO52"/>
          <cell r="BP52"/>
          <cell r="BQ52"/>
          <cell r="BR52" t="e">
            <v>#REF!</v>
          </cell>
          <cell r="BS52"/>
          <cell r="BT52"/>
          <cell r="BU52"/>
          <cell r="BV52"/>
          <cell r="BW52">
            <v>0</v>
          </cell>
          <cell r="BX52"/>
          <cell r="BY52"/>
          <cell r="BZ52"/>
          <cell r="CA52"/>
          <cell r="CB52"/>
          <cell r="CC52"/>
          <cell r="CD52"/>
          <cell r="CE52"/>
          <cell r="CF52"/>
          <cell r="CG52"/>
          <cell r="CH52"/>
          <cell r="CI52"/>
          <cell r="CJ52"/>
          <cell r="CK52"/>
          <cell r="CL52"/>
          <cell r="CM52" t="e">
            <v>#REF!</v>
          </cell>
          <cell r="CN52"/>
          <cell r="CO52"/>
          <cell r="CP52"/>
          <cell r="CQ52"/>
          <cell r="CR52">
            <v>0</v>
          </cell>
          <cell r="CS52"/>
          <cell r="CT52"/>
          <cell r="CU52"/>
          <cell r="CV52"/>
          <cell r="CW52"/>
          <cell r="CX52"/>
          <cell r="CY52"/>
          <cell r="CZ52"/>
          <cell r="DA52"/>
          <cell r="DB52"/>
          <cell r="DC52"/>
          <cell r="DD52"/>
          <cell r="DE52"/>
          <cell r="DF52"/>
          <cell r="DG52"/>
          <cell r="DH52"/>
          <cell r="DI52"/>
          <cell r="DJ52" t="e">
            <v>#REF!</v>
          </cell>
          <cell r="DK52"/>
          <cell r="DL52"/>
          <cell r="DM52"/>
          <cell r="DN52"/>
          <cell r="DO52" t="str">
            <v>46</v>
          </cell>
          <cell r="DP52"/>
        </row>
        <row r="53">
          <cell r="B53" t="str">
            <v>47</v>
          </cell>
          <cell r="C53"/>
          <cell r="D53" t="str">
            <v>Equipment - Repairs &amp; Rental</v>
          </cell>
          <cell r="E53"/>
          <cell r="F53"/>
          <cell r="G53"/>
          <cell r="H53"/>
          <cell r="I53"/>
          <cell r="J53"/>
          <cell r="K53"/>
          <cell r="L53"/>
          <cell r="M53" t="str">
            <v>0620</v>
          </cell>
          <cell r="N53">
            <v>940</v>
          </cell>
          <cell r="O53"/>
          <cell r="P53"/>
          <cell r="Q53"/>
          <cell r="R53"/>
          <cell r="S53"/>
          <cell r="T53" t="e">
            <v>#REF!</v>
          </cell>
          <cell r="U53"/>
          <cell r="V53"/>
          <cell r="W53"/>
          <cell r="X53"/>
          <cell r="Y53">
            <v>14233</v>
          </cell>
          <cell r="Z53"/>
          <cell r="AA53"/>
          <cell r="AB53"/>
          <cell r="AC53"/>
          <cell r="AD53"/>
          <cell r="AE53" t="e">
            <v>#REF!</v>
          </cell>
          <cell r="AF53"/>
          <cell r="AG53"/>
          <cell r="AH53"/>
          <cell r="AI53"/>
          <cell r="AJ53">
            <v>0</v>
          </cell>
          <cell r="AK53"/>
          <cell r="AL53" t="e">
            <v>#REF!</v>
          </cell>
          <cell r="AM53"/>
          <cell r="AN53"/>
          <cell r="AO53"/>
          <cell r="AP53"/>
          <cell r="AQ53">
            <v>329</v>
          </cell>
          <cell r="AR53"/>
          <cell r="AS53"/>
          <cell r="AT53"/>
          <cell r="AU53"/>
          <cell r="AV53"/>
          <cell r="AW53"/>
          <cell r="AX53"/>
          <cell r="AY53"/>
          <cell r="AZ53"/>
          <cell r="BA53"/>
          <cell r="BB53" t="e">
            <v>#REF!</v>
          </cell>
          <cell r="BC53"/>
          <cell r="BD53"/>
          <cell r="BE53"/>
          <cell r="BF53"/>
          <cell r="BG53">
            <v>4709</v>
          </cell>
          <cell r="BH53"/>
          <cell r="BI53"/>
          <cell r="BJ53"/>
          <cell r="BK53"/>
          <cell r="BL53"/>
          <cell r="BM53"/>
          <cell r="BN53"/>
          <cell r="BO53"/>
          <cell r="BP53"/>
          <cell r="BQ53"/>
          <cell r="BR53" t="e">
            <v>#REF!</v>
          </cell>
          <cell r="BS53"/>
          <cell r="BT53"/>
          <cell r="BU53"/>
          <cell r="BV53"/>
          <cell r="BW53">
            <v>282</v>
          </cell>
          <cell r="BX53"/>
          <cell r="BY53"/>
          <cell r="BZ53"/>
          <cell r="CA53"/>
          <cell r="CB53"/>
          <cell r="CC53"/>
          <cell r="CD53"/>
          <cell r="CE53"/>
          <cell r="CF53"/>
          <cell r="CG53"/>
          <cell r="CH53"/>
          <cell r="CI53"/>
          <cell r="CJ53"/>
          <cell r="CK53"/>
          <cell r="CL53"/>
          <cell r="CM53" t="e">
            <v>#REF!</v>
          </cell>
          <cell r="CN53"/>
          <cell r="CO53"/>
          <cell r="CP53"/>
          <cell r="CQ53"/>
          <cell r="CR53">
            <v>4037</v>
          </cell>
          <cell r="CS53"/>
          <cell r="CT53"/>
          <cell r="CU53"/>
          <cell r="CV53"/>
          <cell r="CW53"/>
          <cell r="CX53"/>
          <cell r="CY53"/>
          <cell r="CZ53"/>
          <cell r="DA53"/>
          <cell r="DB53"/>
          <cell r="DC53"/>
          <cell r="DD53"/>
          <cell r="DE53"/>
          <cell r="DF53"/>
          <cell r="DG53"/>
          <cell r="DH53"/>
          <cell r="DI53"/>
          <cell r="DJ53" t="e">
            <v>#REF!</v>
          </cell>
          <cell r="DK53"/>
          <cell r="DL53"/>
          <cell r="DM53"/>
          <cell r="DN53"/>
          <cell r="DO53" t="str">
            <v>47</v>
          </cell>
          <cell r="DP53"/>
        </row>
        <row r="54">
          <cell r="B54" t="str">
            <v>48</v>
          </cell>
          <cell r="C54"/>
          <cell r="D54" t="str">
            <v>Depreciation - Other than Buildings &amp; Improvements</v>
          </cell>
          <cell r="E54"/>
          <cell r="F54"/>
          <cell r="G54"/>
          <cell r="H54"/>
          <cell r="I54"/>
          <cell r="J54"/>
          <cell r="K54"/>
          <cell r="L54"/>
          <cell r="M54" t="str">
            <v>0630</v>
          </cell>
          <cell r="N54">
            <v>-44804</v>
          </cell>
          <cell r="O54"/>
          <cell r="P54"/>
          <cell r="Q54"/>
          <cell r="R54"/>
          <cell r="S54"/>
          <cell r="T54" t="e">
            <v>#REF!</v>
          </cell>
          <cell r="U54"/>
          <cell r="V54"/>
          <cell r="W54"/>
          <cell r="X54"/>
          <cell r="Y54">
            <v>85362</v>
          </cell>
          <cell r="Z54"/>
          <cell r="AA54"/>
          <cell r="AB54"/>
          <cell r="AC54"/>
          <cell r="AD54"/>
          <cell r="AE54" t="e">
            <v>#REF!</v>
          </cell>
          <cell r="AF54"/>
          <cell r="AG54"/>
          <cell r="AH54"/>
          <cell r="AI54"/>
          <cell r="AJ54">
            <v>0.1</v>
          </cell>
          <cell r="AK54"/>
          <cell r="AL54" t="e">
            <v>#REF!</v>
          </cell>
          <cell r="AM54"/>
          <cell r="AN54"/>
          <cell r="AO54"/>
          <cell r="AP54"/>
          <cell r="AQ54">
            <v>-7926</v>
          </cell>
          <cell r="AR54"/>
          <cell r="AS54"/>
          <cell r="AT54"/>
          <cell r="AU54"/>
          <cell r="AV54"/>
          <cell r="AW54"/>
          <cell r="AX54"/>
          <cell r="AY54"/>
          <cell r="AZ54"/>
          <cell r="BA54"/>
          <cell r="BB54" t="e">
            <v>#REF!</v>
          </cell>
          <cell r="BC54"/>
          <cell r="BD54"/>
          <cell r="BE54"/>
          <cell r="BF54"/>
          <cell r="BG54">
            <v>20239</v>
          </cell>
          <cell r="BH54"/>
          <cell r="BI54"/>
          <cell r="BJ54"/>
          <cell r="BK54"/>
          <cell r="BL54"/>
          <cell r="BM54"/>
          <cell r="BN54"/>
          <cell r="BO54"/>
          <cell r="BP54"/>
          <cell r="BQ54"/>
          <cell r="BR54" t="e">
            <v>#REF!</v>
          </cell>
          <cell r="BS54"/>
          <cell r="BT54"/>
          <cell r="BU54"/>
          <cell r="BV54"/>
          <cell r="BW54">
            <v>-4719</v>
          </cell>
          <cell r="BX54"/>
          <cell r="BY54"/>
          <cell r="BZ54"/>
          <cell r="CA54"/>
          <cell r="CB54"/>
          <cell r="CC54"/>
          <cell r="CD54"/>
          <cell r="CE54"/>
          <cell r="CF54"/>
          <cell r="CG54"/>
          <cell r="CH54"/>
          <cell r="CI54"/>
          <cell r="CJ54"/>
          <cell r="CK54"/>
          <cell r="CL54"/>
          <cell r="CM54" t="e">
            <v>#REF!</v>
          </cell>
          <cell r="CN54"/>
          <cell r="CO54"/>
          <cell r="CP54"/>
          <cell r="CQ54"/>
          <cell r="CR54">
            <v>11373</v>
          </cell>
          <cell r="CS54"/>
          <cell r="CT54"/>
          <cell r="CU54"/>
          <cell r="CV54"/>
          <cell r="CW54"/>
          <cell r="CX54"/>
          <cell r="CY54"/>
          <cell r="CZ54"/>
          <cell r="DA54"/>
          <cell r="DB54"/>
          <cell r="DC54"/>
          <cell r="DD54"/>
          <cell r="DE54"/>
          <cell r="DF54"/>
          <cell r="DG54"/>
          <cell r="DH54"/>
          <cell r="DI54"/>
          <cell r="DJ54" t="e">
            <v>#REF!</v>
          </cell>
          <cell r="DK54"/>
          <cell r="DL54"/>
          <cell r="DM54"/>
          <cell r="DN54"/>
          <cell r="DO54" t="str">
            <v>48</v>
          </cell>
          <cell r="DP54"/>
        </row>
        <row r="55">
          <cell r="B55" t="str">
            <v>49</v>
          </cell>
          <cell r="C55"/>
          <cell r="D55" t="str">
            <v>Insurance - Other than Buildings &amp; Improvements</v>
          </cell>
          <cell r="E55"/>
          <cell r="F55"/>
          <cell r="G55"/>
          <cell r="H55"/>
          <cell r="I55"/>
          <cell r="J55"/>
          <cell r="K55"/>
          <cell r="L55"/>
          <cell r="M55" t="str">
            <v>0640</v>
          </cell>
          <cell r="N55">
            <v>5853</v>
          </cell>
          <cell r="O55"/>
          <cell r="P55"/>
          <cell r="Q55"/>
          <cell r="R55"/>
          <cell r="S55"/>
          <cell r="T55" t="e">
            <v>#REF!</v>
          </cell>
          <cell r="U55"/>
          <cell r="V55"/>
          <cell r="W55"/>
          <cell r="X55"/>
          <cell r="Y55">
            <v>60351</v>
          </cell>
          <cell r="Z55"/>
          <cell r="AA55"/>
          <cell r="AB55"/>
          <cell r="AC55"/>
          <cell r="AD55"/>
          <cell r="AE55" t="e">
            <v>#REF!</v>
          </cell>
          <cell r="AF55"/>
          <cell r="AG55"/>
          <cell r="AH55"/>
          <cell r="AI55"/>
          <cell r="AJ55">
            <v>0.1</v>
          </cell>
          <cell r="AK55"/>
          <cell r="AL55" t="e">
            <v>#REF!</v>
          </cell>
          <cell r="AM55"/>
          <cell r="AN55"/>
          <cell r="AO55"/>
          <cell r="AP55"/>
          <cell r="AQ55">
            <v>2048</v>
          </cell>
          <cell r="AR55"/>
          <cell r="AS55"/>
          <cell r="AT55"/>
          <cell r="AU55"/>
          <cell r="AV55"/>
          <cell r="AW55"/>
          <cell r="AX55"/>
          <cell r="AY55"/>
          <cell r="AZ55"/>
          <cell r="BA55"/>
          <cell r="BB55" t="e">
            <v>#REF!</v>
          </cell>
          <cell r="BC55"/>
          <cell r="BD55"/>
          <cell r="BE55"/>
          <cell r="BF55"/>
          <cell r="BG55">
            <v>21123</v>
          </cell>
          <cell r="BH55"/>
          <cell r="BI55"/>
          <cell r="BJ55"/>
          <cell r="BK55"/>
          <cell r="BL55"/>
          <cell r="BM55"/>
          <cell r="BN55"/>
          <cell r="BO55"/>
          <cell r="BP55"/>
          <cell r="BQ55"/>
          <cell r="BR55" t="e">
            <v>#REF!</v>
          </cell>
          <cell r="BS55"/>
          <cell r="BT55"/>
          <cell r="BU55"/>
          <cell r="BV55"/>
          <cell r="BW55">
            <v>1756</v>
          </cell>
          <cell r="BX55"/>
          <cell r="BY55"/>
          <cell r="BZ55"/>
          <cell r="CA55"/>
          <cell r="CB55"/>
          <cell r="CC55"/>
          <cell r="CD55"/>
          <cell r="CE55"/>
          <cell r="CF55"/>
          <cell r="CG55"/>
          <cell r="CH55"/>
          <cell r="CI55"/>
          <cell r="CJ55"/>
          <cell r="CK55"/>
          <cell r="CL55"/>
          <cell r="CM55" t="e">
            <v>#REF!</v>
          </cell>
          <cell r="CN55"/>
          <cell r="CO55"/>
          <cell r="CP55"/>
          <cell r="CQ55"/>
          <cell r="CR55">
            <v>18105</v>
          </cell>
          <cell r="CS55"/>
          <cell r="CT55"/>
          <cell r="CU55"/>
          <cell r="CV55"/>
          <cell r="CW55"/>
          <cell r="CX55"/>
          <cell r="CY55"/>
          <cell r="CZ55"/>
          <cell r="DA55"/>
          <cell r="DB55"/>
          <cell r="DC55"/>
          <cell r="DD55"/>
          <cell r="DE55"/>
          <cell r="DF55"/>
          <cell r="DG55"/>
          <cell r="DH55"/>
          <cell r="DI55"/>
          <cell r="DJ55" t="e">
            <v>#REF!</v>
          </cell>
          <cell r="DK55"/>
          <cell r="DL55"/>
          <cell r="DM55"/>
          <cell r="DN55"/>
          <cell r="DO55" t="str">
            <v>49</v>
          </cell>
          <cell r="DP55"/>
        </row>
        <row r="56">
          <cell r="B56" t="str">
            <v>50</v>
          </cell>
          <cell r="C56"/>
          <cell r="D56" t="str">
            <v>Taxes - Other than Real Estate, Payroll &amp; Income</v>
          </cell>
          <cell r="E56"/>
          <cell r="F56"/>
          <cell r="G56"/>
          <cell r="H56"/>
          <cell r="I56"/>
          <cell r="J56"/>
          <cell r="K56"/>
          <cell r="L56"/>
          <cell r="M56" t="str">
            <v>0650</v>
          </cell>
          <cell r="N56">
            <v>0</v>
          </cell>
          <cell r="O56"/>
          <cell r="P56"/>
          <cell r="Q56"/>
          <cell r="R56"/>
          <cell r="S56"/>
          <cell r="T56" t="e">
            <v>#REF!</v>
          </cell>
          <cell r="U56"/>
          <cell r="V56"/>
          <cell r="W56"/>
          <cell r="X56"/>
          <cell r="Y56">
            <v>468</v>
          </cell>
          <cell r="Z56"/>
          <cell r="AA56"/>
          <cell r="AB56"/>
          <cell r="AC56"/>
          <cell r="AD56"/>
          <cell r="AE56" t="e">
            <v>#REF!</v>
          </cell>
          <cell r="AF56"/>
          <cell r="AG56"/>
          <cell r="AH56"/>
          <cell r="AI56"/>
          <cell r="AJ56">
            <v>0</v>
          </cell>
          <cell r="AK56"/>
          <cell r="AL56" t="e">
            <v>#REF!</v>
          </cell>
          <cell r="AM56"/>
          <cell r="AN56"/>
          <cell r="AO56"/>
          <cell r="AP56"/>
          <cell r="AQ56">
            <v>0</v>
          </cell>
          <cell r="AR56"/>
          <cell r="AS56"/>
          <cell r="AT56"/>
          <cell r="AU56"/>
          <cell r="AV56"/>
          <cell r="AW56"/>
          <cell r="AX56"/>
          <cell r="AY56"/>
          <cell r="AZ56"/>
          <cell r="BA56"/>
          <cell r="BB56" t="e">
            <v>#REF!</v>
          </cell>
          <cell r="BC56"/>
          <cell r="BD56"/>
          <cell r="BE56"/>
          <cell r="BF56"/>
          <cell r="BG56">
            <v>131</v>
          </cell>
          <cell r="BH56"/>
          <cell r="BI56"/>
          <cell r="BJ56"/>
          <cell r="BK56"/>
          <cell r="BL56"/>
          <cell r="BM56"/>
          <cell r="BN56"/>
          <cell r="BO56"/>
          <cell r="BP56"/>
          <cell r="BQ56"/>
          <cell r="BR56" t="e">
            <v>#REF!</v>
          </cell>
          <cell r="BS56"/>
          <cell r="BT56"/>
          <cell r="BU56"/>
          <cell r="BV56"/>
          <cell r="BW56">
            <v>0</v>
          </cell>
          <cell r="BX56"/>
          <cell r="BY56"/>
          <cell r="BZ56"/>
          <cell r="CA56"/>
          <cell r="CB56"/>
          <cell r="CC56"/>
          <cell r="CD56"/>
          <cell r="CE56"/>
          <cell r="CF56"/>
          <cell r="CG56"/>
          <cell r="CH56"/>
          <cell r="CI56"/>
          <cell r="CJ56"/>
          <cell r="CK56"/>
          <cell r="CL56"/>
          <cell r="CM56" t="e">
            <v>#REF!</v>
          </cell>
          <cell r="CN56"/>
          <cell r="CO56"/>
          <cell r="CP56"/>
          <cell r="CQ56"/>
          <cell r="CR56">
            <v>112</v>
          </cell>
          <cell r="CS56"/>
          <cell r="CT56"/>
          <cell r="CU56"/>
          <cell r="CV56"/>
          <cell r="CW56"/>
          <cell r="CX56"/>
          <cell r="CY56"/>
          <cell r="CZ56"/>
          <cell r="DA56"/>
          <cell r="DB56"/>
          <cell r="DC56"/>
          <cell r="DD56"/>
          <cell r="DE56"/>
          <cell r="DF56"/>
          <cell r="DG56"/>
          <cell r="DH56"/>
          <cell r="DI56"/>
          <cell r="DJ56" t="e">
            <v>#REF!</v>
          </cell>
          <cell r="DK56"/>
          <cell r="DL56"/>
          <cell r="DM56"/>
          <cell r="DN56"/>
          <cell r="DO56" t="str">
            <v>50</v>
          </cell>
          <cell r="DP56"/>
        </row>
        <row r="57">
          <cell r="B57" t="str">
            <v>51</v>
          </cell>
          <cell r="C57"/>
          <cell r="D57" t="str">
            <v>TOTAL FIXED EXPENSE GROUP</v>
          </cell>
          <cell r="E57"/>
          <cell r="F57"/>
          <cell r="G57"/>
          <cell r="H57"/>
          <cell r="I57"/>
          <cell r="J57"/>
          <cell r="K57"/>
          <cell r="L57" t="str">
            <v>(Lines 45 to 50)</v>
          </cell>
          <cell r="M57"/>
          <cell r="N57">
            <v>33284</v>
          </cell>
          <cell r="O57"/>
          <cell r="P57"/>
          <cell r="Q57"/>
          <cell r="R57"/>
          <cell r="S57"/>
          <cell r="T57" t="e">
            <v>#REF!</v>
          </cell>
          <cell r="U57"/>
          <cell r="V57"/>
          <cell r="W57"/>
          <cell r="X57"/>
          <cell r="Y57">
            <v>1042767</v>
          </cell>
          <cell r="Z57"/>
          <cell r="AA57"/>
          <cell r="AB57"/>
          <cell r="AC57"/>
          <cell r="AD57"/>
          <cell r="AE57" t="e">
            <v>#REF!</v>
          </cell>
          <cell r="AF57"/>
          <cell r="AG57"/>
          <cell r="AH57"/>
          <cell r="AI57"/>
          <cell r="AJ57">
            <v>1.3</v>
          </cell>
          <cell r="AK57"/>
          <cell r="AL57" t="e">
            <v>#REF!</v>
          </cell>
          <cell r="AM57"/>
          <cell r="AN57"/>
          <cell r="AO57"/>
          <cell r="AP57"/>
          <cell r="AQ57">
            <v>19904</v>
          </cell>
          <cell r="AR57"/>
          <cell r="AS57"/>
          <cell r="AT57"/>
          <cell r="AU57"/>
          <cell r="AV57"/>
          <cell r="AW57"/>
          <cell r="AX57"/>
          <cell r="AY57"/>
          <cell r="AZ57"/>
          <cell r="BA57"/>
          <cell r="BB57" t="e">
            <v>#REF!</v>
          </cell>
          <cell r="BC57"/>
          <cell r="BD57"/>
          <cell r="BE57"/>
          <cell r="BF57"/>
          <cell r="BG57">
            <v>353011</v>
          </cell>
          <cell r="BH57"/>
          <cell r="BI57"/>
          <cell r="BJ57"/>
          <cell r="BK57"/>
          <cell r="BL57"/>
          <cell r="BM57"/>
          <cell r="BN57"/>
          <cell r="BO57"/>
          <cell r="BP57"/>
          <cell r="BQ57"/>
          <cell r="BR57" t="e">
            <v>#REF!</v>
          </cell>
          <cell r="BS57"/>
          <cell r="BT57"/>
          <cell r="BU57"/>
          <cell r="BV57"/>
          <cell r="BW57">
            <v>18896</v>
          </cell>
          <cell r="BX57"/>
          <cell r="BY57"/>
          <cell r="BZ57"/>
          <cell r="CA57"/>
          <cell r="CB57"/>
          <cell r="CC57"/>
          <cell r="CD57"/>
          <cell r="CE57"/>
          <cell r="CF57"/>
          <cell r="CG57"/>
          <cell r="CH57"/>
          <cell r="CI57"/>
          <cell r="CJ57"/>
          <cell r="CK57"/>
          <cell r="CL57"/>
          <cell r="CM57" t="e">
            <v>#REF!</v>
          </cell>
          <cell r="CN57"/>
          <cell r="CO57"/>
          <cell r="CP57"/>
          <cell r="CQ57"/>
          <cell r="CR57">
            <v>296546</v>
          </cell>
          <cell r="CS57"/>
          <cell r="CT57"/>
          <cell r="CU57"/>
          <cell r="CV57"/>
          <cell r="CW57"/>
          <cell r="CX57"/>
          <cell r="CY57"/>
          <cell r="CZ57"/>
          <cell r="DA57"/>
          <cell r="DB57"/>
          <cell r="DC57"/>
          <cell r="DD57"/>
          <cell r="DE57"/>
          <cell r="DF57"/>
          <cell r="DG57"/>
          <cell r="DH57"/>
          <cell r="DI57"/>
          <cell r="DJ57" t="e">
            <v>#REF!</v>
          </cell>
          <cell r="DK57"/>
          <cell r="DL57"/>
          <cell r="DM57"/>
          <cell r="DN57"/>
          <cell r="DO57" t="str">
            <v>51</v>
          </cell>
          <cell r="DP57"/>
        </row>
        <row r="58">
          <cell r="B58" t="str">
            <v>52</v>
          </cell>
          <cell r="C58"/>
          <cell r="D58" t="str">
            <v>TOTAL FIXED OVERHEAD EXP.</v>
          </cell>
          <cell r="E58"/>
          <cell r="F58"/>
          <cell r="G58"/>
          <cell r="H58"/>
          <cell r="I58"/>
          <cell r="J58"/>
          <cell r="K58"/>
          <cell r="L58" t="str">
            <v>(Lines 22, 37 &amp; 51)</v>
          </cell>
          <cell r="M58"/>
          <cell r="N58">
            <v>466628</v>
          </cell>
          <cell r="O58"/>
          <cell r="P58"/>
          <cell r="Q58"/>
          <cell r="R58"/>
          <cell r="S58"/>
          <cell r="T58" t="e">
            <v>#REF!</v>
          </cell>
          <cell r="U58"/>
          <cell r="V58"/>
          <cell r="W58"/>
          <cell r="X58"/>
          <cell r="Y58">
            <v>5983808</v>
          </cell>
          <cell r="Z58"/>
          <cell r="AA58"/>
          <cell r="AB58"/>
          <cell r="AC58"/>
          <cell r="AD58"/>
          <cell r="AE58" t="e">
            <v>#REF!</v>
          </cell>
          <cell r="AF58"/>
          <cell r="AG58"/>
          <cell r="AH58"/>
          <cell r="AI58"/>
          <cell r="AJ58">
            <v>7.7</v>
          </cell>
          <cell r="AK58"/>
          <cell r="AL58" t="e">
            <v>#REF!</v>
          </cell>
          <cell r="AM58"/>
          <cell r="AN58"/>
          <cell r="AO58"/>
          <cell r="AP58"/>
          <cell r="AQ58">
            <v>222550</v>
          </cell>
          <cell r="AR58"/>
          <cell r="AS58"/>
          <cell r="AT58"/>
          <cell r="AU58"/>
          <cell r="AV58"/>
          <cell r="AW58"/>
          <cell r="AX58"/>
          <cell r="AY58"/>
          <cell r="AZ58"/>
          <cell r="BA58"/>
          <cell r="BB58" t="e">
            <v>#REF!</v>
          </cell>
          <cell r="BC58"/>
          <cell r="BD58"/>
          <cell r="BE58"/>
          <cell r="BF58"/>
          <cell r="BG58">
            <v>2705425</v>
          </cell>
          <cell r="BH58"/>
          <cell r="BI58"/>
          <cell r="BJ58"/>
          <cell r="BK58"/>
          <cell r="BL58"/>
          <cell r="BM58"/>
          <cell r="BN58"/>
          <cell r="BO58"/>
          <cell r="BP58"/>
          <cell r="BQ58"/>
          <cell r="BR58" t="e">
            <v>#REF!</v>
          </cell>
          <cell r="BS58"/>
          <cell r="BT58"/>
          <cell r="BU58"/>
          <cell r="BV58"/>
          <cell r="BW58">
            <v>126245</v>
          </cell>
          <cell r="BX58"/>
          <cell r="BY58"/>
          <cell r="BZ58"/>
          <cell r="CA58"/>
          <cell r="CB58"/>
          <cell r="CC58"/>
          <cell r="CD58"/>
          <cell r="CE58"/>
          <cell r="CF58"/>
          <cell r="CG58"/>
          <cell r="CH58"/>
          <cell r="CI58"/>
          <cell r="CJ58"/>
          <cell r="CK58"/>
          <cell r="CL58"/>
          <cell r="CM58" t="e">
            <v>#REF!</v>
          </cell>
          <cell r="CN58"/>
          <cell r="CO58"/>
          <cell r="CP58"/>
          <cell r="CQ58"/>
          <cell r="CR58">
            <v>1596951</v>
          </cell>
          <cell r="CS58"/>
          <cell r="CT58"/>
          <cell r="CU58"/>
          <cell r="CV58"/>
          <cell r="CW58"/>
          <cell r="CX58"/>
          <cell r="CY58"/>
          <cell r="CZ58"/>
          <cell r="DA58"/>
          <cell r="DB58"/>
          <cell r="DC58"/>
          <cell r="DD58"/>
          <cell r="DE58"/>
          <cell r="DF58"/>
          <cell r="DG58"/>
          <cell r="DH58"/>
          <cell r="DI58"/>
          <cell r="DJ58" t="e">
            <v>#REF!</v>
          </cell>
          <cell r="DK58"/>
          <cell r="DL58"/>
          <cell r="DM58"/>
          <cell r="DN58"/>
          <cell r="DO58" t="str">
            <v>52</v>
          </cell>
          <cell r="DP58"/>
        </row>
        <row r="59">
          <cell r="B59" t="str">
            <v>53</v>
          </cell>
          <cell r="C59"/>
          <cell r="D59" t="str">
            <v>TOTAL EXPENSES</v>
          </cell>
          <cell r="E59"/>
          <cell r="F59"/>
          <cell r="G59"/>
          <cell r="H59"/>
          <cell r="I59"/>
          <cell r="J59"/>
          <cell r="K59"/>
          <cell r="L59" t="str">
            <v>(Lines 14 &amp; 52)</v>
          </cell>
          <cell r="M59" t="str">
            <v>DDD</v>
          </cell>
          <cell r="N59">
            <v>753591</v>
          </cell>
          <cell r="O59"/>
          <cell r="P59"/>
          <cell r="Q59"/>
          <cell r="R59"/>
          <cell r="S59"/>
          <cell r="T59" t="e">
            <v>#REF!</v>
          </cell>
          <cell r="U59"/>
          <cell r="V59"/>
          <cell r="W59"/>
          <cell r="X59"/>
          <cell r="Y59">
            <v>9232154</v>
          </cell>
          <cell r="Z59"/>
          <cell r="AA59"/>
          <cell r="AB59"/>
          <cell r="AC59"/>
          <cell r="AD59"/>
          <cell r="AE59" t="e">
            <v>#REF!</v>
          </cell>
          <cell r="AF59"/>
          <cell r="AG59"/>
          <cell r="AH59"/>
          <cell r="AI59"/>
          <cell r="AJ59">
            <v>11.9</v>
          </cell>
          <cell r="AK59"/>
          <cell r="AL59" t="e">
            <v>#REF!</v>
          </cell>
          <cell r="AM59"/>
          <cell r="AN59"/>
          <cell r="AO59"/>
          <cell r="AP59"/>
          <cell r="AQ59">
            <v>357375</v>
          </cell>
          <cell r="AR59"/>
          <cell r="AS59"/>
          <cell r="AT59"/>
          <cell r="AU59"/>
          <cell r="AV59"/>
          <cell r="AW59"/>
          <cell r="AX59"/>
          <cell r="AY59"/>
          <cell r="AZ59"/>
          <cell r="BA59"/>
          <cell r="BB59" t="e">
            <v>#REF!</v>
          </cell>
          <cell r="BC59"/>
          <cell r="BD59"/>
          <cell r="BE59"/>
          <cell r="BF59"/>
          <cell r="BG59">
            <v>4193201</v>
          </cell>
          <cell r="BH59"/>
          <cell r="BI59"/>
          <cell r="BJ59"/>
          <cell r="BK59"/>
          <cell r="BL59"/>
          <cell r="BM59"/>
          <cell r="BN59"/>
          <cell r="BO59"/>
          <cell r="BP59"/>
          <cell r="BQ59"/>
          <cell r="BR59" t="e">
            <v>#REF!</v>
          </cell>
          <cell r="BS59"/>
          <cell r="BT59"/>
          <cell r="BU59"/>
          <cell r="BV59"/>
          <cell r="BW59">
            <v>234117</v>
          </cell>
          <cell r="BX59"/>
          <cell r="BY59"/>
          <cell r="BZ59"/>
          <cell r="CA59"/>
          <cell r="CB59"/>
          <cell r="CC59"/>
          <cell r="CD59"/>
          <cell r="CE59"/>
          <cell r="CF59"/>
          <cell r="CG59"/>
          <cell r="CH59"/>
          <cell r="CI59"/>
          <cell r="CJ59"/>
          <cell r="CK59"/>
          <cell r="CL59"/>
          <cell r="CM59" t="e">
            <v>#REF!</v>
          </cell>
          <cell r="CN59"/>
          <cell r="CO59"/>
          <cell r="CP59"/>
          <cell r="CQ59"/>
          <cell r="CR59">
            <v>2836991</v>
          </cell>
          <cell r="CS59"/>
          <cell r="CT59"/>
          <cell r="CU59"/>
          <cell r="CV59"/>
          <cell r="CW59"/>
          <cell r="CX59"/>
          <cell r="CY59"/>
          <cell r="CZ59"/>
          <cell r="DA59"/>
          <cell r="DB59"/>
          <cell r="DC59"/>
          <cell r="DD59"/>
          <cell r="DE59"/>
          <cell r="DF59"/>
          <cell r="DG59"/>
          <cell r="DH59"/>
          <cell r="DI59"/>
          <cell r="DJ59" t="e">
            <v>#REF!</v>
          </cell>
          <cell r="DK59"/>
          <cell r="DL59"/>
          <cell r="DM59"/>
          <cell r="DN59"/>
          <cell r="DO59" t="str">
            <v>53</v>
          </cell>
          <cell r="DP59"/>
        </row>
        <row r="60">
          <cell r="B60" t="str">
            <v>54</v>
          </cell>
          <cell r="C60"/>
          <cell r="D60" t="str">
            <v>Dept. Operating Net Profit Or (LOSS)</v>
          </cell>
          <cell r="E60"/>
          <cell r="F60"/>
          <cell r="G60"/>
          <cell r="H60"/>
          <cell r="I60"/>
          <cell r="J60"/>
          <cell r="K60"/>
          <cell r="L60" t="str">
            <v>(Line 2 less 53)</v>
          </cell>
          <cell r="M60"/>
          <cell r="N60">
            <v>-94769</v>
          </cell>
          <cell r="O60"/>
          <cell r="P60"/>
          <cell r="Q60"/>
          <cell r="R60"/>
          <cell r="S60"/>
          <cell r="T60" t="e">
            <v>#REF!</v>
          </cell>
          <cell r="U60"/>
          <cell r="V60"/>
          <cell r="W60"/>
          <cell r="X60"/>
          <cell r="Y60">
            <v>-1496396</v>
          </cell>
          <cell r="Z60"/>
          <cell r="AA60"/>
          <cell r="AB60"/>
          <cell r="AC60"/>
          <cell r="AD60"/>
          <cell r="AE60" t="e">
            <v>#REF!</v>
          </cell>
          <cell r="AF60"/>
          <cell r="AG60"/>
          <cell r="AH60"/>
          <cell r="AI60"/>
          <cell r="AJ60">
            <v>-1.9</v>
          </cell>
          <cell r="AK60"/>
          <cell r="AL60" t="e">
            <v>#REF!</v>
          </cell>
          <cell r="AM60"/>
          <cell r="AN60"/>
          <cell r="AO60"/>
          <cell r="AP60"/>
          <cell r="AQ60">
            <v>-102272</v>
          </cell>
          <cell r="AR60"/>
          <cell r="AS60"/>
          <cell r="AT60"/>
          <cell r="AU60"/>
          <cell r="AV60"/>
          <cell r="AW60"/>
          <cell r="AX60"/>
          <cell r="AY60"/>
          <cell r="AZ60"/>
          <cell r="BA60"/>
          <cell r="BB60" t="e">
            <v>#REF!</v>
          </cell>
          <cell r="BC60"/>
          <cell r="BD60"/>
          <cell r="BE60"/>
          <cell r="BF60"/>
          <cell r="BG60">
            <v>-1620851</v>
          </cell>
          <cell r="BH60"/>
          <cell r="BI60"/>
          <cell r="BJ60"/>
          <cell r="BK60"/>
          <cell r="BL60"/>
          <cell r="BM60"/>
          <cell r="BN60"/>
          <cell r="BO60"/>
          <cell r="BP60"/>
          <cell r="BQ60"/>
          <cell r="BR60" t="e">
            <v>#REF!</v>
          </cell>
          <cell r="BS60"/>
          <cell r="BT60"/>
          <cell r="BU60"/>
          <cell r="BV60"/>
          <cell r="BW60">
            <v>-68983</v>
          </cell>
          <cell r="BX60"/>
          <cell r="BY60"/>
          <cell r="BZ60"/>
          <cell r="CA60"/>
          <cell r="CB60"/>
          <cell r="CC60"/>
          <cell r="CD60"/>
          <cell r="CE60"/>
          <cell r="CF60"/>
          <cell r="CG60"/>
          <cell r="CH60"/>
          <cell r="CI60"/>
          <cell r="CJ60"/>
          <cell r="CK60"/>
          <cell r="CL60"/>
          <cell r="CM60" t="e">
            <v>#REF!</v>
          </cell>
          <cell r="CN60"/>
          <cell r="CO60"/>
          <cell r="CP60"/>
          <cell r="CQ60"/>
          <cell r="CR60">
            <v>-414798</v>
          </cell>
          <cell r="CS60"/>
          <cell r="CT60"/>
          <cell r="CU60"/>
          <cell r="CV60"/>
          <cell r="CW60"/>
          <cell r="CX60"/>
          <cell r="CY60"/>
          <cell r="CZ60"/>
          <cell r="DA60"/>
          <cell r="DB60"/>
          <cell r="DC60"/>
          <cell r="DD60"/>
          <cell r="DE60"/>
          <cell r="DF60"/>
          <cell r="DG60"/>
          <cell r="DH60"/>
          <cell r="DI60"/>
          <cell r="DJ60" t="e">
            <v>#REF!</v>
          </cell>
          <cell r="DK60"/>
          <cell r="DL60"/>
          <cell r="DM60"/>
          <cell r="DN60"/>
          <cell r="DO60" t="str">
            <v>54</v>
          </cell>
          <cell r="DP60"/>
        </row>
        <row r="61">
          <cell r="B61" t="str">
            <v>55</v>
          </cell>
          <cell r="C61"/>
          <cell r="D61" t="str">
            <v>Net Additions &amp; Deductions to Income</v>
          </cell>
          <cell r="E61"/>
          <cell r="F61"/>
          <cell r="G61"/>
          <cell r="H61"/>
          <cell r="I61"/>
          <cell r="J61"/>
          <cell r="K61"/>
          <cell r="L61" t="str">
            <v>(Pg 3 line 71)</v>
          </cell>
          <cell r="M61" t="str">
            <v>TT31</v>
          </cell>
          <cell r="N61">
            <v>125738</v>
          </cell>
          <cell r="O61"/>
          <cell r="P61"/>
          <cell r="Q61"/>
          <cell r="R61"/>
          <cell r="S61"/>
          <cell r="T61" t="e">
            <v>#REF!</v>
          </cell>
          <cell r="U61"/>
          <cell r="V61"/>
          <cell r="W61"/>
          <cell r="X61"/>
          <cell r="Y61">
            <v>1065558</v>
          </cell>
          <cell r="Z61"/>
          <cell r="AA61"/>
          <cell r="AB61"/>
          <cell r="AC61"/>
          <cell r="AD61"/>
          <cell r="AE61" t="e">
            <v>#REF!</v>
          </cell>
          <cell r="AF61"/>
          <cell r="AG61"/>
          <cell r="AH61"/>
          <cell r="AI61"/>
          <cell r="AJ61">
            <v>1.4</v>
          </cell>
          <cell r="AK61"/>
          <cell r="AL61" t="e">
            <v>#REF!</v>
          </cell>
          <cell r="AM61"/>
          <cell r="AN61"/>
          <cell r="AO61"/>
          <cell r="AP61"/>
          <cell r="AQ61"/>
          <cell r="AR61"/>
          <cell r="AS61"/>
          <cell r="AT61"/>
          <cell r="AU61"/>
          <cell r="AV61"/>
          <cell r="AW61"/>
          <cell r="AX61"/>
          <cell r="AY61"/>
          <cell r="AZ61"/>
          <cell r="BA61"/>
          <cell r="BB61"/>
          <cell r="BC61"/>
          <cell r="BD61"/>
          <cell r="BE61"/>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cell r="DG61"/>
          <cell r="DH61"/>
          <cell r="DI61"/>
          <cell r="DJ61" t="e">
            <v>#REF!</v>
          </cell>
          <cell r="DK61"/>
          <cell r="DL61"/>
          <cell r="DM61"/>
          <cell r="DN61"/>
          <cell r="DO61" t="str">
            <v>55</v>
          </cell>
          <cell r="DP61"/>
        </row>
        <row r="62">
          <cell r="B62" t="str">
            <v>56</v>
          </cell>
          <cell r="C62"/>
          <cell r="D62" t="str">
            <v>Documentary Fees</v>
          </cell>
          <cell r="E62"/>
          <cell r="F62"/>
          <cell r="G62"/>
          <cell r="H62"/>
          <cell r="I62"/>
          <cell r="J62"/>
          <cell r="K62"/>
          <cell r="L62"/>
          <cell r="M62" t="str">
            <v>8030</v>
          </cell>
          <cell r="N62">
            <v>164220</v>
          </cell>
          <cell r="O62"/>
          <cell r="P62"/>
          <cell r="Q62"/>
          <cell r="R62"/>
          <cell r="S62"/>
          <cell r="T62" t="e">
            <v>#REF!</v>
          </cell>
          <cell r="U62"/>
          <cell r="V62"/>
          <cell r="W62"/>
          <cell r="X62"/>
          <cell r="Y62">
            <v>1879010</v>
          </cell>
          <cell r="Z62"/>
          <cell r="AA62"/>
          <cell r="AB62"/>
          <cell r="AC62"/>
          <cell r="AD62"/>
          <cell r="AE62" t="e">
            <v>#REF!</v>
          </cell>
          <cell r="AF62"/>
          <cell r="AG62"/>
          <cell r="AH62"/>
          <cell r="AI62"/>
          <cell r="AJ62">
            <v>2.4</v>
          </cell>
          <cell r="AK62"/>
          <cell r="AL62" t="e">
            <v>#REF!</v>
          </cell>
          <cell r="AM62"/>
          <cell r="AN62"/>
          <cell r="AO62"/>
          <cell r="AP62"/>
          <cell r="AQ62">
            <v>110670</v>
          </cell>
          <cell r="AR62"/>
          <cell r="AS62"/>
          <cell r="AT62"/>
          <cell r="AU62"/>
          <cell r="AV62"/>
          <cell r="AW62"/>
          <cell r="AX62"/>
          <cell r="AY62"/>
          <cell r="AZ62"/>
          <cell r="BA62"/>
          <cell r="BB62" t="e">
            <v>#REF!</v>
          </cell>
          <cell r="BC62"/>
          <cell r="BD62"/>
          <cell r="BE62"/>
          <cell r="BF62"/>
          <cell r="BG62">
            <v>1231650</v>
          </cell>
          <cell r="BH62"/>
          <cell r="BI62"/>
          <cell r="BJ62"/>
          <cell r="BK62"/>
          <cell r="BL62"/>
          <cell r="BM62"/>
          <cell r="BN62"/>
          <cell r="BO62"/>
          <cell r="BP62"/>
          <cell r="BQ62"/>
          <cell r="BR62" t="e">
            <v>#REF!</v>
          </cell>
          <cell r="BS62"/>
          <cell r="BT62"/>
          <cell r="BU62"/>
          <cell r="BV62"/>
          <cell r="BW62">
            <v>53550</v>
          </cell>
          <cell r="BX62"/>
          <cell r="BY62"/>
          <cell r="BZ62"/>
          <cell r="CA62"/>
          <cell r="CB62"/>
          <cell r="CC62"/>
          <cell r="CD62"/>
          <cell r="CE62"/>
          <cell r="CF62"/>
          <cell r="CG62"/>
          <cell r="CH62"/>
          <cell r="CI62"/>
          <cell r="CJ62"/>
          <cell r="CK62"/>
          <cell r="CL62"/>
          <cell r="CM62" t="e">
            <v>#REF!</v>
          </cell>
          <cell r="CN62"/>
          <cell r="CO62"/>
          <cell r="CP62"/>
          <cell r="CQ62"/>
          <cell r="CR62">
            <v>647360</v>
          </cell>
          <cell r="CS62"/>
          <cell r="CT62"/>
          <cell r="CU62"/>
          <cell r="CV62"/>
          <cell r="CW62"/>
          <cell r="CX62"/>
          <cell r="CY62"/>
          <cell r="CZ62"/>
          <cell r="DA62"/>
          <cell r="DB62"/>
          <cell r="DC62"/>
          <cell r="DD62"/>
          <cell r="DE62"/>
          <cell r="DF62"/>
          <cell r="DG62"/>
          <cell r="DH62"/>
          <cell r="DI62"/>
          <cell r="DJ62" t="e">
            <v>#REF!</v>
          </cell>
          <cell r="DK62"/>
          <cell r="DL62"/>
          <cell r="DM62"/>
          <cell r="DN62"/>
          <cell r="DO62" t="str">
            <v>56</v>
          </cell>
          <cell r="DP62"/>
        </row>
        <row r="63">
          <cell r="B63" t="str">
            <v>57</v>
          </cell>
          <cell r="C63"/>
          <cell r="D63" t="str">
            <v>Quality Growth Program and Nissan 10 Bonus</v>
          </cell>
          <cell r="E63"/>
          <cell r="F63"/>
          <cell r="G63"/>
          <cell r="H63"/>
          <cell r="I63"/>
          <cell r="J63"/>
          <cell r="K63"/>
          <cell r="L63"/>
          <cell r="M63" t="str">
            <v>8075</v>
          </cell>
          <cell r="N63">
            <v>69000</v>
          </cell>
          <cell r="O63"/>
          <cell r="P63"/>
          <cell r="Q63"/>
          <cell r="R63"/>
          <cell r="S63"/>
          <cell r="T63" t="e">
            <v>#REF!</v>
          </cell>
          <cell r="U63"/>
          <cell r="V63"/>
          <cell r="W63"/>
          <cell r="X63"/>
          <cell r="Y63">
            <v>652467</v>
          </cell>
          <cell r="Z63"/>
          <cell r="AA63"/>
          <cell r="AB63"/>
          <cell r="AC63"/>
          <cell r="AD63"/>
          <cell r="AE63" t="e">
            <v>#REF!</v>
          </cell>
          <cell r="AF63"/>
          <cell r="AG63"/>
          <cell r="AH63"/>
          <cell r="AI63"/>
          <cell r="AJ63">
            <v>0.8</v>
          </cell>
          <cell r="AK63"/>
          <cell r="AL63" t="e">
            <v>#REF!</v>
          </cell>
          <cell r="AM63"/>
          <cell r="AN63"/>
          <cell r="AO63"/>
          <cell r="AP63"/>
          <cell r="AQ63">
            <v>46000</v>
          </cell>
          <cell r="AR63"/>
          <cell r="AS63"/>
          <cell r="AT63"/>
          <cell r="AU63"/>
          <cell r="AV63"/>
          <cell r="AW63"/>
          <cell r="AX63"/>
          <cell r="AY63"/>
          <cell r="AZ63"/>
          <cell r="BA63"/>
          <cell r="BB63" t="e">
            <v>#REF!</v>
          </cell>
          <cell r="BC63"/>
          <cell r="BD63"/>
          <cell r="BE63"/>
          <cell r="BF63"/>
          <cell r="BG63">
            <v>518382</v>
          </cell>
          <cell r="BH63"/>
          <cell r="BI63"/>
          <cell r="BJ63"/>
          <cell r="BK63"/>
          <cell r="BL63"/>
          <cell r="BM63"/>
          <cell r="BN63"/>
          <cell r="BO63"/>
          <cell r="BP63"/>
          <cell r="BQ63"/>
          <cell r="BR63" t="e">
            <v>#REF!</v>
          </cell>
          <cell r="BS63"/>
          <cell r="BT63"/>
          <cell r="BU63"/>
          <cell r="BV63"/>
          <cell r="BW63">
            <v>0</v>
          </cell>
          <cell r="BX63"/>
          <cell r="BY63"/>
          <cell r="BZ63"/>
          <cell r="CA63"/>
          <cell r="CB63"/>
          <cell r="CC63"/>
          <cell r="CD63"/>
          <cell r="CE63"/>
          <cell r="CF63"/>
          <cell r="CG63"/>
          <cell r="CH63"/>
          <cell r="CI63"/>
          <cell r="CJ63"/>
          <cell r="CK63"/>
          <cell r="CL63"/>
          <cell r="CM63" t="e">
            <v>#REF!</v>
          </cell>
          <cell r="CN63"/>
          <cell r="CO63"/>
          <cell r="CP63"/>
          <cell r="CQ63"/>
          <cell r="CR63">
            <v>4649</v>
          </cell>
          <cell r="CS63"/>
          <cell r="CT63"/>
          <cell r="CU63"/>
          <cell r="CV63"/>
          <cell r="CW63"/>
          <cell r="CX63"/>
          <cell r="CY63"/>
          <cell r="CZ63"/>
          <cell r="DA63"/>
          <cell r="DB63"/>
          <cell r="DC63"/>
          <cell r="DD63"/>
          <cell r="DE63"/>
          <cell r="DF63"/>
          <cell r="DG63"/>
          <cell r="DH63"/>
          <cell r="DI63"/>
          <cell r="DJ63" t="e">
            <v>#REF!</v>
          </cell>
          <cell r="DK63"/>
          <cell r="DL63"/>
          <cell r="DM63"/>
          <cell r="DN63"/>
          <cell r="DO63" t="str">
            <v>57</v>
          </cell>
          <cell r="DP63"/>
        </row>
        <row r="64">
          <cell r="B64" t="str">
            <v>58</v>
          </cell>
          <cell r="C64"/>
          <cell r="D64" t="str">
            <v>Sales Growth Program (SGP)</v>
          </cell>
          <cell r="E64"/>
          <cell r="F64"/>
          <cell r="G64"/>
          <cell r="H64"/>
          <cell r="I64"/>
          <cell r="J64"/>
          <cell r="K64"/>
          <cell r="L64"/>
          <cell r="M64" t="str">
            <v>8077</v>
          </cell>
          <cell r="N64">
            <v>213650</v>
          </cell>
          <cell r="O64"/>
          <cell r="P64"/>
          <cell r="Q64"/>
          <cell r="R64"/>
          <cell r="S64"/>
          <cell r="T64" t="e">
            <v>#REF!</v>
          </cell>
          <cell r="U64"/>
          <cell r="V64"/>
          <cell r="W64"/>
          <cell r="X64"/>
          <cell r="Y64">
            <v>2417982</v>
          </cell>
          <cell r="Z64"/>
          <cell r="AA64"/>
          <cell r="AB64"/>
          <cell r="AC64"/>
          <cell r="AD64"/>
          <cell r="AE64" t="e">
            <v>#REF!</v>
          </cell>
          <cell r="AF64"/>
          <cell r="AG64"/>
          <cell r="AH64"/>
          <cell r="AI64"/>
          <cell r="AJ64">
            <v>3.1</v>
          </cell>
          <cell r="AK64"/>
          <cell r="AL64" t="e">
            <v>#REF!</v>
          </cell>
          <cell r="AM64"/>
          <cell r="AN64"/>
          <cell r="AO64"/>
          <cell r="AP64"/>
          <cell r="AQ64">
            <v>213650</v>
          </cell>
          <cell r="AR64"/>
          <cell r="AS64"/>
          <cell r="AT64"/>
          <cell r="AU64"/>
          <cell r="AV64"/>
          <cell r="AW64"/>
          <cell r="AX64"/>
          <cell r="AY64"/>
          <cell r="AZ64"/>
          <cell r="BA64"/>
          <cell r="BB64" t="e">
            <v>#REF!</v>
          </cell>
          <cell r="BC64"/>
          <cell r="BD64"/>
          <cell r="BE64"/>
          <cell r="BF64"/>
          <cell r="BG64">
            <v>2417982</v>
          </cell>
          <cell r="BH64"/>
          <cell r="BI64"/>
          <cell r="BJ64"/>
          <cell r="BK64"/>
          <cell r="BL64"/>
          <cell r="BM64"/>
          <cell r="BN64"/>
          <cell r="BO64"/>
          <cell r="BP64"/>
          <cell r="BQ64"/>
          <cell r="BR64" t="e">
            <v>#REF!</v>
          </cell>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cell r="DG64"/>
          <cell r="DH64"/>
          <cell r="DI64"/>
          <cell r="DJ64" t="e">
            <v>#REF!</v>
          </cell>
          <cell r="DK64"/>
          <cell r="DL64"/>
          <cell r="DM64"/>
          <cell r="DN64"/>
          <cell r="DO64" t="str">
            <v>58</v>
          </cell>
          <cell r="DP64"/>
        </row>
        <row r="65">
          <cell r="B65" t="str">
            <v>59</v>
          </cell>
          <cell r="C65"/>
          <cell r="D65" t="str">
            <v>Placeholder</v>
          </cell>
          <cell r="E65"/>
          <cell r="F65"/>
          <cell r="G65"/>
          <cell r="H65"/>
          <cell r="I65"/>
          <cell r="J65"/>
          <cell r="K65"/>
          <cell r="L65"/>
          <cell r="M65" t="str">
            <v>8078</v>
          </cell>
          <cell r="N65">
            <v>0</v>
          </cell>
          <cell r="O65"/>
          <cell r="P65"/>
          <cell r="Q65"/>
          <cell r="R65"/>
          <cell r="S65"/>
          <cell r="T65" t="e">
            <v>#REF!</v>
          </cell>
          <cell r="U65"/>
          <cell r="V65"/>
          <cell r="W65"/>
          <cell r="X65"/>
          <cell r="Y65">
            <v>0</v>
          </cell>
          <cell r="Z65"/>
          <cell r="AA65"/>
          <cell r="AB65"/>
          <cell r="AC65"/>
          <cell r="AD65"/>
          <cell r="AE65" t="e">
            <v>#REF!</v>
          </cell>
          <cell r="AF65"/>
          <cell r="AG65"/>
          <cell r="AH65"/>
          <cell r="AI65"/>
          <cell r="AJ65">
            <v>0</v>
          </cell>
          <cell r="AK65"/>
          <cell r="AL65" t="e">
            <v>#REF!</v>
          </cell>
          <cell r="AM65"/>
          <cell r="AN65"/>
          <cell r="AO65"/>
          <cell r="AP65"/>
          <cell r="AQ65">
            <v>0</v>
          </cell>
          <cell r="AR65"/>
          <cell r="AS65"/>
          <cell r="AT65"/>
          <cell r="AU65"/>
          <cell r="AV65"/>
          <cell r="AW65"/>
          <cell r="AX65"/>
          <cell r="AY65"/>
          <cell r="AZ65"/>
          <cell r="BA65"/>
          <cell r="BB65" t="e">
            <v>#REF!</v>
          </cell>
          <cell r="BC65"/>
          <cell r="BD65"/>
          <cell r="BE65"/>
          <cell r="BF65"/>
          <cell r="BG65">
            <v>0</v>
          </cell>
          <cell r="BH65"/>
          <cell r="BI65"/>
          <cell r="BJ65"/>
          <cell r="BK65"/>
          <cell r="BL65"/>
          <cell r="BM65"/>
          <cell r="BN65"/>
          <cell r="BO65"/>
          <cell r="BP65"/>
          <cell r="BQ65"/>
          <cell r="BR65" t="e">
            <v>#REF!</v>
          </cell>
          <cell r="BS65"/>
          <cell r="BT65"/>
          <cell r="BU65"/>
          <cell r="BV65"/>
          <cell r="BW65"/>
          <cell r="BX65"/>
          <cell r="BY65"/>
          <cell r="BZ65"/>
          <cell r="CA65"/>
          <cell r="CB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cell r="DG65"/>
          <cell r="DH65"/>
          <cell r="DI65"/>
          <cell r="DJ65" t="e">
            <v>#REF!</v>
          </cell>
          <cell r="DK65"/>
          <cell r="DL65"/>
          <cell r="DM65"/>
          <cell r="DN65"/>
          <cell r="DO65" t="str">
            <v>59</v>
          </cell>
          <cell r="DP65"/>
        </row>
        <row r="66">
          <cell r="B66" t="str">
            <v>60</v>
          </cell>
          <cell r="C66"/>
          <cell r="D66" t="str">
            <v>Miscellaneous Factory Programs</v>
          </cell>
          <cell r="E66"/>
          <cell r="F66"/>
          <cell r="G66"/>
          <cell r="H66"/>
          <cell r="I66"/>
          <cell r="J66"/>
          <cell r="K66"/>
          <cell r="L66"/>
          <cell r="M66" t="str">
            <v>8070</v>
          </cell>
          <cell r="N66">
            <v>6700</v>
          </cell>
          <cell r="O66"/>
          <cell r="P66"/>
          <cell r="Q66"/>
          <cell r="R66"/>
          <cell r="S66"/>
          <cell r="T66" t="e">
            <v>#REF!</v>
          </cell>
          <cell r="U66"/>
          <cell r="V66"/>
          <cell r="W66"/>
          <cell r="X66"/>
          <cell r="Y66">
            <v>256053</v>
          </cell>
          <cell r="Z66"/>
          <cell r="AA66"/>
          <cell r="AB66"/>
          <cell r="AC66"/>
          <cell r="AD66"/>
          <cell r="AE66" t="e">
            <v>#REF!</v>
          </cell>
          <cell r="AF66"/>
          <cell r="AG66"/>
          <cell r="AH66"/>
          <cell r="AI66"/>
          <cell r="AJ66">
            <v>0.3</v>
          </cell>
          <cell r="AK66"/>
          <cell r="AL66" t="e">
            <v>#REF!</v>
          </cell>
          <cell r="AM66"/>
          <cell r="AN66"/>
          <cell r="AO66"/>
          <cell r="AP66"/>
          <cell r="AQ66">
            <v>6700</v>
          </cell>
          <cell r="AR66"/>
          <cell r="AS66"/>
          <cell r="AT66"/>
          <cell r="AU66"/>
          <cell r="AV66"/>
          <cell r="AW66"/>
          <cell r="AX66"/>
          <cell r="AY66"/>
          <cell r="AZ66"/>
          <cell r="BA66"/>
          <cell r="BB66" t="e">
            <v>#REF!</v>
          </cell>
          <cell r="BC66"/>
          <cell r="BD66"/>
          <cell r="BE66"/>
          <cell r="BF66"/>
          <cell r="BG66">
            <v>256053</v>
          </cell>
          <cell r="BH66"/>
          <cell r="BI66"/>
          <cell r="BJ66"/>
          <cell r="BK66"/>
          <cell r="BL66"/>
          <cell r="BM66"/>
          <cell r="BN66"/>
          <cell r="BO66"/>
          <cell r="BP66"/>
          <cell r="BQ66"/>
          <cell r="BR66" t="e">
            <v>#REF!</v>
          </cell>
          <cell r="BS66"/>
          <cell r="BT66"/>
          <cell r="BU66"/>
          <cell r="BV66"/>
          <cell r="BW66">
            <v>0</v>
          </cell>
          <cell r="BX66"/>
          <cell r="BY66"/>
          <cell r="BZ66"/>
          <cell r="CA66"/>
          <cell r="CB66"/>
          <cell r="CC66"/>
          <cell r="CD66"/>
          <cell r="CE66"/>
          <cell r="CF66"/>
          <cell r="CG66"/>
          <cell r="CH66"/>
          <cell r="CI66"/>
          <cell r="CJ66"/>
          <cell r="CK66"/>
          <cell r="CL66"/>
          <cell r="CM66" t="e">
            <v>#REF!</v>
          </cell>
          <cell r="CN66"/>
          <cell r="CO66"/>
          <cell r="CP66"/>
          <cell r="CQ66"/>
          <cell r="CR66">
            <v>0</v>
          </cell>
          <cell r="CS66"/>
          <cell r="CT66"/>
          <cell r="CU66"/>
          <cell r="CV66"/>
          <cell r="CW66"/>
          <cell r="CX66"/>
          <cell r="CY66"/>
          <cell r="CZ66"/>
          <cell r="DA66"/>
          <cell r="DB66"/>
          <cell r="DC66"/>
          <cell r="DD66"/>
          <cell r="DE66"/>
          <cell r="DF66"/>
          <cell r="DG66"/>
          <cell r="DH66"/>
          <cell r="DI66"/>
          <cell r="DJ66" t="e">
            <v>#REF!</v>
          </cell>
          <cell r="DK66"/>
          <cell r="DL66"/>
          <cell r="DM66"/>
          <cell r="DN66"/>
          <cell r="DO66" t="str">
            <v>60</v>
          </cell>
          <cell r="DP66"/>
        </row>
        <row r="67">
          <cell r="B67" t="str">
            <v>61</v>
          </cell>
          <cell r="C67"/>
          <cell r="D67" t="str">
            <v>NET PROFIT - before bonuses &amp; Inc. tax</v>
          </cell>
          <cell r="E67"/>
          <cell r="F67"/>
          <cell r="G67"/>
          <cell r="H67"/>
          <cell r="I67"/>
          <cell r="J67"/>
          <cell r="K67"/>
          <cell r="L67" t="str">
            <v>(Lines 54 to 60)</v>
          </cell>
          <cell r="M67"/>
          <cell r="N67">
            <v>484539</v>
          </cell>
          <cell r="O67"/>
          <cell r="P67"/>
          <cell r="Q67"/>
          <cell r="R67"/>
          <cell r="S67"/>
          <cell r="T67" t="e">
            <v>#REF!</v>
          </cell>
          <cell r="U67"/>
          <cell r="V67"/>
          <cell r="W67"/>
          <cell r="X67"/>
          <cell r="Y67">
            <v>4774674</v>
          </cell>
          <cell r="Z67"/>
          <cell r="AA67"/>
          <cell r="AB67"/>
          <cell r="AC67"/>
          <cell r="AD67"/>
          <cell r="AE67" t="e">
            <v>#REF!</v>
          </cell>
          <cell r="AF67"/>
          <cell r="AG67"/>
          <cell r="AH67"/>
          <cell r="AI67"/>
          <cell r="AJ67">
            <v>6.2</v>
          </cell>
          <cell r="AK67"/>
          <cell r="AL67" t="e">
            <v>#REF!</v>
          </cell>
          <cell r="AM67"/>
          <cell r="AN67"/>
          <cell r="AO67"/>
          <cell r="AP67"/>
          <cell r="AQ67"/>
          <cell r="AR67"/>
          <cell r="AS67"/>
          <cell r="AT67"/>
          <cell r="AU67"/>
          <cell r="AV67"/>
          <cell r="AW67"/>
          <cell r="AX67"/>
          <cell r="AY67"/>
          <cell r="AZ67"/>
          <cell r="BA67"/>
          <cell r="BB67"/>
          <cell r="BC67"/>
          <cell r="BD67"/>
          <cell r="BE67"/>
          <cell r="BF67"/>
          <cell r="BG67"/>
          <cell r="BH67"/>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cell r="DG67"/>
          <cell r="DH67"/>
          <cell r="DI67"/>
          <cell r="DJ67" t="e">
            <v>#REF!</v>
          </cell>
          <cell r="DK67"/>
          <cell r="DL67"/>
          <cell r="DM67"/>
          <cell r="DN67"/>
          <cell r="DO67" t="str">
            <v>61</v>
          </cell>
          <cell r="DP67"/>
        </row>
        <row r="68">
          <cell r="B68" t="str">
            <v>62</v>
          </cell>
          <cell r="C68"/>
          <cell r="D68" t="str">
            <v>LESS - Bonuses - Employees / Owners</v>
          </cell>
          <cell r="E68"/>
          <cell r="F68"/>
          <cell r="G68"/>
          <cell r="H68"/>
          <cell r="I68"/>
          <cell r="J68"/>
          <cell r="K68"/>
          <cell r="L68"/>
          <cell r="M68" t="str">
            <v>0970/0980</v>
          </cell>
          <cell r="N68">
            <v>67605</v>
          </cell>
          <cell r="O68"/>
          <cell r="P68"/>
          <cell r="Q68"/>
          <cell r="R68"/>
          <cell r="S68"/>
          <cell r="T68" t="e">
            <v>#REF!</v>
          </cell>
          <cell r="U68"/>
          <cell r="V68"/>
          <cell r="W68"/>
          <cell r="X68"/>
          <cell r="Y68">
            <v>686481</v>
          </cell>
          <cell r="Z68"/>
          <cell r="AA68"/>
          <cell r="AB68"/>
          <cell r="AC68"/>
          <cell r="AD68"/>
          <cell r="AE68" t="e">
            <v>#REF!</v>
          </cell>
          <cell r="AF68"/>
          <cell r="AG68"/>
          <cell r="AH68"/>
          <cell r="AI68"/>
          <cell r="AJ68">
            <v>0.9</v>
          </cell>
          <cell r="AK68"/>
          <cell r="AL68" t="e">
            <v>#REF!</v>
          </cell>
          <cell r="AM68"/>
          <cell r="AN68"/>
          <cell r="AO68"/>
          <cell r="AP68"/>
          <cell r="AQ68"/>
          <cell r="AR68"/>
          <cell r="AS68"/>
          <cell r="AT68"/>
          <cell r="AU68"/>
          <cell r="AV68"/>
          <cell r="AW68"/>
          <cell r="AX68"/>
          <cell r="AY68"/>
          <cell r="AZ68"/>
          <cell r="BA68"/>
          <cell r="BB68"/>
          <cell r="BC68"/>
          <cell r="BD68"/>
          <cell r="BE68"/>
          <cell r="BF68"/>
          <cell r="BG68"/>
          <cell r="BH68"/>
          <cell r="BI68"/>
          <cell r="BJ68"/>
          <cell r="BK68"/>
          <cell r="BL68"/>
          <cell r="BM68"/>
          <cell r="BN68"/>
          <cell r="BO68"/>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cell r="DG68"/>
          <cell r="DH68"/>
          <cell r="DI68"/>
          <cell r="DJ68"/>
          <cell r="DK68"/>
          <cell r="DL68"/>
          <cell r="DM68"/>
          <cell r="DN68"/>
          <cell r="DO68" t="str">
            <v>62</v>
          </cell>
          <cell r="DP68"/>
        </row>
        <row r="69">
          <cell r="B69" t="str">
            <v>63</v>
          </cell>
          <cell r="C69"/>
          <cell r="D69" t="str">
            <v>LIFO Adjustments</v>
          </cell>
          <cell r="E69"/>
          <cell r="F69"/>
          <cell r="G69"/>
          <cell r="H69"/>
          <cell r="I69"/>
          <cell r="J69"/>
          <cell r="K69"/>
          <cell r="L69"/>
          <cell r="M69"/>
          <cell r="N69">
            <v>0</v>
          </cell>
          <cell r="O69"/>
          <cell r="P69"/>
          <cell r="Q69"/>
          <cell r="R69"/>
          <cell r="S69"/>
          <cell r="T69" t="e">
            <v>#REF!</v>
          </cell>
          <cell r="U69"/>
          <cell r="V69"/>
          <cell r="W69"/>
          <cell r="X69"/>
          <cell r="Y69">
            <v>0</v>
          </cell>
          <cell r="Z69"/>
          <cell r="AA69"/>
          <cell r="AB69"/>
          <cell r="AC69"/>
          <cell r="AD69"/>
          <cell r="AE69" t="e">
            <v>#REF!</v>
          </cell>
          <cell r="AF69"/>
          <cell r="AG69"/>
          <cell r="AH69"/>
          <cell r="AI69"/>
          <cell r="AJ69">
            <v>0</v>
          </cell>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t="str">
            <v>MONTH</v>
          </cell>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t="str">
            <v>YTD</v>
          </cell>
          <cell r="CT69"/>
          <cell r="CU69"/>
          <cell r="CV69"/>
          <cell r="CW69"/>
          <cell r="CX69"/>
          <cell r="CY69"/>
          <cell r="CZ69"/>
          <cell r="DA69"/>
          <cell r="DB69"/>
          <cell r="DC69"/>
          <cell r="DD69" t="e">
            <v>#REF!</v>
          </cell>
          <cell r="DE69"/>
          <cell r="DF69"/>
          <cell r="DG69"/>
          <cell r="DH69"/>
          <cell r="DI69"/>
          <cell r="DJ69"/>
          <cell r="DK69"/>
          <cell r="DL69"/>
          <cell r="DM69"/>
          <cell r="DN69"/>
          <cell r="DO69" t="str">
            <v>63</v>
          </cell>
          <cell r="DP69"/>
        </row>
        <row r="70">
          <cell r="B70" t="str">
            <v>64</v>
          </cell>
          <cell r="C70"/>
          <cell r="D70" t="str">
            <v>NET PROFIT (LOSS) - before income taxes</v>
          </cell>
          <cell r="E70"/>
          <cell r="F70"/>
          <cell r="G70"/>
          <cell r="H70"/>
          <cell r="I70"/>
          <cell r="J70"/>
          <cell r="K70"/>
          <cell r="L70" t="str">
            <v xml:space="preserve">(Line 61 - 63) </v>
          </cell>
          <cell r="M70"/>
          <cell r="N70">
            <v>416934</v>
          </cell>
          <cell r="O70"/>
          <cell r="P70"/>
          <cell r="Q70"/>
          <cell r="R70"/>
          <cell r="S70"/>
          <cell r="T70" t="e">
            <v>#REF!</v>
          </cell>
          <cell r="U70"/>
          <cell r="V70"/>
          <cell r="W70"/>
          <cell r="X70"/>
          <cell r="Y70">
            <v>4088193</v>
          </cell>
          <cell r="Z70"/>
          <cell r="AA70"/>
          <cell r="AB70"/>
          <cell r="AC70"/>
          <cell r="AD70"/>
          <cell r="AE70" t="e">
            <v>#REF!</v>
          </cell>
          <cell r="AF70"/>
          <cell r="AG70"/>
          <cell r="AH70"/>
          <cell r="AI70"/>
          <cell r="AJ70">
            <v>5.3</v>
          </cell>
          <cell r="AK70"/>
          <cell r="AL70" t="e">
            <v>#REF!</v>
          </cell>
          <cell r="AM70"/>
          <cell r="AN70"/>
          <cell r="AO70"/>
          <cell r="AP70"/>
          <cell r="AQ70"/>
          <cell r="AR70" t="str">
            <v>Return on Sales %</v>
          </cell>
          <cell r="AS70"/>
          <cell r="AT70"/>
          <cell r="AU70"/>
          <cell r="AV70"/>
          <cell r="AW70"/>
          <cell r="AX70"/>
          <cell r="AY70"/>
          <cell r="AZ70"/>
          <cell r="BA70"/>
          <cell r="BB70"/>
          <cell r="BC70"/>
          <cell r="BD70"/>
          <cell r="BE70"/>
          <cell r="BF70"/>
          <cell r="BG70"/>
          <cell r="BH70"/>
          <cell r="BI70"/>
          <cell r="BJ70" t="str">
            <v>895A</v>
          </cell>
          <cell r="BK70"/>
          <cell r="BL70"/>
          <cell r="BM70"/>
          <cell r="BN70"/>
          <cell r="BO70"/>
          <cell r="BP70"/>
          <cell r="BQ70">
            <v>6.06</v>
          </cell>
          <cell r="BR70"/>
          <cell r="BS70"/>
          <cell r="BT70"/>
          <cell r="BU70"/>
          <cell r="BV70"/>
          <cell r="BW70"/>
          <cell r="BX70"/>
          <cell r="BY70"/>
          <cell r="BZ70"/>
          <cell r="CA70"/>
          <cell r="CB70"/>
          <cell r="CC70"/>
          <cell r="CD70"/>
          <cell r="CE70"/>
          <cell r="CF70"/>
          <cell r="CG70"/>
          <cell r="CH70"/>
          <cell r="CI70"/>
          <cell r="CJ70"/>
          <cell r="CK70" t="str">
            <v>895B</v>
          </cell>
          <cell r="CL70"/>
          <cell r="CM70"/>
          <cell r="CN70"/>
          <cell r="CO70"/>
          <cell r="CP70"/>
          <cell r="CQ70"/>
          <cell r="CR70"/>
          <cell r="CS70">
            <v>5.53</v>
          </cell>
          <cell r="CT70"/>
          <cell r="CU70"/>
          <cell r="CV70"/>
          <cell r="CW70"/>
          <cell r="CX70"/>
          <cell r="CY70"/>
          <cell r="CZ70"/>
          <cell r="DA70"/>
          <cell r="DB70"/>
          <cell r="DC70"/>
          <cell r="DD70"/>
          <cell r="DE70"/>
          <cell r="DF70"/>
          <cell r="DG70"/>
          <cell r="DH70"/>
          <cell r="DI70"/>
          <cell r="DJ70"/>
          <cell r="DK70"/>
          <cell r="DL70"/>
          <cell r="DM70"/>
          <cell r="DN70"/>
          <cell r="DO70" t="str">
            <v>64</v>
          </cell>
          <cell r="DP70"/>
        </row>
        <row r="71">
          <cell r="B71" t="str">
            <v>65</v>
          </cell>
          <cell r="C71"/>
          <cell r="D71" t="str">
            <v>LESS Income Taxes</v>
          </cell>
          <cell r="E71"/>
          <cell r="F71"/>
          <cell r="G71"/>
          <cell r="H71"/>
          <cell r="I71"/>
          <cell r="J71"/>
          <cell r="K71"/>
          <cell r="L71"/>
          <cell r="M71" t="str">
            <v>0990</v>
          </cell>
          <cell r="N71">
            <v>0</v>
          </cell>
          <cell r="O71"/>
          <cell r="P71"/>
          <cell r="Q71"/>
          <cell r="R71"/>
          <cell r="S71"/>
          <cell r="T71" t="e">
            <v>#REF!</v>
          </cell>
          <cell r="U71"/>
          <cell r="V71"/>
          <cell r="W71"/>
          <cell r="X71"/>
          <cell r="Y71">
            <v>0</v>
          </cell>
          <cell r="Z71"/>
          <cell r="AA71"/>
          <cell r="AB71"/>
          <cell r="AC71"/>
          <cell r="AD71"/>
          <cell r="AE71" t="e">
            <v>#REF!</v>
          </cell>
          <cell r="AF71"/>
          <cell r="AG71"/>
          <cell r="AH71"/>
          <cell r="AI71"/>
          <cell r="AJ71">
            <v>0</v>
          </cell>
          <cell r="AK71"/>
          <cell r="AL71" t="e">
            <v>#REF!</v>
          </cell>
          <cell r="AM71"/>
          <cell r="AN71"/>
          <cell r="AO71"/>
          <cell r="AP71"/>
          <cell r="AQ71"/>
          <cell r="AR71" t="str">
            <v>Return on Invest.%</v>
          </cell>
          <cell r="AS71"/>
          <cell r="AT71"/>
          <cell r="AU71"/>
          <cell r="AV71"/>
          <cell r="AW71"/>
          <cell r="AX71"/>
          <cell r="AY71"/>
          <cell r="AZ71"/>
          <cell r="BA71"/>
          <cell r="BB71"/>
          <cell r="BC71"/>
          <cell r="BD71"/>
          <cell r="BE71"/>
          <cell r="BF71"/>
          <cell r="BG71"/>
          <cell r="BH71"/>
          <cell r="BI71"/>
          <cell r="BJ71"/>
          <cell r="BK71"/>
          <cell r="BL71"/>
          <cell r="BM71"/>
          <cell r="BN71"/>
          <cell r="BO71"/>
          <cell r="BP71"/>
          <cell r="BQ71"/>
          <cell r="BR71"/>
          <cell r="BS71"/>
          <cell r="BT71"/>
          <cell r="BU71"/>
          <cell r="BV71"/>
          <cell r="BW71"/>
          <cell r="BX71"/>
          <cell r="BY71"/>
          <cell r="BZ71"/>
          <cell r="CA71"/>
          <cell r="CB71"/>
          <cell r="CC71"/>
          <cell r="CD71"/>
          <cell r="CE71"/>
          <cell r="CF71" t="e">
            <v>#REF!</v>
          </cell>
          <cell r="CG71"/>
          <cell r="CH71"/>
          <cell r="CI71"/>
          <cell r="CJ71"/>
          <cell r="CK71" t="str">
            <v>896A</v>
          </cell>
          <cell r="CL71"/>
          <cell r="CM71"/>
          <cell r="CN71"/>
          <cell r="CO71"/>
          <cell r="CP71"/>
          <cell r="CQ71"/>
          <cell r="CR71"/>
          <cell r="CS71">
            <v>119.6</v>
          </cell>
          <cell r="CT71"/>
          <cell r="CU71"/>
          <cell r="CV71"/>
          <cell r="CW71"/>
          <cell r="CX71"/>
          <cell r="CY71"/>
          <cell r="CZ71"/>
          <cell r="DA71"/>
          <cell r="DB71"/>
          <cell r="DC71"/>
          <cell r="DD71" t="e">
            <v>#REF!</v>
          </cell>
          <cell r="DE71"/>
          <cell r="DF71"/>
          <cell r="DG71"/>
          <cell r="DH71"/>
          <cell r="DI71"/>
          <cell r="DJ71"/>
          <cell r="DK71"/>
          <cell r="DL71"/>
          <cell r="DM71"/>
          <cell r="DN71"/>
          <cell r="DO71" t="str">
            <v>65</v>
          </cell>
          <cell r="DP71"/>
        </row>
        <row r="72">
          <cell r="B72" t="str">
            <v>66</v>
          </cell>
          <cell r="C72"/>
          <cell r="D72" t="str">
            <v>NET PROFIT (LOSS) - after income taxes</v>
          </cell>
          <cell r="E72"/>
          <cell r="F72"/>
          <cell r="G72"/>
          <cell r="H72"/>
          <cell r="I72"/>
          <cell r="J72"/>
          <cell r="K72"/>
          <cell r="L72" t="str">
            <v xml:space="preserve">(Line 64 less 65) </v>
          </cell>
          <cell r="M72" t="str">
            <v>TT21</v>
          </cell>
          <cell r="N72">
            <v>416934</v>
          </cell>
          <cell r="O72"/>
          <cell r="P72"/>
          <cell r="Q72"/>
          <cell r="R72"/>
          <cell r="S72"/>
          <cell r="T72" t="e">
            <v>#REF!</v>
          </cell>
          <cell r="U72"/>
          <cell r="V72"/>
          <cell r="W72"/>
          <cell r="X72"/>
          <cell r="Y72">
            <v>4088193</v>
          </cell>
          <cell r="Z72"/>
          <cell r="AA72"/>
          <cell r="AB72"/>
          <cell r="AC72"/>
          <cell r="AD72"/>
          <cell r="AE72" t="e">
            <v>#REF!</v>
          </cell>
          <cell r="AF72"/>
          <cell r="AG72"/>
          <cell r="AH72"/>
          <cell r="AI72"/>
          <cell r="AJ72">
            <v>5.3</v>
          </cell>
          <cell r="AK72"/>
          <cell r="AL72" t="e">
            <v>#REF!</v>
          </cell>
          <cell r="AM72"/>
          <cell r="AN72"/>
          <cell r="AO72"/>
          <cell r="AP72"/>
          <cell r="AQ72"/>
          <cell r="AR72" t="str">
            <v>Fixed Absorption %</v>
          </cell>
          <cell r="AS72"/>
          <cell r="AT72"/>
          <cell r="AU72"/>
          <cell r="AV72"/>
          <cell r="AW72"/>
          <cell r="AX72"/>
          <cell r="AY72"/>
          <cell r="AZ72"/>
          <cell r="BA72"/>
          <cell r="BB72"/>
          <cell r="BC72"/>
          <cell r="BD72"/>
          <cell r="BE72"/>
          <cell r="BF72"/>
          <cell r="BG72"/>
          <cell r="BH72"/>
          <cell r="BI72"/>
          <cell r="BJ72" t="str">
            <v>897A</v>
          </cell>
          <cell r="BK72"/>
          <cell r="BL72"/>
          <cell r="BM72"/>
          <cell r="BN72"/>
          <cell r="BO72"/>
          <cell r="BP72"/>
          <cell r="BQ72">
            <v>46.7</v>
          </cell>
          <cell r="BR72"/>
          <cell r="BS72"/>
          <cell r="BT72"/>
          <cell r="BU72"/>
          <cell r="BV72"/>
          <cell r="BW72"/>
          <cell r="BX72"/>
          <cell r="BY72"/>
          <cell r="BZ72"/>
          <cell r="CA72"/>
          <cell r="CB72"/>
          <cell r="CC72"/>
          <cell r="CD72"/>
          <cell r="CE72"/>
          <cell r="CF72"/>
          <cell r="CG72"/>
          <cell r="CH72"/>
          <cell r="CI72"/>
          <cell r="CJ72"/>
          <cell r="CK72" t="str">
            <v>897B</v>
          </cell>
          <cell r="CL72"/>
          <cell r="CM72"/>
          <cell r="CN72"/>
          <cell r="CO72"/>
          <cell r="CP72"/>
          <cell r="CQ72"/>
          <cell r="CR72"/>
          <cell r="CS72">
            <v>42.1</v>
          </cell>
          <cell r="CT72"/>
          <cell r="CU72"/>
          <cell r="CV72"/>
          <cell r="CW72"/>
          <cell r="CX72"/>
          <cell r="CY72"/>
          <cell r="CZ72"/>
          <cell r="DA72"/>
          <cell r="DB72"/>
          <cell r="DC72"/>
          <cell r="DD72"/>
          <cell r="DE72"/>
          <cell r="DF72"/>
          <cell r="DG72"/>
          <cell r="DH72"/>
          <cell r="DI72"/>
          <cell r="DJ72"/>
          <cell r="DK72"/>
          <cell r="DL72"/>
          <cell r="DM72"/>
          <cell r="DN72"/>
          <cell r="DO72" t="str">
            <v>66</v>
          </cell>
          <cell r="DP72"/>
        </row>
        <row r="73">
          <cell r="B73" t="str">
            <v>67</v>
          </cell>
          <cell r="C73"/>
          <cell r="D73"/>
          <cell r="E73"/>
          <cell r="F73"/>
          <cell r="G73"/>
          <cell r="H73"/>
          <cell r="I73"/>
          <cell r="J73"/>
          <cell r="K73"/>
          <cell r="L73"/>
          <cell r="M73"/>
          <cell r="N73"/>
          <cell r="O73" t="str">
            <v>New-A</v>
          </cell>
          <cell r="P73"/>
          <cell r="Q73"/>
          <cell r="R73"/>
          <cell r="S73"/>
          <cell r="T73"/>
          <cell r="U73"/>
          <cell r="V73"/>
          <cell r="W73"/>
          <cell r="X73"/>
          <cell r="Y73" t="str">
            <v>Used-B</v>
          </cell>
          <cell r="Z73"/>
          <cell r="AA73"/>
          <cell r="AB73"/>
          <cell r="AC73"/>
          <cell r="AD73" t="str">
            <v>SVC-C</v>
          </cell>
          <cell r="AE73"/>
          <cell r="AF73"/>
          <cell r="AG73"/>
          <cell r="AH73"/>
          <cell r="AI73"/>
          <cell r="AJ73"/>
          <cell r="AK73"/>
          <cell r="AL73"/>
          <cell r="AM73"/>
          <cell r="AN73"/>
          <cell r="AO73"/>
          <cell r="AP73"/>
          <cell r="AQ73"/>
          <cell r="AR73" t="str">
            <v>EXP SVC-K</v>
          </cell>
          <cell r="AS73"/>
          <cell r="AT73"/>
          <cell r="AU73"/>
          <cell r="AV73"/>
          <cell r="AW73"/>
          <cell r="AX73"/>
          <cell r="AY73"/>
          <cell r="AZ73"/>
          <cell r="BA73"/>
          <cell r="BB73"/>
          <cell r="BC73"/>
          <cell r="BD73"/>
          <cell r="BE73"/>
          <cell r="BF73"/>
          <cell r="BG73" t="str">
            <v>P&amp;A-D</v>
          </cell>
          <cell r="BH73"/>
          <cell r="BI73"/>
          <cell r="BJ73"/>
          <cell r="BK73"/>
          <cell r="BL73"/>
          <cell r="BM73"/>
          <cell r="BN73"/>
          <cell r="BO73"/>
          <cell r="BP73" t="str">
            <v>B/S-E</v>
          </cell>
          <cell r="BQ73"/>
          <cell r="BR73"/>
          <cell r="BS73"/>
          <cell r="BT73"/>
          <cell r="BU73"/>
          <cell r="BV73"/>
          <cell r="BW73"/>
          <cell r="BX73"/>
          <cell r="BY73"/>
          <cell r="BZ73"/>
          <cell r="CA73"/>
          <cell r="CB73"/>
          <cell r="CC73"/>
          <cell r="CD73"/>
          <cell r="CE73" t="str">
            <v>NCV-F</v>
          </cell>
          <cell r="CF73"/>
          <cell r="CG73"/>
          <cell r="CH73"/>
          <cell r="CI73"/>
          <cell r="CJ73"/>
          <cell r="CK73"/>
          <cell r="CL73"/>
          <cell r="CM73"/>
          <cell r="CN73"/>
          <cell r="CO73"/>
          <cell r="CP73"/>
          <cell r="CQ73"/>
          <cell r="CR73"/>
          <cell r="CS73"/>
          <cell r="CT73"/>
          <cell r="CU73"/>
          <cell r="CV73"/>
          <cell r="CW73"/>
          <cell r="CX73"/>
          <cell r="CY73"/>
          <cell r="CZ73" t="str">
            <v>TOTAL-H</v>
          </cell>
          <cell r="DA73"/>
          <cell r="DB73"/>
          <cell r="DC73"/>
          <cell r="DD73"/>
          <cell r="DE73"/>
          <cell r="DF73"/>
          <cell r="DG73"/>
          <cell r="DH73"/>
          <cell r="DI73"/>
          <cell r="DJ73"/>
          <cell r="DK73"/>
          <cell r="DL73"/>
          <cell r="DM73"/>
          <cell r="DN73"/>
          <cell r="DO73" t="str">
            <v>67</v>
          </cell>
          <cell r="DP73"/>
        </row>
        <row r="74">
          <cell r="B74" t="str">
            <v>68</v>
          </cell>
          <cell r="C74"/>
          <cell r="D74"/>
          <cell r="E74"/>
          <cell r="F74"/>
          <cell r="G74"/>
          <cell r="H74" t="str">
            <v>Exec. - Owner</v>
          </cell>
          <cell r="I74"/>
          <cell r="J74"/>
          <cell r="K74"/>
          <cell r="L74"/>
          <cell r="M74" t="str">
            <v>001</v>
          </cell>
          <cell r="N74"/>
          <cell r="O74">
            <v>0.3</v>
          </cell>
          <cell r="P74"/>
          <cell r="Q74"/>
          <cell r="R74"/>
          <cell r="S74"/>
          <cell r="T74"/>
          <cell r="U74"/>
          <cell r="V74"/>
          <cell r="W74"/>
          <cell r="X74"/>
          <cell r="Y74">
            <v>0.3</v>
          </cell>
          <cell r="Z74"/>
          <cell r="AA74"/>
          <cell r="AB74"/>
          <cell r="AC74"/>
          <cell r="AD74">
            <v>0.2</v>
          </cell>
          <cell r="AE74"/>
          <cell r="AF74"/>
          <cell r="AG74"/>
          <cell r="AH74"/>
          <cell r="AI74"/>
          <cell r="AJ74"/>
          <cell r="AK74"/>
          <cell r="AL74"/>
          <cell r="AM74"/>
          <cell r="AN74"/>
          <cell r="AO74"/>
          <cell r="AP74"/>
          <cell r="AQ74"/>
          <cell r="AR74"/>
          <cell r="AS74"/>
          <cell r="AT74"/>
          <cell r="AU74"/>
          <cell r="AV74"/>
          <cell r="AW74"/>
          <cell r="AX74"/>
          <cell r="AY74"/>
          <cell r="AZ74"/>
          <cell r="BA74"/>
          <cell r="BB74"/>
          <cell r="BC74"/>
          <cell r="BD74"/>
          <cell r="BE74"/>
          <cell r="BF74"/>
          <cell r="BG74">
            <v>0.2</v>
          </cell>
          <cell r="BH74"/>
          <cell r="BI74"/>
          <cell r="BJ74"/>
          <cell r="BK74"/>
          <cell r="BL74"/>
          <cell r="BM74"/>
          <cell r="BN74"/>
          <cell r="BO74"/>
          <cell r="BP74">
            <v>0</v>
          </cell>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v>1</v>
          </cell>
          <cell r="DA74"/>
          <cell r="DB74"/>
          <cell r="DC74"/>
          <cell r="DD74"/>
          <cell r="DE74"/>
          <cell r="DF74"/>
          <cell r="DG74"/>
          <cell r="DH74"/>
          <cell r="DI74"/>
          <cell r="DJ74"/>
          <cell r="DK74"/>
          <cell r="DL74"/>
          <cell r="DM74"/>
          <cell r="DN74"/>
          <cell r="DO74" t="str">
            <v>68</v>
          </cell>
          <cell r="DP74"/>
        </row>
        <row r="75">
          <cell r="B75" t="str">
            <v>69</v>
          </cell>
          <cell r="C75"/>
          <cell r="D75"/>
          <cell r="E75"/>
          <cell r="F75"/>
          <cell r="G75"/>
          <cell r="H75" t="str">
            <v>Department Mgr</v>
          </cell>
          <cell r="I75"/>
          <cell r="J75"/>
          <cell r="K75"/>
          <cell r="L75"/>
          <cell r="M75" t="str">
            <v>002</v>
          </cell>
          <cell r="N75"/>
          <cell r="O75">
            <v>5.8</v>
          </cell>
          <cell r="P75"/>
          <cell r="Q75"/>
          <cell r="R75"/>
          <cell r="S75"/>
          <cell r="T75"/>
          <cell r="U75"/>
          <cell r="V75"/>
          <cell r="W75"/>
          <cell r="X75"/>
          <cell r="Y75">
            <v>3.8</v>
          </cell>
          <cell r="Z75"/>
          <cell r="AA75"/>
          <cell r="AB75"/>
          <cell r="AC75"/>
          <cell r="AD75">
            <v>1.2</v>
          </cell>
          <cell r="AE75"/>
          <cell r="AF75"/>
          <cell r="AG75"/>
          <cell r="AH75"/>
          <cell r="AI75"/>
          <cell r="AJ75"/>
          <cell r="AK75"/>
          <cell r="AL75"/>
          <cell r="AM75"/>
          <cell r="AN75"/>
          <cell r="AO75"/>
          <cell r="AP75"/>
          <cell r="AQ75"/>
          <cell r="AR75">
            <v>0</v>
          </cell>
          <cell r="AS75"/>
          <cell r="AT75"/>
          <cell r="AU75"/>
          <cell r="AV75"/>
          <cell r="AW75"/>
          <cell r="AX75"/>
          <cell r="AY75"/>
          <cell r="AZ75"/>
          <cell r="BA75"/>
          <cell r="BB75"/>
          <cell r="BC75"/>
          <cell r="BD75"/>
          <cell r="BE75"/>
          <cell r="BF75"/>
          <cell r="BG75">
            <v>1.2</v>
          </cell>
          <cell r="BH75"/>
          <cell r="BI75"/>
          <cell r="BJ75"/>
          <cell r="BK75"/>
          <cell r="BL75"/>
          <cell r="BM75"/>
          <cell r="BN75"/>
          <cell r="BO75"/>
          <cell r="BP75">
            <v>0</v>
          </cell>
          <cell r="BQ75"/>
          <cell r="BR75"/>
          <cell r="BS75"/>
          <cell r="BT75"/>
          <cell r="BU75"/>
          <cell r="BV75"/>
          <cell r="BW75"/>
          <cell r="BX75"/>
          <cell r="BY75"/>
          <cell r="BZ75"/>
          <cell r="CA75"/>
          <cell r="CB75"/>
          <cell r="CC75"/>
          <cell r="CD75"/>
          <cell r="CE75">
            <v>0</v>
          </cell>
          <cell r="CF75"/>
          <cell r="CG75"/>
          <cell r="CH75"/>
          <cell r="CI75"/>
          <cell r="CJ75"/>
          <cell r="CK75"/>
          <cell r="CL75"/>
          <cell r="CM75"/>
          <cell r="CN75"/>
          <cell r="CO75"/>
          <cell r="CP75"/>
          <cell r="CQ75"/>
          <cell r="CR75"/>
          <cell r="CS75"/>
          <cell r="CT75"/>
          <cell r="CU75"/>
          <cell r="CV75"/>
          <cell r="CW75"/>
          <cell r="CX75"/>
          <cell r="CY75"/>
          <cell r="CZ75">
            <v>12</v>
          </cell>
          <cell r="DA75"/>
          <cell r="DB75"/>
          <cell r="DC75"/>
          <cell r="DD75"/>
          <cell r="DE75"/>
          <cell r="DF75"/>
          <cell r="DG75"/>
          <cell r="DH75"/>
          <cell r="DI75"/>
          <cell r="DJ75"/>
          <cell r="DK75"/>
          <cell r="DL75"/>
          <cell r="DM75"/>
          <cell r="DN75"/>
          <cell r="DO75" t="str">
            <v>69</v>
          </cell>
          <cell r="DP75"/>
        </row>
        <row r="76">
          <cell r="B76" t="str">
            <v>70</v>
          </cell>
          <cell r="C76"/>
          <cell r="D76"/>
          <cell r="E76"/>
          <cell r="F76"/>
          <cell r="G76"/>
          <cell r="H76" t="str">
            <v>Sales People</v>
          </cell>
          <cell r="I76"/>
          <cell r="J76"/>
          <cell r="K76"/>
          <cell r="L76"/>
          <cell r="M76" t="str">
            <v>003</v>
          </cell>
          <cell r="N76"/>
          <cell r="O76">
            <v>12</v>
          </cell>
          <cell r="P76"/>
          <cell r="Q76"/>
          <cell r="R76"/>
          <cell r="S76"/>
          <cell r="T76"/>
          <cell r="U76"/>
          <cell r="V76"/>
          <cell r="W76"/>
          <cell r="X76"/>
          <cell r="Y76">
            <v>11</v>
          </cell>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cell r="BE76"/>
          <cell r="BF76"/>
          <cell r="BG76"/>
          <cell r="BH76"/>
          <cell r="BI76"/>
          <cell r="BJ76"/>
          <cell r="BK76"/>
          <cell r="BL76"/>
          <cell r="BM76"/>
          <cell r="BN76"/>
          <cell r="BO76"/>
          <cell r="BP76"/>
          <cell r="BQ76"/>
          <cell r="BR76"/>
          <cell r="BS76"/>
          <cell r="BT76"/>
          <cell r="BU76"/>
          <cell r="BV76"/>
          <cell r="BW76"/>
          <cell r="BX76"/>
          <cell r="BY76"/>
          <cell r="BZ76"/>
          <cell r="CA76"/>
          <cell r="CB76"/>
          <cell r="CC76"/>
          <cell r="CD76"/>
          <cell r="CE76">
            <v>0</v>
          </cell>
          <cell r="CF76"/>
          <cell r="CG76"/>
          <cell r="CH76"/>
          <cell r="CI76"/>
          <cell r="CJ76"/>
          <cell r="CK76"/>
          <cell r="CL76"/>
          <cell r="CM76"/>
          <cell r="CN76"/>
          <cell r="CO76"/>
          <cell r="CP76"/>
          <cell r="CQ76"/>
          <cell r="CR76"/>
          <cell r="CS76"/>
          <cell r="CT76"/>
          <cell r="CU76"/>
          <cell r="CV76"/>
          <cell r="CW76"/>
          <cell r="CX76"/>
          <cell r="CY76"/>
          <cell r="CZ76">
            <v>23</v>
          </cell>
          <cell r="DA76"/>
          <cell r="DB76"/>
          <cell r="DC76"/>
          <cell r="DD76"/>
          <cell r="DE76"/>
          <cell r="DF76"/>
          <cell r="DG76"/>
          <cell r="DH76"/>
          <cell r="DI76"/>
          <cell r="DJ76" t="e">
            <v>#REF!</v>
          </cell>
          <cell r="DK76"/>
          <cell r="DL76"/>
          <cell r="DM76"/>
          <cell r="DN76"/>
          <cell r="DO76" t="str">
            <v>70</v>
          </cell>
          <cell r="DP76"/>
        </row>
        <row r="77">
          <cell r="B77" t="str">
            <v>71</v>
          </cell>
          <cell r="C77"/>
          <cell r="D77"/>
          <cell r="E77"/>
          <cell r="F77"/>
          <cell r="G77"/>
          <cell r="H77" t="str">
            <v>F&amp;I Manager</v>
          </cell>
          <cell r="I77"/>
          <cell r="J77"/>
          <cell r="K77"/>
          <cell r="L77"/>
          <cell r="M77" t="str">
            <v>013</v>
          </cell>
          <cell r="N77"/>
          <cell r="O77">
            <v>2</v>
          </cell>
          <cell r="P77"/>
          <cell r="Q77"/>
          <cell r="R77"/>
          <cell r="S77"/>
          <cell r="T77"/>
          <cell r="U77"/>
          <cell r="V77"/>
          <cell r="W77"/>
          <cell r="X77"/>
          <cell r="Y77">
            <v>2</v>
          </cell>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cell r="BD77"/>
          <cell r="BE77"/>
          <cell r="BF77"/>
          <cell r="BG77"/>
          <cell r="BH77"/>
          <cell r="BI77"/>
          <cell r="BJ77"/>
          <cell r="BK77"/>
          <cell r="BL77"/>
          <cell r="BM77"/>
          <cell r="BN77"/>
          <cell r="BO77"/>
          <cell r="BP77"/>
          <cell r="BQ77"/>
          <cell r="BR77"/>
          <cell r="BS77"/>
          <cell r="BT77"/>
          <cell r="BU77"/>
          <cell r="BV77"/>
          <cell r="BW77"/>
          <cell r="BX77"/>
          <cell r="BY77"/>
          <cell r="BZ77"/>
          <cell r="CA77"/>
          <cell r="CB77"/>
          <cell r="CC77"/>
          <cell r="CD77"/>
          <cell r="CE77">
            <v>0</v>
          </cell>
          <cell r="CF77"/>
          <cell r="CG77"/>
          <cell r="CH77"/>
          <cell r="CI77"/>
          <cell r="CJ77"/>
          <cell r="CK77"/>
          <cell r="CL77"/>
          <cell r="CM77"/>
          <cell r="CN77"/>
          <cell r="CO77"/>
          <cell r="CP77"/>
          <cell r="CQ77"/>
          <cell r="CR77"/>
          <cell r="CS77"/>
          <cell r="CT77"/>
          <cell r="CU77"/>
          <cell r="CV77"/>
          <cell r="CW77"/>
          <cell r="CX77"/>
          <cell r="CY77"/>
          <cell r="CZ77">
            <v>4</v>
          </cell>
          <cell r="DA77"/>
          <cell r="DB77"/>
          <cell r="DC77"/>
          <cell r="DD77"/>
          <cell r="DE77"/>
          <cell r="DF77"/>
          <cell r="DG77"/>
          <cell r="DH77"/>
          <cell r="DI77"/>
          <cell r="DJ77" t="e">
            <v>#REF!</v>
          </cell>
          <cell r="DK77"/>
          <cell r="DL77"/>
          <cell r="DM77"/>
          <cell r="DN77"/>
          <cell r="DO77" t="str">
            <v>71</v>
          </cell>
          <cell r="DP77"/>
        </row>
        <row r="78">
          <cell r="B78" t="str">
            <v>72</v>
          </cell>
          <cell r="C78"/>
          <cell r="D78"/>
          <cell r="E78"/>
          <cell r="F78"/>
          <cell r="G78"/>
          <cell r="H78" t="str">
            <v>Service Advisors</v>
          </cell>
          <cell r="I78"/>
          <cell r="J78"/>
          <cell r="K78"/>
          <cell r="L78"/>
          <cell r="M78" t="str">
            <v>007</v>
          </cell>
          <cell r="N78"/>
          <cell r="O78"/>
          <cell r="P78"/>
          <cell r="Q78"/>
          <cell r="R78"/>
          <cell r="S78"/>
          <cell r="T78"/>
          <cell r="U78"/>
          <cell r="V78"/>
          <cell r="W78"/>
          <cell r="X78"/>
          <cell r="Y78"/>
          <cell r="Z78"/>
          <cell r="AA78"/>
          <cell r="AB78"/>
          <cell r="AC78"/>
          <cell r="AD78">
            <v>4</v>
          </cell>
          <cell r="AE78"/>
          <cell r="AF78"/>
          <cell r="AG78"/>
          <cell r="AH78"/>
          <cell r="AI78"/>
          <cell r="AJ78"/>
          <cell r="AK78"/>
          <cell r="AL78"/>
          <cell r="AM78"/>
          <cell r="AN78"/>
          <cell r="AO78"/>
          <cell r="AP78"/>
          <cell r="AQ78"/>
          <cell r="AR78">
            <v>0</v>
          </cell>
          <cell r="AS78"/>
          <cell r="AT78"/>
          <cell r="AU78"/>
          <cell r="AV78"/>
          <cell r="AW78"/>
          <cell r="AX78"/>
          <cell r="AY78"/>
          <cell r="AZ78"/>
          <cell r="BA78"/>
          <cell r="BB78"/>
          <cell r="BC78"/>
          <cell r="BD78"/>
          <cell r="BE78"/>
          <cell r="BF78"/>
          <cell r="BG78"/>
          <cell r="BH78"/>
          <cell r="BI78"/>
          <cell r="BJ78"/>
          <cell r="BK78"/>
          <cell r="BL78"/>
          <cell r="BM78"/>
          <cell r="BN78"/>
          <cell r="BO78"/>
          <cell r="BP78">
            <v>0</v>
          </cell>
          <cell r="BQ78"/>
          <cell r="BR78"/>
          <cell r="BS78"/>
          <cell r="BT78"/>
          <cell r="BU78"/>
          <cell r="BV78"/>
          <cell r="BW78"/>
          <cell r="BX78"/>
          <cell r="BY78"/>
          <cell r="BZ78"/>
          <cell r="CA78"/>
          <cell r="CB78"/>
          <cell r="CC78"/>
          <cell r="CD78"/>
          <cell r="CE78">
            <v>0</v>
          </cell>
          <cell r="CF78"/>
          <cell r="CG78"/>
          <cell r="CH78"/>
          <cell r="CI78"/>
          <cell r="CJ78"/>
          <cell r="CK78"/>
          <cell r="CL78"/>
          <cell r="CM78"/>
          <cell r="CN78"/>
          <cell r="CO78"/>
          <cell r="CP78"/>
          <cell r="CQ78"/>
          <cell r="CR78"/>
          <cell r="CS78"/>
          <cell r="CT78"/>
          <cell r="CU78"/>
          <cell r="CV78"/>
          <cell r="CW78"/>
          <cell r="CX78"/>
          <cell r="CY78"/>
          <cell r="CZ78">
            <v>4</v>
          </cell>
          <cell r="DA78"/>
          <cell r="DB78"/>
          <cell r="DC78"/>
          <cell r="DD78"/>
          <cell r="DE78"/>
          <cell r="DF78"/>
          <cell r="DG78"/>
          <cell r="DH78"/>
          <cell r="DI78"/>
          <cell r="DJ78" t="e">
            <v>#REF!</v>
          </cell>
          <cell r="DK78"/>
          <cell r="DL78"/>
          <cell r="DM78"/>
          <cell r="DN78"/>
          <cell r="DO78" t="str">
            <v>72</v>
          </cell>
          <cell r="DP78"/>
        </row>
        <row r="79">
          <cell r="B79" t="str">
            <v>73</v>
          </cell>
          <cell r="C79"/>
          <cell r="D79"/>
          <cell r="E79"/>
          <cell r="F79"/>
          <cell r="G79"/>
          <cell r="H79" t="str">
            <v>Technicians</v>
          </cell>
          <cell r="I79"/>
          <cell r="J79"/>
          <cell r="K79"/>
          <cell r="L79"/>
          <cell r="M79" t="str">
            <v>006</v>
          </cell>
          <cell r="N79"/>
          <cell r="O79"/>
          <cell r="P79"/>
          <cell r="Q79"/>
          <cell r="R79"/>
          <cell r="S79"/>
          <cell r="T79"/>
          <cell r="U79"/>
          <cell r="V79"/>
          <cell r="W79"/>
          <cell r="X79"/>
          <cell r="Y79"/>
          <cell r="Z79"/>
          <cell r="AA79"/>
          <cell r="AB79"/>
          <cell r="AC79"/>
          <cell r="AD79">
            <v>9</v>
          </cell>
          <cell r="AE79"/>
          <cell r="AF79"/>
          <cell r="AG79"/>
          <cell r="AH79"/>
          <cell r="AI79"/>
          <cell r="AJ79"/>
          <cell r="AK79"/>
          <cell r="AL79"/>
          <cell r="AM79"/>
          <cell r="AN79"/>
          <cell r="AO79"/>
          <cell r="AP79"/>
          <cell r="AQ79"/>
          <cell r="AR79">
            <v>5</v>
          </cell>
          <cell r="AS79"/>
          <cell r="AT79"/>
          <cell r="AU79"/>
          <cell r="AV79"/>
          <cell r="AW79"/>
          <cell r="AX79"/>
          <cell r="AY79"/>
          <cell r="AZ79"/>
          <cell r="BA79"/>
          <cell r="BB79"/>
          <cell r="BC79"/>
          <cell r="BD79"/>
          <cell r="BE79"/>
          <cell r="BF79"/>
          <cell r="BG79"/>
          <cell r="BH79"/>
          <cell r="BI79"/>
          <cell r="BJ79"/>
          <cell r="BK79"/>
          <cell r="BL79"/>
          <cell r="BM79"/>
          <cell r="BN79"/>
          <cell r="BO79"/>
          <cell r="BP79">
            <v>0</v>
          </cell>
          <cell r="BQ79"/>
          <cell r="BR79"/>
          <cell r="BS79"/>
          <cell r="BT79"/>
          <cell r="BU79"/>
          <cell r="BV79"/>
          <cell r="BW79"/>
          <cell r="BX79"/>
          <cell r="BY79"/>
          <cell r="BZ79"/>
          <cell r="CA79"/>
          <cell r="CB79"/>
          <cell r="CC79"/>
          <cell r="CD79"/>
          <cell r="CE79">
            <v>0</v>
          </cell>
          <cell r="CF79"/>
          <cell r="CG79"/>
          <cell r="CH79"/>
          <cell r="CI79"/>
          <cell r="CJ79"/>
          <cell r="CK79"/>
          <cell r="CL79"/>
          <cell r="CM79"/>
          <cell r="CN79"/>
          <cell r="CO79"/>
          <cell r="CP79"/>
          <cell r="CQ79"/>
          <cell r="CR79"/>
          <cell r="CS79"/>
          <cell r="CT79"/>
          <cell r="CU79"/>
          <cell r="CV79"/>
          <cell r="CW79"/>
          <cell r="CX79"/>
          <cell r="CY79"/>
          <cell r="CZ79">
            <v>14</v>
          </cell>
          <cell r="DA79"/>
          <cell r="DB79"/>
          <cell r="DC79"/>
          <cell r="DD79"/>
          <cell r="DE79"/>
          <cell r="DF79"/>
          <cell r="DG79"/>
          <cell r="DH79"/>
          <cell r="DI79"/>
          <cell r="DJ79" t="e">
            <v>#REF!</v>
          </cell>
          <cell r="DK79"/>
          <cell r="DL79"/>
          <cell r="DM79"/>
          <cell r="DN79"/>
          <cell r="DO79" t="str">
            <v>73</v>
          </cell>
          <cell r="DP79"/>
        </row>
        <row r="80">
          <cell r="B80" t="str">
            <v>74</v>
          </cell>
          <cell r="C80"/>
          <cell r="D80"/>
          <cell r="E80"/>
          <cell r="F80"/>
          <cell r="G80"/>
          <cell r="H80" t="str">
            <v xml:space="preserve">Parts Counter </v>
          </cell>
          <cell r="I80"/>
          <cell r="J80"/>
          <cell r="K80"/>
          <cell r="L80"/>
          <cell r="M80" t="str">
            <v>008</v>
          </cell>
          <cell r="N80"/>
          <cell r="O80"/>
          <cell r="P80"/>
          <cell r="Q80"/>
          <cell r="R80"/>
          <cell r="S80"/>
          <cell r="T80"/>
          <cell r="U80"/>
          <cell r="V80"/>
          <cell r="W80"/>
          <cell r="X80"/>
          <cell r="Y80"/>
          <cell r="Z80"/>
          <cell r="AA80"/>
          <cell r="AB80"/>
          <cell r="AC80"/>
          <cell r="AD80"/>
          <cell r="AE80"/>
          <cell r="AF80"/>
          <cell r="AG80"/>
          <cell r="AH80"/>
          <cell r="AI80"/>
          <cell r="AJ80"/>
          <cell r="AK80"/>
          <cell r="AL80"/>
          <cell r="AM80"/>
          <cell r="AN80"/>
          <cell r="AO80"/>
          <cell r="AP80"/>
          <cell r="AQ80"/>
          <cell r="AR80"/>
          <cell r="AS80"/>
          <cell r="AT80"/>
          <cell r="AU80"/>
          <cell r="AV80"/>
          <cell r="AW80"/>
          <cell r="AX80"/>
          <cell r="AY80"/>
          <cell r="AZ80"/>
          <cell r="BA80"/>
          <cell r="BB80"/>
          <cell r="BC80"/>
          <cell r="BD80"/>
          <cell r="BE80"/>
          <cell r="BF80"/>
          <cell r="BG80">
            <v>2</v>
          </cell>
          <cell r="BH80"/>
          <cell r="BI80"/>
          <cell r="BJ80"/>
          <cell r="BK80"/>
          <cell r="BL80"/>
          <cell r="BM80"/>
          <cell r="BN80"/>
          <cell r="BO80"/>
          <cell r="BP80"/>
          <cell r="BQ80"/>
          <cell r="BR80"/>
          <cell r="BS80"/>
          <cell r="BT80"/>
          <cell r="BU80"/>
          <cell r="BV80"/>
          <cell r="BW80"/>
          <cell r="BX80"/>
          <cell r="BY80"/>
          <cell r="BZ80"/>
          <cell r="CA80"/>
          <cell r="CB80"/>
          <cell r="CC80"/>
          <cell r="CD80"/>
          <cell r="CE80">
            <v>0</v>
          </cell>
          <cell r="CF80"/>
          <cell r="CG80"/>
          <cell r="CH80"/>
          <cell r="CI80"/>
          <cell r="CJ80"/>
          <cell r="CK80"/>
          <cell r="CL80"/>
          <cell r="CM80"/>
          <cell r="CN80"/>
          <cell r="CO80"/>
          <cell r="CP80"/>
          <cell r="CQ80"/>
          <cell r="CR80"/>
          <cell r="CS80"/>
          <cell r="CT80"/>
          <cell r="CU80"/>
          <cell r="CV80"/>
          <cell r="CW80"/>
          <cell r="CX80"/>
          <cell r="CY80"/>
          <cell r="CZ80">
            <v>2</v>
          </cell>
          <cell r="DA80"/>
          <cell r="DB80"/>
          <cell r="DC80"/>
          <cell r="DD80"/>
          <cell r="DE80"/>
          <cell r="DF80"/>
          <cell r="DG80"/>
          <cell r="DH80"/>
          <cell r="DI80"/>
          <cell r="DJ80" t="e">
            <v>#REF!</v>
          </cell>
          <cell r="DK80"/>
          <cell r="DL80"/>
          <cell r="DM80"/>
          <cell r="DN80"/>
          <cell r="DO80" t="str">
            <v>74</v>
          </cell>
          <cell r="DP80"/>
        </row>
        <row r="81">
          <cell r="B81" t="str">
            <v>75</v>
          </cell>
          <cell r="C81"/>
          <cell r="D81"/>
          <cell r="E81"/>
          <cell r="F81"/>
          <cell r="G81"/>
          <cell r="H81" t="str">
            <v>Porters</v>
          </cell>
          <cell r="I81"/>
          <cell r="J81"/>
          <cell r="K81"/>
          <cell r="L81"/>
          <cell r="M81" t="str">
            <v>009</v>
          </cell>
          <cell r="N81"/>
          <cell r="O81">
            <v>1</v>
          </cell>
          <cell r="P81"/>
          <cell r="Q81"/>
          <cell r="R81"/>
          <cell r="S81"/>
          <cell r="T81"/>
          <cell r="U81"/>
          <cell r="V81"/>
          <cell r="W81"/>
          <cell r="X81"/>
          <cell r="Y81">
            <v>0</v>
          </cell>
          <cell r="Z81"/>
          <cell r="AA81"/>
          <cell r="AB81"/>
          <cell r="AC81"/>
          <cell r="AD81">
            <v>1</v>
          </cell>
          <cell r="AE81"/>
          <cell r="AF81"/>
          <cell r="AG81"/>
          <cell r="AH81"/>
          <cell r="AI81"/>
          <cell r="AJ81"/>
          <cell r="AK81"/>
          <cell r="AL81"/>
          <cell r="AM81"/>
          <cell r="AN81"/>
          <cell r="AO81"/>
          <cell r="AP81"/>
          <cell r="AQ81"/>
          <cell r="AR81">
            <v>0</v>
          </cell>
          <cell r="AS81"/>
          <cell r="AT81"/>
          <cell r="AU81"/>
          <cell r="AV81"/>
          <cell r="AW81"/>
          <cell r="AX81"/>
          <cell r="AY81"/>
          <cell r="AZ81"/>
          <cell r="BA81"/>
          <cell r="BB81"/>
          <cell r="BC81"/>
          <cell r="BD81"/>
          <cell r="BE81"/>
          <cell r="BF81"/>
          <cell r="BG81">
            <v>0</v>
          </cell>
          <cell r="BH81"/>
          <cell r="BI81"/>
          <cell r="BJ81"/>
          <cell r="BK81"/>
          <cell r="BL81"/>
          <cell r="BM81"/>
          <cell r="BN81"/>
          <cell r="BO81"/>
          <cell r="BP81">
            <v>0</v>
          </cell>
          <cell r="BQ81"/>
          <cell r="BR81"/>
          <cell r="BS81"/>
          <cell r="BT81"/>
          <cell r="BU81"/>
          <cell r="BV81"/>
          <cell r="BW81"/>
          <cell r="BX81"/>
          <cell r="BY81"/>
          <cell r="BZ81"/>
          <cell r="CA81"/>
          <cell r="CB81"/>
          <cell r="CC81"/>
          <cell r="CD81"/>
          <cell r="CE81">
            <v>0</v>
          </cell>
          <cell r="CF81"/>
          <cell r="CG81"/>
          <cell r="CH81"/>
          <cell r="CI81"/>
          <cell r="CJ81"/>
          <cell r="CK81"/>
          <cell r="CL81"/>
          <cell r="CM81"/>
          <cell r="CN81"/>
          <cell r="CO81"/>
          <cell r="CP81"/>
          <cell r="CQ81"/>
          <cell r="CR81"/>
          <cell r="CS81"/>
          <cell r="CT81"/>
          <cell r="CU81"/>
          <cell r="CV81"/>
          <cell r="CW81"/>
          <cell r="CX81"/>
          <cell r="CY81"/>
          <cell r="CZ81">
            <v>2</v>
          </cell>
          <cell r="DA81"/>
          <cell r="DB81"/>
          <cell r="DC81"/>
          <cell r="DD81"/>
          <cell r="DE81"/>
          <cell r="DF81"/>
          <cell r="DG81"/>
          <cell r="DH81"/>
          <cell r="DI81"/>
          <cell r="DJ81" t="e">
            <v>#REF!</v>
          </cell>
          <cell r="DK81"/>
          <cell r="DL81"/>
          <cell r="DM81"/>
          <cell r="DN81"/>
          <cell r="DO81" t="str">
            <v>75</v>
          </cell>
          <cell r="DP81"/>
        </row>
        <row r="82">
          <cell r="B82" t="str">
            <v>76</v>
          </cell>
          <cell r="C82"/>
          <cell r="D82"/>
          <cell r="E82"/>
          <cell r="F82"/>
          <cell r="G82"/>
          <cell r="H82" t="str">
            <v>Office</v>
          </cell>
          <cell r="I82"/>
          <cell r="J82"/>
          <cell r="K82"/>
          <cell r="L82"/>
          <cell r="M82" t="str">
            <v>004</v>
          </cell>
          <cell r="N82"/>
          <cell r="O82">
            <v>1.3</v>
          </cell>
          <cell r="P82"/>
          <cell r="Q82"/>
          <cell r="R82"/>
          <cell r="S82"/>
          <cell r="T82"/>
          <cell r="U82"/>
          <cell r="V82"/>
          <cell r="W82"/>
          <cell r="X82"/>
          <cell r="Y82">
            <v>1.3</v>
          </cell>
          <cell r="Z82"/>
          <cell r="AA82"/>
          <cell r="AB82"/>
          <cell r="AC82"/>
          <cell r="AD82">
            <v>0.7</v>
          </cell>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v>0.7</v>
          </cell>
          <cell r="BH82"/>
          <cell r="BI82"/>
          <cell r="BJ82"/>
          <cell r="BK82"/>
          <cell r="BL82"/>
          <cell r="BM82"/>
          <cell r="BN82"/>
          <cell r="BO82"/>
          <cell r="BP82">
            <v>0</v>
          </cell>
          <cell r="BQ82"/>
          <cell r="BR82"/>
          <cell r="BS82"/>
          <cell r="BT82"/>
          <cell r="BU82"/>
          <cell r="BV82"/>
          <cell r="BW82"/>
          <cell r="BX82"/>
          <cell r="BY82"/>
          <cell r="BZ82"/>
          <cell r="CA82"/>
          <cell r="CB82"/>
          <cell r="CC82"/>
          <cell r="CD82"/>
          <cell r="CE82">
            <v>0</v>
          </cell>
          <cell r="CF82"/>
          <cell r="CG82"/>
          <cell r="CH82"/>
          <cell r="CI82"/>
          <cell r="CJ82"/>
          <cell r="CK82"/>
          <cell r="CL82"/>
          <cell r="CM82"/>
          <cell r="CN82"/>
          <cell r="CO82"/>
          <cell r="CP82"/>
          <cell r="CQ82"/>
          <cell r="CR82"/>
          <cell r="CS82"/>
          <cell r="CT82"/>
          <cell r="CU82"/>
          <cell r="CV82"/>
          <cell r="CW82"/>
          <cell r="CX82"/>
          <cell r="CY82"/>
          <cell r="CZ82">
            <v>4</v>
          </cell>
          <cell r="DA82"/>
          <cell r="DB82"/>
          <cell r="DC82"/>
          <cell r="DD82"/>
          <cell r="DE82"/>
          <cell r="DF82"/>
          <cell r="DG82"/>
          <cell r="DH82"/>
          <cell r="DI82"/>
          <cell r="DJ82" t="e">
            <v>#REF!</v>
          </cell>
          <cell r="DK82"/>
          <cell r="DL82"/>
          <cell r="DM82"/>
          <cell r="DN82"/>
          <cell r="DO82" t="str">
            <v>76</v>
          </cell>
          <cell r="DP82"/>
        </row>
        <row r="83">
          <cell r="B83" t="str">
            <v>77</v>
          </cell>
          <cell r="C83"/>
          <cell r="D83"/>
          <cell r="E83"/>
          <cell r="F83"/>
          <cell r="G83"/>
          <cell r="H83" t="str">
            <v>Other</v>
          </cell>
          <cell r="I83"/>
          <cell r="J83"/>
          <cell r="K83"/>
          <cell r="L83"/>
          <cell r="M83" t="str">
            <v>005</v>
          </cell>
          <cell r="N83"/>
          <cell r="O83">
            <v>1.8</v>
          </cell>
          <cell r="P83"/>
          <cell r="Q83"/>
          <cell r="R83"/>
          <cell r="S83"/>
          <cell r="T83"/>
          <cell r="U83"/>
          <cell r="V83"/>
          <cell r="W83"/>
          <cell r="X83"/>
          <cell r="Y83">
            <v>1.8</v>
          </cell>
          <cell r="Z83"/>
          <cell r="AA83"/>
          <cell r="AB83"/>
          <cell r="AC83"/>
          <cell r="AD83">
            <v>1</v>
          </cell>
          <cell r="AE83"/>
          <cell r="AF83"/>
          <cell r="AG83"/>
          <cell r="AH83"/>
          <cell r="AI83"/>
          <cell r="AJ83"/>
          <cell r="AK83"/>
          <cell r="AL83"/>
          <cell r="AM83"/>
          <cell r="AN83"/>
          <cell r="AO83"/>
          <cell r="AP83"/>
          <cell r="AQ83"/>
          <cell r="AR83">
            <v>0</v>
          </cell>
          <cell r="AS83"/>
          <cell r="AT83"/>
          <cell r="AU83"/>
          <cell r="AV83"/>
          <cell r="AW83"/>
          <cell r="AX83"/>
          <cell r="AY83"/>
          <cell r="AZ83"/>
          <cell r="BA83"/>
          <cell r="BB83"/>
          <cell r="BC83"/>
          <cell r="BD83"/>
          <cell r="BE83"/>
          <cell r="BF83"/>
          <cell r="BG83">
            <v>0.9</v>
          </cell>
          <cell r="BH83"/>
          <cell r="BI83"/>
          <cell r="BJ83"/>
          <cell r="BK83"/>
          <cell r="BL83"/>
          <cell r="BM83"/>
          <cell r="BN83"/>
          <cell r="BO83"/>
          <cell r="BP83">
            <v>0</v>
          </cell>
          <cell r="BQ83"/>
          <cell r="BR83"/>
          <cell r="BS83"/>
          <cell r="BT83"/>
          <cell r="BU83"/>
          <cell r="BV83"/>
          <cell r="BW83"/>
          <cell r="BX83"/>
          <cell r="BY83"/>
          <cell r="BZ83"/>
          <cell r="CA83"/>
          <cell r="CB83"/>
          <cell r="CC83"/>
          <cell r="CD83"/>
          <cell r="CE83">
            <v>0</v>
          </cell>
          <cell r="CF83"/>
          <cell r="CG83"/>
          <cell r="CH83"/>
          <cell r="CI83"/>
          <cell r="CJ83"/>
          <cell r="CK83"/>
          <cell r="CL83"/>
          <cell r="CM83"/>
          <cell r="CN83"/>
          <cell r="CO83"/>
          <cell r="CP83"/>
          <cell r="CQ83"/>
          <cell r="CR83"/>
          <cell r="CS83"/>
          <cell r="CT83"/>
          <cell r="CU83"/>
          <cell r="CV83"/>
          <cell r="CW83"/>
          <cell r="CX83"/>
          <cell r="CY83"/>
          <cell r="CZ83">
            <v>5.5</v>
          </cell>
          <cell r="DA83"/>
          <cell r="DB83"/>
          <cell r="DC83"/>
          <cell r="DD83"/>
          <cell r="DE83"/>
          <cell r="DF83"/>
          <cell r="DG83"/>
          <cell r="DH83"/>
          <cell r="DI83"/>
          <cell r="DJ83" t="e">
            <v>#REF!</v>
          </cell>
          <cell r="DK83"/>
          <cell r="DL83"/>
          <cell r="DM83"/>
          <cell r="DN83"/>
          <cell r="DO83" t="str">
            <v>77</v>
          </cell>
          <cell r="DP83"/>
        </row>
        <row r="84">
          <cell r="B84" t="str">
            <v>78</v>
          </cell>
          <cell r="C84"/>
          <cell r="D84"/>
          <cell r="E84"/>
          <cell r="F84"/>
          <cell r="G84"/>
          <cell r="H84" t="str">
            <v>Total</v>
          </cell>
          <cell r="I84"/>
          <cell r="J84"/>
          <cell r="K84"/>
          <cell r="L84"/>
          <cell r="M84" t="str">
            <v>TT30</v>
          </cell>
          <cell r="N84"/>
          <cell r="O84">
            <v>24.2</v>
          </cell>
          <cell r="P84"/>
          <cell r="Q84"/>
          <cell r="R84"/>
          <cell r="S84"/>
          <cell r="T84"/>
          <cell r="U84"/>
          <cell r="V84"/>
          <cell r="W84"/>
          <cell r="X84"/>
          <cell r="Y84">
            <v>20.2</v>
          </cell>
          <cell r="Z84"/>
          <cell r="AA84"/>
          <cell r="AB84"/>
          <cell r="AC84"/>
          <cell r="AD84">
            <v>17.100000000000001</v>
          </cell>
          <cell r="AE84"/>
          <cell r="AF84"/>
          <cell r="AG84"/>
          <cell r="AH84"/>
          <cell r="AI84"/>
          <cell r="AJ84"/>
          <cell r="AK84"/>
          <cell r="AL84"/>
          <cell r="AM84"/>
          <cell r="AN84"/>
          <cell r="AO84"/>
          <cell r="AP84"/>
          <cell r="AQ84"/>
          <cell r="AR84">
            <v>5</v>
          </cell>
          <cell r="AS84"/>
          <cell r="AT84"/>
          <cell r="AU84"/>
          <cell r="AV84"/>
          <cell r="AW84"/>
          <cell r="AX84"/>
          <cell r="AY84"/>
          <cell r="AZ84"/>
          <cell r="BA84"/>
          <cell r="BB84"/>
          <cell r="BC84"/>
          <cell r="BD84"/>
          <cell r="BE84"/>
          <cell r="BF84"/>
          <cell r="BG84">
            <v>5</v>
          </cell>
          <cell r="BH84"/>
          <cell r="BI84"/>
          <cell r="BJ84"/>
          <cell r="BK84"/>
          <cell r="BL84"/>
          <cell r="BM84"/>
          <cell r="BN84"/>
          <cell r="BO84"/>
          <cell r="BP84">
            <v>0</v>
          </cell>
          <cell r="BQ84"/>
          <cell r="BR84"/>
          <cell r="BS84"/>
          <cell r="BT84"/>
          <cell r="BU84"/>
          <cell r="BV84"/>
          <cell r="BW84"/>
          <cell r="BX84"/>
          <cell r="BY84"/>
          <cell r="BZ84"/>
          <cell r="CA84"/>
          <cell r="CB84"/>
          <cell r="CC84"/>
          <cell r="CD84"/>
          <cell r="CE84">
            <v>0</v>
          </cell>
          <cell r="CF84"/>
          <cell r="CG84"/>
          <cell r="CH84"/>
          <cell r="CI84"/>
          <cell r="CJ84"/>
          <cell r="CK84"/>
          <cell r="CL84"/>
          <cell r="CM84"/>
          <cell r="CN84"/>
          <cell r="CO84"/>
          <cell r="CP84"/>
          <cell r="CQ84"/>
          <cell r="CR84"/>
          <cell r="CS84"/>
          <cell r="CT84"/>
          <cell r="CU84"/>
          <cell r="CV84"/>
          <cell r="CW84"/>
          <cell r="CX84"/>
          <cell r="CY84"/>
          <cell r="CZ84">
            <v>71.5</v>
          </cell>
          <cell r="DA84"/>
          <cell r="DB84"/>
          <cell r="DC84"/>
          <cell r="DD84"/>
          <cell r="DE84"/>
          <cell r="DF84"/>
          <cell r="DG84"/>
          <cell r="DH84"/>
          <cell r="DI84"/>
          <cell r="DJ84" t="e">
            <v>#REF!</v>
          </cell>
          <cell r="DK84"/>
          <cell r="DL84"/>
          <cell r="DM84"/>
          <cell r="DN84"/>
          <cell r="DO84" t="str">
            <v>78</v>
          </cell>
          <cell r="DP84"/>
        </row>
        <row r="85">
          <cell r="B85"/>
          <cell r="C85"/>
          <cell r="D85"/>
          <cell r="E85"/>
          <cell r="F85"/>
          <cell r="G85"/>
          <cell r="H85"/>
          <cell r="I85"/>
          <cell r="J85"/>
          <cell r="K85"/>
          <cell r="L85"/>
          <cell r="M85"/>
          <cell r="N85"/>
          <cell r="O85"/>
          <cell r="P85"/>
          <cell r="Q85"/>
          <cell r="R85"/>
          <cell r="S85"/>
          <cell r="T85"/>
          <cell r="U85"/>
          <cell r="V85"/>
          <cell r="W85"/>
          <cell r="X85"/>
          <cell r="Y85"/>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AZ85"/>
          <cell r="BA85"/>
          <cell r="BB85"/>
          <cell r="BC85"/>
          <cell r="BD85"/>
          <cell r="BE85"/>
          <cell r="BF85"/>
          <cell r="BG85"/>
          <cell r="BH85"/>
          <cell r="BI85"/>
          <cell r="BJ85"/>
          <cell r="BK85"/>
          <cell r="BL85"/>
          <cell r="BM85"/>
          <cell r="BN85"/>
          <cell r="BO85"/>
          <cell r="BP85"/>
          <cell r="BQ85"/>
          <cell r="BR85"/>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cell r="DG85"/>
          <cell r="DH85"/>
          <cell r="DI85"/>
          <cell r="DJ85" t="e">
            <v>#REF!</v>
          </cell>
          <cell r="DK85"/>
          <cell r="DL85"/>
          <cell r="DM85"/>
          <cell r="DN85"/>
          <cell r="DO85"/>
          <cell r="DP85"/>
        </row>
        <row r="86">
          <cell r="B86"/>
          <cell r="C86"/>
          <cell r="D86"/>
          <cell r="E86"/>
          <cell r="F86"/>
          <cell r="G86"/>
          <cell r="H86"/>
          <cell r="I86"/>
          <cell r="J86"/>
          <cell r="K86"/>
          <cell r="L86"/>
          <cell r="M86"/>
          <cell r="N86"/>
          <cell r="O86"/>
          <cell r="P86"/>
          <cell r="Q86"/>
          <cell r="R86"/>
          <cell r="S86"/>
          <cell r="T86"/>
          <cell r="U86"/>
          <cell r="V86"/>
          <cell r="W86"/>
          <cell r="X86"/>
          <cell r="Y86"/>
          <cell r="Z86"/>
          <cell r="AA86"/>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cell r="DG86"/>
          <cell r="DH86"/>
          <cell r="DI86"/>
          <cell r="DJ86"/>
          <cell r="DK86"/>
          <cell r="DL86"/>
          <cell r="DM86"/>
          <cell r="DN86"/>
          <cell r="DO86"/>
          <cell r="DP86"/>
        </row>
        <row r="87">
          <cell r="B87"/>
          <cell r="C87"/>
          <cell r="D87"/>
          <cell r="E87"/>
          <cell r="F87"/>
          <cell r="G87"/>
          <cell r="H87"/>
          <cell r="I87"/>
          <cell r="J87"/>
          <cell r="K87"/>
          <cell r="L87"/>
          <cell r="M87"/>
          <cell r="N87"/>
          <cell r="O87"/>
          <cell r="P87"/>
          <cell r="Q87"/>
          <cell r="R87"/>
          <cell r="S87"/>
          <cell r="T87"/>
          <cell r="U87"/>
          <cell r="V87"/>
          <cell r="W87"/>
          <cell r="X87"/>
          <cell r="Y87"/>
          <cell r="Z87"/>
          <cell r="AA87"/>
          <cell r="AB87"/>
          <cell r="AC87"/>
          <cell r="AD87"/>
          <cell r="AE87"/>
          <cell r="AF87"/>
          <cell r="AG87"/>
          <cell r="AH87"/>
          <cell r="AI87"/>
          <cell r="AJ87"/>
          <cell r="AK87"/>
          <cell r="AL87"/>
          <cell r="AM87"/>
          <cell r="AN87"/>
          <cell r="AO87"/>
          <cell r="AP87"/>
          <cell r="AQ87"/>
          <cell r="AR87"/>
          <cell r="AS87"/>
          <cell r="AT87"/>
          <cell r="AU87"/>
          <cell r="AV87"/>
          <cell r="AW87"/>
          <cell r="AX87"/>
          <cell r="AY87"/>
          <cell r="AZ87"/>
          <cell r="BA87"/>
          <cell r="BB87"/>
          <cell r="BC87"/>
          <cell r="BD87"/>
          <cell r="BE87"/>
          <cell r="BF87"/>
          <cell r="BG87"/>
          <cell r="BH87"/>
          <cell r="BI87"/>
          <cell r="BJ87"/>
          <cell r="BK87"/>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cell r="DG87"/>
          <cell r="DH87"/>
          <cell r="DI87"/>
          <cell r="DJ87"/>
          <cell r="DK87"/>
          <cell r="DL87"/>
          <cell r="DM87"/>
          <cell r="DN87"/>
          <cell r="DO87"/>
          <cell r="DP87"/>
        </row>
        <row r="88">
          <cell r="L88"/>
        </row>
        <row r="89">
          <cell r="L89"/>
          <cell r="T89"/>
          <cell r="U89"/>
          <cell r="V89"/>
          <cell r="W89"/>
          <cell r="X89"/>
          <cell r="AE89"/>
          <cell r="AF89"/>
          <cell r="AG89"/>
          <cell r="AH89"/>
          <cell r="AI89"/>
          <cell r="AL89"/>
          <cell r="AM89"/>
          <cell r="AN89"/>
          <cell r="AO89"/>
          <cell r="AP89"/>
          <cell r="AS89"/>
          <cell r="AT89"/>
          <cell r="AU89"/>
          <cell r="AV89"/>
          <cell r="AW89"/>
          <cell r="BB89"/>
          <cell r="BC89"/>
          <cell r="BD89"/>
          <cell r="BE89"/>
          <cell r="BF89"/>
          <cell r="BK89"/>
          <cell r="BL89"/>
          <cell r="BM89"/>
          <cell r="BN89"/>
          <cell r="BO89"/>
          <cell r="BR89"/>
          <cell r="BS89"/>
          <cell r="BT89"/>
          <cell r="BU89"/>
          <cell r="BV89"/>
          <cell r="BY89"/>
          <cell r="BZ89"/>
          <cell r="CA89"/>
          <cell r="CB89"/>
          <cell r="CC89"/>
          <cell r="CF89"/>
          <cell r="CG89"/>
          <cell r="CH89"/>
          <cell r="CI89"/>
          <cell r="CJ89"/>
          <cell r="CM89"/>
          <cell r="CN89"/>
          <cell r="CO89"/>
          <cell r="CP89"/>
          <cell r="CQ89"/>
          <cell r="CS89"/>
          <cell r="CT89"/>
          <cell r="CU89"/>
          <cell r="CV89"/>
          <cell r="CW89"/>
          <cell r="CX89"/>
          <cell r="CY89" t="str">
            <v xml:space="preserve"> </v>
          </cell>
          <cell r="CZ89"/>
          <cell r="DA89"/>
          <cell r="DB89"/>
          <cell r="DD89"/>
          <cell r="DE89"/>
          <cell r="DF89"/>
          <cell r="DG89"/>
          <cell r="DH89"/>
          <cell r="DJ89"/>
          <cell r="DK89"/>
          <cell r="DL89"/>
          <cell r="DM89"/>
          <cell r="DN89"/>
        </row>
      </sheetData>
      <sheetData sheetId="2" refreshError="1">
        <row r="1">
          <cell r="B1"/>
          <cell r="C1"/>
          <cell r="D1"/>
          <cell r="E1" t="str">
            <v>Departmental Income and Expense</v>
          </cell>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cell r="BE1"/>
          <cell r="BF1"/>
          <cell r="BG1"/>
          <cell r="BH1"/>
          <cell r="BI1"/>
          <cell r="BJ1"/>
          <cell r="BK1"/>
          <cell r="BL1"/>
          <cell r="BM1"/>
          <cell r="BN1"/>
          <cell r="BO1"/>
          <cell r="BP1"/>
          <cell r="BQ1"/>
          <cell r="BR1"/>
          <cell r="BS1"/>
          <cell r="BT1"/>
          <cell r="BU1"/>
          <cell r="BV1"/>
          <cell r="BW1"/>
          <cell r="BX1"/>
          <cell r="BY1"/>
          <cell r="BZ1"/>
          <cell r="CA1"/>
          <cell r="CB1"/>
          <cell r="CC1"/>
          <cell r="CD1"/>
          <cell r="CE1"/>
          <cell r="CF1"/>
          <cell r="CG1"/>
          <cell r="CH1"/>
          <cell r="CI1"/>
          <cell r="CJ1"/>
          <cell r="CK1"/>
          <cell r="CL1"/>
          <cell r="CM1"/>
          <cell r="CN1"/>
          <cell r="CO1"/>
          <cell r="CP1"/>
          <cell r="CQ1"/>
          <cell r="CR1"/>
          <cell r="CS1"/>
          <cell r="CT1"/>
          <cell r="CU1"/>
          <cell r="CV1"/>
          <cell r="CW1"/>
        </row>
        <row r="2">
          <cell r="B2" t="str">
            <v>PAGE 3</v>
          </cell>
          <cell r="C2"/>
          <cell r="D2"/>
          <cell r="E2"/>
          <cell r="F2"/>
          <cell r="G2"/>
          <cell r="H2"/>
          <cell r="I2"/>
          <cell r="J2"/>
          <cell r="K2"/>
          <cell r="L2" t="str">
            <v>(Month, Year)</v>
          </cell>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cell r="BF2"/>
          <cell r="BG2"/>
          <cell r="BH2"/>
          <cell r="BI2"/>
          <cell r="BJ2"/>
          <cell r="BK2"/>
          <cell r="BL2"/>
          <cell r="BM2"/>
          <cell r="BN2"/>
          <cell r="BO2"/>
          <cell r="BP2"/>
          <cell r="BQ2"/>
          <cell r="BR2"/>
          <cell r="BS2"/>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row>
        <row r="3">
          <cell r="B3" t="str">
            <v>LINE</v>
          </cell>
          <cell r="C3"/>
          <cell r="D3" t="str">
            <v>NAME OF ACCOUNT</v>
          </cell>
          <cell r="E3"/>
          <cell r="F3"/>
          <cell r="G3"/>
          <cell r="H3"/>
          <cell r="I3"/>
          <cell r="J3"/>
          <cell r="K3"/>
          <cell r="L3"/>
          <cell r="M3"/>
          <cell r="N3"/>
          <cell r="O3"/>
          <cell r="P3"/>
          <cell r="Q3"/>
          <cell r="R3" t="str">
            <v>ACCT</v>
          </cell>
          <cell r="S3" t="str">
            <v>C - SERVICE DEPARTMENT</v>
          </cell>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t="str">
            <v>D - PARTS AND ACC. DEPT.</v>
          </cell>
          <cell r="AZ3"/>
          <cell r="BA3"/>
          <cell r="BB3"/>
          <cell r="BC3"/>
          <cell r="BD3"/>
          <cell r="BE3"/>
          <cell r="BF3"/>
          <cell r="BG3"/>
          <cell r="BH3"/>
          <cell r="BI3"/>
          <cell r="BJ3"/>
          <cell r="BK3"/>
          <cell r="BL3"/>
          <cell r="BM3"/>
          <cell r="BN3"/>
          <cell r="BO3"/>
          <cell r="BP3"/>
          <cell r="BQ3"/>
          <cell r="BR3"/>
          <cell r="BS3"/>
          <cell r="BT3"/>
          <cell r="BU3" t="str">
            <v>E-BODY SHOP DEPARTMENT</v>
          </cell>
          <cell r="BV3"/>
          <cell r="BW3"/>
          <cell r="BX3"/>
          <cell r="BY3"/>
          <cell r="BZ3"/>
          <cell r="CA3"/>
          <cell r="CB3"/>
          <cell r="CC3"/>
          <cell r="CD3"/>
          <cell r="CE3"/>
          <cell r="CF3"/>
          <cell r="CG3"/>
          <cell r="CH3"/>
          <cell r="CI3"/>
          <cell r="CJ3"/>
          <cell r="CK3"/>
          <cell r="CL3"/>
          <cell r="CM3"/>
          <cell r="CN3"/>
          <cell r="CO3"/>
          <cell r="CP3"/>
          <cell r="CQ3"/>
          <cell r="CR3"/>
          <cell r="CS3"/>
          <cell r="CT3"/>
          <cell r="CU3"/>
          <cell r="CV3" t="str">
            <v>LINE</v>
          </cell>
          <cell r="CW3"/>
          <cell r="CX3"/>
        </row>
        <row r="4">
          <cell r="B4" t="str">
            <v>NO</v>
          </cell>
          <cell r="C4"/>
          <cell r="D4"/>
          <cell r="E4"/>
          <cell r="F4"/>
          <cell r="G4"/>
          <cell r="H4"/>
          <cell r="I4"/>
          <cell r="J4"/>
          <cell r="K4"/>
          <cell r="L4"/>
          <cell r="M4"/>
          <cell r="N4"/>
          <cell r="O4"/>
          <cell r="P4"/>
          <cell r="Q4"/>
          <cell r="R4" t="str">
            <v>NO</v>
          </cell>
          <cell r="S4" t="str">
            <v>MONTH</v>
          </cell>
          <cell r="T4"/>
          <cell r="U4"/>
          <cell r="V4"/>
          <cell r="W4"/>
          <cell r="X4"/>
          <cell r="Y4"/>
          <cell r="Z4"/>
          <cell r="AA4"/>
          <cell r="AB4"/>
          <cell r="AC4"/>
          <cell r="AD4"/>
          <cell r="AE4"/>
          <cell r="AF4"/>
          <cell r="AG4"/>
          <cell r="AH4"/>
          <cell r="AI4" t="str">
            <v>YEAR TO DATE</v>
          </cell>
          <cell r="AJ4"/>
          <cell r="AK4"/>
          <cell r="AL4"/>
          <cell r="AM4"/>
          <cell r="AN4"/>
          <cell r="AO4"/>
          <cell r="AP4"/>
          <cell r="AQ4"/>
          <cell r="AR4"/>
          <cell r="AS4"/>
          <cell r="AT4"/>
          <cell r="AU4"/>
          <cell r="AV4"/>
          <cell r="AW4"/>
          <cell r="AX4"/>
          <cell r="AY4" t="str">
            <v>MONTH</v>
          </cell>
          <cell r="AZ4"/>
          <cell r="BA4"/>
          <cell r="BB4"/>
          <cell r="BC4"/>
          <cell r="BD4"/>
          <cell r="BE4"/>
          <cell r="BF4"/>
          <cell r="BG4"/>
          <cell r="BH4"/>
          <cell r="BI4"/>
          <cell r="BJ4" t="str">
            <v>YEAR TO DATE</v>
          </cell>
          <cell r="BK4"/>
          <cell r="BL4"/>
          <cell r="BM4"/>
          <cell r="BN4"/>
          <cell r="BO4"/>
          <cell r="BP4"/>
          <cell r="BQ4"/>
          <cell r="BR4"/>
          <cell r="BS4"/>
          <cell r="BT4"/>
          <cell r="BU4" t="str">
            <v>MONTH</v>
          </cell>
          <cell r="BV4"/>
          <cell r="BW4"/>
          <cell r="BX4"/>
          <cell r="BY4"/>
          <cell r="BZ4"/>
          <cell r="CA4"/>
          <cell r="CB4"/>
          <cell r="CC4"/>
          <cell r="CD4"/>
          <cell r="CE4"/>
          <cell r="CF4" t="str">
            <v>YEAR TO DATE</v>
          </cell>
          <cell r="CG4"/>
          <cell r="CH4"/>
          <cell r="CI4"/>
          <cell r="CJ4"/>
          <cell r="CK4"/>
          <cell r="CL4"/>
          <cell r="CM4"/>
          <cell r="CN4"/>
          <cell r="CO4"/>
          <cell r="CP4"/>
          <cell r="CQ4"/>
          <cell r="CR4"/>
          <cell r="CS4"/>
          <cell r="CT4"/>
          <cell r="CU4"/>
          <cell r="CV4" t="str">
            <v>NO</v>
          </cell>
          <cell r="CW4"/>
          <cell r="CX4"/>
        </row>
        <row r="5">
          <cell r="B5" t="str">
            <v>1</v>
          </cell>
          <cell r="C5"/>
          <cell r="D5" t="str">
            <v>TOTAL SALES</v>
          </cell>
          <cell r="E5"/>
          <cell r="F5"/>
          <cell r="G5"/>
          <cell r="H5"/>
          <cell r="I5"/>
          <cell r="J5"/>
          <cell r="K5"/>
          <cell r="L5"/>
          <cell r="M5"/>
          <cell r="N5"/>
          <cell r="O5"/>
          <cell r="P5"/>
          <cell r="Q5" t="str">
            <v>(From Page 6)</v>
          </cell>
          <cell r="R5"/>
          <cell r="S5">
            <v>238467</v>
          </cell>
          <cell r="T5"/>
          <cell r="U5"/>
          <cell r="V5"/>
          <cell r="W5"/>
          <cell r="X5"/>
          <cell r="Y5"/>
          <cell r="Z5"/>
          <cell r="AA5"/>
          <cell r="AB5"/>
          <cell r="AC5"/>
          <cell r="AD5" t="e">
            <v>#REF!</v>
          </cell>
          <cell r="AE5"/>
          <cell r="AF5"/>
          <cell r="AG5"/>
          <cell r="AH5"/>
          <cell r="AI5">
            <v>2785150</v>
          </cell>
          <cell r="AJ5"/>
          <cell r="AK5"/>
          <cell r="AL5"/>
          <cell r="AM5"/>
          <cell r="AN5"/>
          <cell r="AO5"/>
          <cell r="AP5"/>
          <cell r="AQ5"/>
          <cell r="AR5"/>
          <cell r="AS5"/>
          <cell r="AT5" t="e">
            <v>#REF!</v>
          </cell>
          <cell r="AU5"/>
          <cell r="AV5"/>
          <cell r="AW5"/>
          <cell r="AX5"/>
          <cell r="AY5">
            <v>259640</v>
          </cell>
          <cell r="AZ5"/>
          <cell r="BA5"/>
          <cell r="BB5"/>
          <cell r="BC5"/>
          <cell r="BD5"/>
          <cell r="BE5" t="e">
            <v>#REF!</v>
          </cell>
          <cell r="BF5"/>
          <cell r="BG5"/>
          <cell r="BH5"/>
          <cell r="BI5"/>
          <cell r="BJ5">
            <v>2735487</v>
          </cell>
          <cell r="BK5"/>
          <cell r="BL5"/>
          <cell r="BM5"/>
          <cell r="BN5"/>
          <cell r="BO5"/>
          <cell r="BP5" t="e">
            <v>#REF!</v>
          </cell>
          <cell r="BQ5"/>
          <cell r="BR5"/>
          <cell r="BS5"/>
          <cell r="BT5"/>
          <cell r="BU5">
            <v>0</v>
          </cell>
          <cell r="BV5"/>
          <cell r="BW5"/>
          <cell r="BX5"/>
          <cell r="BY5"/>
          <cell r="BZ5"/>
          <cell r="CA5" t="e">
            <v>#REF!</v>
          </cell>
          <cell r="CB5"/>
          <cell r="CC5"/>
          <cell r="CD5"/>
          <cell r="CE5"/>
          <cell r="CF5">
            <v>0</v>
          </cell>
          <cell r="CG5"/>
          <cell r="CH5"/>
          <cell r="CI5"/>
          <cell r="CJ5"/>
          <cell r="CK5"/>
          <cell r="CL5"/>
          <cell r="CM5"/>
          <cell r="CN5"/>
          <cell r="CO5"/>
          <cell r="CP5"/>
          <cell r="CQ5" t="e">
            <v>#REF!</v>
          </cell>
          <cell r="CR5"/>
          <cell r="CS5"/>
          <cell r="CT5"/>
          <cell r="CU5"/>
          <cell r="CV5" t="str">
            <v>1</v>
          </cell>
          <cell r="CW5"/>
          <cell r="CX5"/>
          <cell r="CY5">
            <v>300103</v>
          </cell>
          <cell r="CZ5">
            <v>300105</v>
          </cell>
          <cell r="DA5">
            <v>300107</v>
          </cell>
          <cell r="DB5">
            <v>300109</v>
          </cell>
          <cell r="DC5">
            <v>300111</v>
          </cell>
          <cell r="DD5">
            <v>300113</v>
          </cell>
        </row>
        <row r="6">
          <cell r="B6" t="str">
            <v>2</v>
          </cell>
          <cell r="C6"/>
          <cell r="D6" t="str">
            <v>TOTAL GROSS PROFIT</v>
          </cell>
          <cell r="E6"/>
          <cell r="F6"/>
          <cell r="G6"/>
          <cell r="H6"/>
          <cell r="I6"/>
          <cell r="J6"/>
          <cell r="K6"/>
          <cell r="L6"/>
          <cell r="M6"/>
          <cell r="N6"/>
          <cell r="O6"/>
          <cell r="P6"/>
          <cell r="Q6" t="str">
            <v>(From Page 6)</v>
          </cell>
          <cell r="R6"/>
          <cell r="S6">
            <v>150972</v>
          </cell>
          <cell r="T6"/>
          <cell r="U6"/>
          <cell r="V6"/>
          <cell r="W6"/>
          <cell r="X6"/>
          <cell r="Y6"/>
          <cell r="Z6"/>
          <cell r="AA6"/>
          <cell r="AB6"/>
          <cell r="AC6"/>
          <cell r="AD6" t="e">
            <v>#REF!</v>
          </cell>
          <cell r="AE6"/>
          <cell r="AF6"/>
          <cell r="AG6"/>
          <cell r="AH6"/>
          <cell r="AI6">
            <v>1817138</v>
          </cell>
          <cell r="AJ6"/>
          <cell r="AK6"/>
          <cell r="AL6"/>
          <cell r="AM6"/>
          <cell r="AN6"/>
          <cell r="AO6"/>
          <cell r="AP6"/>
          <cell r="AQ6"/>
          <cell r="AR6"/>
          <cell r="AS6"/>
          <cell r="AT6" t="e">
            <v>#REF!</v>
          </cell>
          <cell r="AU6"/>
          <cell r="AV6"/>
          <cell r="AW6"/>
          <cell r="AX6"/>
          <cell r="AY6">
            <v>87613</v>
          </cell>
          <cell r="AZ6"/>
          <cell r="BA6"/>
          <cell r="BB6"/>
          <cell r="BC6"/>
          <cell r="BD6"/>
          <cell r="BE6" t="e">
            <v>#REF!</v>
          </cell>
          <cell r="BF6"/>
          <cell r="BG6"/>
          <cell r="BH6"/>
          <cell r="BI6"/>
          <cell r="BJ6">
            <v>924077</v>
          </cell>
          <cell r="BK6"/>
          <cell r="BL6"/>
          <cell r="BM6"/>
          <cell r="BN6"/>
          <cell r="BO6"/>
          <cell r="BP6" t="e">
            <v>#REF!</v>
          </cell>
          <cell r="BQ6"/>
          <cell r="BR6"/>
          <cell r="BS6"/>
          <cell r="BT6"/>
          <cell r="BU6">
            <v>0</v>
          </cell>
          <cell r="BV6"/>
          <cell r="BW6"/>
          <cell r="BX6"/>
          <cell r="BY6"/>
          <cell r="BZ6"/>
          <cell r="CA6" t="e">
            <v>#REF!</v>
          </cell>
          <cell r="CB6"/>
          <cell r="CC6"/>
          <cell r="CD6"/>
          <cell r="CE6"/>
          <cell r="CF6">
            <v>0</v>
          </cell>
          <cell r="CG6"/>
          <cell r="CH6"/>
          <cell r="CI6"/>
          <cell r="CJ6"/>
          <cell r="CK6"/>
          <cell r="CL6"/>
          <cell r="CM6"/>
          <cell r="CN6"/>
          <cell r="CO6"/>
          <cell r="CP6"/>
          <cell r="CQ6" t="e">
            <v>#REF!</v>
          </cell>
          <cell r="CR6"/>
          <cell r="CS6"/>
          <cell r="CT6"/>
          <cell r="CU6"/>
          <cell r="CV6" t="str">
            <v>2</v>
          </cell>
          <cell r="CW6"/>
          <cell r="CX6"/>
          <cell r="CY6">
            <v>300203</v>
          </cell>
          <cell r="CZ6">
            <v>300205</v>
          </cell>
          <cell r="DA6">
            <v>300207</v>
          </cell>
          <cell r="DB6">
            <v>300209</v>
          </cell>
          <cell r="DC6">
            <v>300211</v>
          </cell>
          <cell r="DD6">
            <v>300213</v>
          </cell>
        </row>
        <row r="7">
          <cell r="B7" t="str">
            <v>3</v>
          </cell>
          <cell r="C7"/>
          <cell r="D7" t="str">
            <v>Commissions &amp; Incentives</v>
          </cell>
          <cell r="E7"/>
          <cell r="F7"/>
          <cell r="G7"/>
          <cell r="H7"/>
          <cell r="I7"/>
          <cell r="J7"/>
          <cell r="K7"/>
          <cell r="L7"/>
          <cell r="M7"/>
          <cell r="N7"/>
          <cell r="O7"/>
          <cell r="P7"/>
          <cell r="Q7"/>
          <cell r="R7" t="str">
            <v>0100</v>
          </cell>
          <cell r="S7">
            <v>24587</v>
          </cell>
          <cell r="T7"/>
          <cell r="U7"/>
          <cell r="V7"/>
          <cell r="W7"/>
          <cell r="X7"/>
          <cell r="Y7"/>
          <cell r="Z7"/>
          <cell r="AA7"/>
          <cell r="AB7"/>
          <cell r="AC7"/>
          <cell r="AD7" t="e">
            <v>#REF!</v>
          </cell>
          <cell r="AE7"/>
          <cell r="AF7"/>
          <cell r="AG7"/>
          <cell r="AH7"/>
          <cell r="AI7">
            <v>283556</v>
          </cell>
          <cell r="AJ7"/>
          <cell r="AK7"/>
          <cell r="AL7"/>
          <cell r="AM7"/>
          <cell r="AN7"/>
          <cell r="AO7"/>
          <cell r="AP7"/>
          <cell r="AQ7"/>
          <cell r="AR7"/>
          <cell r="AS7"/>
          <cell r="AT7" t="e">
            <v>#REF!</v>
          </cell>
          <cell r="AU7"/>
          <cell r="AV7"/>
          <cell r="AW7"/>
          <cell r="AX7"/>
          <cell r="AY7">
            <v>10250</v>
          </cell>
          <cell r="AZ7"/>
          <cell r="BA7"/>
          <cell r="BB7"/>
          <cell r="BC7"/>
          <cell r="BD7"/>
          <cell r="BE7" t="e">
            <v>#REF!</v>
          </cell>
          <cell r="BF7"/>
          <cell r="BG7"/>
          <cell r="BH7"/>
          <cell r="BI7"/>
          <cell r="BJ7">
            <v>119175</v>
          </cell>
          <cell r="BK7"/>
          <cell r="BL7"/>
          <cell r="BM7"/>
          <cell r="BN7"/>
          <cell r="BO7"/>
          <cell r="BP7" t="e">
            <v>#REF!</v>
          </cell>
          <cell r="BQ7"/>
          <cell r="BR7"/>
          <cell r="BS7"/>
          <cell r="BT7"/>
          <cell r="BU7">
            <v>0</v>
          </cell>
          <cell r="BV7"/>
          <cell r="BW7"/>
          <cell r="BX7"/>
          <cell r="BY7"/>
          <cell r="BZ7"/>
          <cell r="CA7" t="e">
            <v>#REF!</v>
          </cell>
          <cell r="CB7"/>
          <cell r="CC7"/>
          <cell r="CD7"/>
          <cell r="CE7"/>
          <cell r="CF7">
            <v>0</v>
          </cell>
          <cell r="CG7"/>
          <cell r="CH7"/>
          <cell r="CI7"/>
          <cell r="CJ7"/>
          <cell r="CK7"/>
          <cell r="CL7"/>
          <cell r="CM7"/>
          <cell r="CN7"/>
          <cell r="CO7"/>
          <cell r="CP7"/>
          <cell r="CQ7" t="e">
            <v>#REF!</v>
          </cell>
          <cell r="CR7"/>
          <cell r="CS7"/>
          <cell r="CT7"/>
          <cell r="CU7"/>
          <cell r="CV7" t="str">
            <v>3</v>
          </cell>
          <cell r="CW7"/>
          <cell r="CX7"/>
          <cell r="CY7">
            <v>300303</v>
          </cell>
          <cell r="CZ7">
            <v>300305</v>
          </cell>
          <cell r="DA7">
            <v>300307</v>
          </cell>
          <cell r="DB7">
            <v>300309</v>
          </cell>
          <cell r="DC7">
            <v>300311</v>
          </cell>
          <cell r="DD7">
            <v>300313</v>
          </cell>
        </row>
        <row r="8">
          <cell r="B8" t="str">
            <v>4</v>
          </cell>
          <cell r="C8"/>
          <cell r="D8" t="str">
            <v>Salaries - Salespeople</v>
          </cell>
          <cell r="E8"/>
          <cell r="F8"/>
          <cell r="G8"/>
          <cell r="H8"/>
          <cell r="I8"/>
          <cell r="J8"/>
          <cell r="K8"/>
          <cell r="L8"/>
          <cell r="M8"/>
          <cell r="N8"/>
          <cell r="O8"/>
          <cell r="P8"/>
          <cell r="Q8"/>
          <cell r="R8" t="str">
            <v>0280</v>
          </cell>
          <cell r="S8">
            <v>0</v>
          </cell>
          <cell r="T8"/>
          <cell r="U8"/>
          <cell r="V8"/>
          <cell r="W8"/>
          <cell r="X8"/>
          <cell r="Y8"/>
          <cell r="Z8"/>
          <cell r="AA8"/>
          <cell r="AB8"/>
          <cell r="AC8"/>
          <cell r="AD8" t="e">
            <v>#REF!</v>
          </cell>
          <cell r="AE8"/>
          <cell r="AF8"/>
          <cell r="AG8"/>
          <cell r="AH8"/>
          <cell r="AI8">
            <v>0</v>
          </cell>
          <cell r="AJ8"/>
          <cell r="AK8"/>
          <cell r="AL8"/>
          <cell r="AM8"/>
          <cell r="AN8"/>
          <cell r="AO8"/>
          <cell r="AP8"/>
          <cell r="AQ8"/>
          <cell r="AR8"/>
          <cell r="AS8"/>
          <cell r="AT8" t="e">
            <v>#REF!</v>
          </cell>
          <cell r="AU8"/>
          <cell r="AV8"/>
          <cell r="AW8"/>
          <cell r="AX8"/>
          <cell r="AY8">
            <v>0</v>
          </cell>
          <cell r="AZ8"/>
          <cell r="BA8"/>
          <cell r="BB8"/>
          <cell r="BC8"/>
          <cell r="BD8"/>
          <cell r="BE8" t="e">
            <v>#REF!</v>
          </cell>
          <cell r="BF8"/>
          <cell r="BG8"/>
          <cell r="BH8"/>
          <cell r="BI8"/>
          <cell r="BJ8">
            <v>0</v>
          </cell>
          <cell r="BK8"/>
          <cell r="BL8"/>
          <cell r="BM8"/>
          <cell r="BN8"/>
          <cell r="BO8"/>
          <cell r="BP8" t="e">
            <v>#REF!</v>
          </cell>
          <cell r="BQ8"/>
          <cell r="BR8"/>
          <cell r="BS8"/>
          <cell r="BT8"/>
          <cell r="BU8">
            <v>0</v>
          </cell>
          <cell r="BV8"/>
          <cell r="BW8"/>
          <cell r="BX8"/>
          <cell r="BY8"/>
          <cell r="BZ8"/>
          <cell r="CA8" t="e">
            <v>#REF!</v>
          </cell>
          <cell r="CB8"/>
          <cell r="CC8"/>
          <cell r="CD8"/>
          <cell r="CE8"/>
          <cell r="CF8">
            <v>0</v>
          </cell>
          <cell r="CG8"/>
          <cell r="CH8"/>
          <cell r="CI8"/>
          <cell r="CJ8"/>
          <cell r="CK8"/>
          <cell r="CL8"/>
          <cell r="CM8"/>
          <cell r="CN8"/>
          <cell r="CO8"/>
          <cell r="CP8"/>
          <cell r="CQ8" t="e">
            <v>#REF!</v>
          </cell>
          <cell r="CR8"/>
          <cell r="CS8"/>
          <cell r="CT8"/>
          <cell r="CU8"/>
          <cell r="CV8" t="str">
            <v>4</v>
          </cell>
          <cell r="CW8"/>
          <cell r="CX8"/>
          <cell r="CY8">
            <v>300403</v>
          </cell>
          <cell r="CZ8">
            <v>300405</v>
          </cell>
          <cell r="DA8">
            <v>300407</v>
          </cell>
          <cell r="DB8">
            <v>300409</v>
          </cell>
          <cell r="DC8">
            <v>300411</v>
          </cell>
          <cell r="DD8">
            <v>300413</v>
          </cell>
        </row>
        <row r="9">
          <cell r="B9" t="str">
            <v>5</v>
          </cell>
          <cell r="C9"/>
          <cell r="D9" t="str">
            <v>F &amp; I Commissions &amp; Incentives</v>
          </cell>
          <cell r="E9"/>
          <cell r="F9"/>
          <cell r="G9"/>
          <cell r="H9"/>
          <cell r="I9"/>
          <cell r="J9"/>
          <cell r="K9"/>
          <cell r="L9"/>
          <cell r="M9"/>
          <cell r="N9"/>
          <cell r="O9"/>
          <cell r="P9"/>
          <cell r="Q9"/>
          <cell r="R9" t="str">
            <v>0090</v>
          </cell>
          <cell r="S9"/>
          <cell r="T9"/>
          <cell r="U9"/>
          <cell r="V9"/>
          <cell r="W9"/>
          <cell r="X9"/>
          <cell r="Y9"/>
          <cell r="Z9"/>
          <cell r="AA9"/>
          <cell r="AB9"/>
          <cell r="AC9"/>
          <cell r="AD9"/>
          <cell r="AE9"/>
          <cell r="AF9"/>
          <cell r="AG9"/>
          <cell r="AH9"/>
          <cell r="AI9"/>
          <cell r="AJ9"/>
          <cell r="AK9"/>
          <cell r="AL9"/>
          <cell r="AM9"/>
          <cell r="AN9"/>
          <cell r="AO9"/>
          <cell r="AP9"/>
          <cell r="AQ9"/>
          <cell r="AR9"/>
          <cell r="AS9"/>
          <cell r="AT9"/>
          <cell r="AU9"/>
          <cell r="AV9"/>
          <cell r="AW9"/>
          <cell r="AX9"/>
          <cell r="AY9"/>
          <cell r="AZ9"/>
          <cell r="BA9"/>
          <cell r="BB9"/>
          <cell r="BC9"/>
          <cell r="BD9"/>
          <cell r="BE9"/>
          <cell r="BF9"/>
          <cell r="BG9"/>
          <cell r="BH9"/>
          <cell r="BI9"/>
          <cell r="BJ9"/>
          <cell r="BK9"/>
          <cell r="BL9"/>
          <cell r="BM9"/>
          <cell r="BN9"/>
          <cell r="BO9"/>
          <cell r="BP9"/>
          <cell r="BQ9"/>
          <cell r="BR9"/>
          <cell r="BS9"/>
          <cell r="BT9"/>
          <cell r="BU9"/>
          <cell r="BV9"/>
          <cell r="BW9"/>
          <cell r="BX9"/>
          <cell r="BY9"/>
          <cell r="BZ9"/>
          <cell r="CA9"/>
          <cell r="CB9"/>
          <cell r="CC9"/>
          <cell r="CD9"/>
          <cell r="CE9"/>
          <cell r="CF9"/>
          <cell r="CG9"/>
          <cell r="CH9"/>
          <cell r="CI9"/>
          <cell r="CJ9"/>
          <cell r="CK9"/>
          <cell r="CL9"/>
          <cell r="CM9"/>
          <cell r="CN9"/>
          <cell r="CO9"/>
          <cell r="CP9"/>
          <cell r="CQ9" t="e">
            <v>#REF!</v>
          </cell>
          <cell r="CR9"/>
          <cell r="CS9"/>
          <cell r="CT9"/>
          <cell r="CU9"/>
          <cell r="CV9" t="str">
            <v>5</v>
          </cell>
          <cell r="CW9"/>
          <cell r="CX9"/>
          <cell r="CY9">
            <v>300503</v>
          </cell>
          <cell r="CZ9">
            <v>300505</v>
          </cell>
          <cell r="DA9">
            <v>300507</v>
          </cell>
          <cell r="DB9">
            <v>300509</v>
          </cell>
          <cell r="DC9">
            <v>300511</v>
          </cell>
          <cell r="DD9">
            <v>300513</v>
          </cell>
        </row>
        <row r="10">
          <cell r="B10" t="str">
            <v>6</v>
          </cell>
          <cell r="C10"/>
          <cell r="D10" t="str">
            <v>Delivery Expense</v>
          </cell>
          <cell r="E10"/>
          <cell r="F10"/>
          <cell r="G10"/>
          <cell r="H10"/>
          <cell r="I10"/>
          <cell r="J10"/>
          <cell r="K10"/>
          <cell r="L10"/>
          <cell r="M10"/>
          <cell r="N10"/>
          <cell r="O10"/>
          <cell r="P10"/>
          <cell r="Q10"/>
          <cell r="R10" t="str">
            <v>0110</v>
          </cell>
          <cell r="S10"/>
          <cell r="T10"/>
          <cell r="U10"/>
          <cell r="V10"/>
          <cell r="W10"/>
          <cell r="X10"/>
          <cell r="Y10"/>
          <cell r="Z10"/>
          <cell r="AA10"/>
          <cell r="AB10"/>
          <cell r="AC10"/>
          <cell r="AD10"/>
          <cell r="AE10"/>
          <cell r="AF10"/>
          <cell r="AG10"/>
          <cell r="AH10"/>
          <cell r="AI10"/>
          <cell r="AJ10"/>
          <cell r="AK10"/>
          <cell r="AL10"/>
          <cell r="AM10"/>
          <cell r="AN10"/>
          <cell r="AO10"/>
          <cell r="AP10"/>
          <cell r="AQ10"/>
          <cell r="AR10"/>
          <cell r="AS10"/>
          <cell r="AT10"/>
          <cell r="AU10"/>
          <cell r="AV10"/>
          <cell r="AW10"/>
          <cell r="AX10"/>
          <cell r="AY10"/>
          <cell r="AZ10"/>
          <cell r="BA10"/>
          <cell r="BB10"/>
          <cell r="BC10"/>
          <cell r="BD10"/>
          <cell r="BE10"/>
          <cell r="BF10"/>
          <cell r="BG10"/>
          <cell r="BH10"/>
          <cell r="BI10"/>
          <cell r="BJ10"/>
          <cell r="BK10"/>
          <cell r="BL10"/>
          <cell r="BM10"/>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t="e">
            <v>#REF!</v>
          </cell>
          <cell r="CR10"/>
          <cell r="CS10"/>
          <cell r="CT10"/>
          <cell r="CU10"/>
          <cell r="CV10" t="str">
            <v>6</v>
          </cell>
          <cell r="CW10"/>
          <cell r="CX10"/>
          <cell r="CY10">
            <v>300603</v>
          </cell>
          <cell r="CZ10">
            <v>300605</v>
          </cell>
          <cell r="DA10">
            <v>300607</v>
          </cell>
          <cell r="DB10">
            <v>300609</v>
          </cell>
          <cell r="DC10">
            <v>300611</v>
          </cell>
          <cell r="DD10">
            <v>300613</v>
          </cell>
        </row>
        <row r="11">
          <cell r="B11" t="str">
            <v>7</v>
          </cell>
          <cell r="C11"/>
          <cell r="D11" t="str">
            <v>Policy Adjustment</v>
          </cell>
          <cell r="E11"/>
          <cell r="F11"/>
          <cell r="G11"/>
          <cell r="H11"/>
          <cell r="I11"/>
          <cell r="J11"/>
          <cell r="K11"/>
          <cell r="L11"/>
          <cell r="M11"/>
          <cell r="N11"/>
          <cell r="O11"/>
          <cell r="P11"/>
          <cell r="Q11"/>
          <cell r="R11" t="str">
            <v>0130</v>
          </cell>
          <cell r="S11">
            <v>1367</v>
          </cell>
          <cell r="T11"/>
          <cell r="U11"/>
          <cell r="V11"/>
          <cell r="W11"/>
          <cell r="X11"/>
          <cell r="Y11"/>
          <cell r="Z11"/>
          <cell r="AA11"/>
          <cell r="AB11"/>
          <cell r="AC11"/>
          <cell r="AD11" t="e">
            <v>#REF!</v>
          </cell>
          <cell r="AE11"/>
          <cell r="AF11"/>
          <cell r="AG11"/>
          <cell r="AH11"/>
          <cell r="AI11">
            <v>19490</v>
          </cell>
          <cell r="AJ11"/>
          <cell r="AK11"/>
          <cell r="AL11"/>
          <cell r="AM11"/>
          <cell r="AN11"/>
          <cell r="AO11"/>
          <cell r="AP11"/>
          <cell r="AQ11"/>
          <cell r="AR11"/>
          <cell r="AS11"/>
          <cell r="AT11" t="e">
            <v>#REF!</v>
          </cell>
          <cell r="AU11"/>
          <cell r="AV11"/>
          <cell r="AW11"/>
          <cell r="AX11"/>
          <cell r="AY11">
            <v>144</v>
          </cell>
          <cell r="AZ11"/>
          <cell r="BA11"/>
          <cell r="BB11"/>
          <cell r="BC11"/>
          <cell r="BD11"/>
          <cell r="BE11" t="e">
            <v>#REF!</v>
          </cell>
          <cell r="BF11"/>
          <cell r="BG11"/>
          <cell r="BH11"/>
          <cell r="BI11"/>
          <cell r="BJ11">
            <v>1230</v>
          </cell>
          <cell r="BK11"/>
          <cell r="BL11"/>
          <cell r="BM11"/>
          <cell r="BN11"/>
          <cell r="BO11"/>
          <cell r="BP11" t="e">
            <v>#REF!</v>
          </cell>
          <cell r="BQ11"/>
          <cell r="BR11"/>
          <cell r="BS11"/>
          <cell r="BT11"/>
          <cell r="BU11">
            <v>0</v>
          </cell>
          <cell r="BV11"/>
          <cell r="BW11"/>
          <cell r="BX11"/>
          <cell r="BY11"/>
          <cell r="BZ11"/>
          <cell r="CA11" t="e">
            <v>#REF!</v>
          </cell>
          <cell r="CB11"/>
          <cell r="CC11"/>
          <cell r="CD11"/>
          <cell r="CE11"/>
          <cell r="CF11">
            <v>0</v>
          </cell>
          <cell r="CG11"/>
          <cell r="CH11"/>
          <cell r="CI11"/>
          <cell r="CJ11"/>
          <cell r="CK11"/>
          <cell r="CL11"/>
          <cell r="CM11"/>
          <cell r="CN11"/>
          <cell r="CO11"/>
          <cell r="CP11"/>
          <cell r="CQ11" t="e">
            <v>#REF!</v>
          </cell>
          <cell r="CR11"/>
          <cell r="CS11"/>
          <cell r="CT11"/>
          <cell r="CU11"/>
          <cell r="CV11" t="str">
            <v>7</v>
          </cell>
          <cell r="CW11"/>
          <cell r="CX11"/>
          <cell r="CY11">
            <v>300703</v>
          </cell>
          <cell r="CZ11">
            <v>300705</v>
          </cell>
          <cell r="DA11">
            <v>300707</v>
          </cell>
          <cell r="DB11">
            <v>300709</v>
          </cell>
          <cell r="DC11">
            <v>300711</v>
          </cell>
          <cell r="DD11">
            <v>300713</v>
          </cell>
        </row>
        <row r="12">
          <cell r="B12" t="str">
            <v>8</v>
          </cell>
          <cell r="C12"/>
          <cell r="D12" t="str">
            <v>Demonstration</v>
          </cell>
          <cell r="E12"/>
          <cell r="F12"/>
          <cell r="G12"/>
          <cell r="H12"/>
          <cell r="I12"/>
          <cell r="J12"/>
          <cell r="K12"/>
          <cell r="L12"/>
          <cell r="M12"/>
          <cell r="N12"/>
          <cell r="O12"/>
          <cell r="P12"/>
          <cell r="Q12"/>
          <cell r="R12" t="str">
            <v>0140</v>
          </cell>
          <cell r="S12"/>
          <cell r="T12"/>
          <cell r="U12"/>
          <cell r="V12"/>
          <cell r="W12"/>
          <cell r="X12"/>
          <cell r="Y12"/>
          <cell r="Z12"/>
          <cell r="AA12"/>
          <cell r="AB12"/>
          <cell r="AC12"/>
          <cell r="AD12"/>
          <cell r="AE12"/>
          <cell r="AF12"/>
          <cell r="AG12"/>
          <cell r="AH12"/>
          <cell r="AI12"/>
          <cell r="AJ12"/>
          <cell r="AK12"/>
          <cell r="AL12"/>
          <cell r="AM12"/>
          <cell r="AN12"/>
          <cell r="AO12"/>
          <cell r="AP12"/>
          <cell r="AQ12"/>
          <cell r="AR12"/>
          <cell r="AS12"/>
          <cell r="AT12"/>
          <cell r="AU12"/>
          <cell r="AV12"/>
          <cell r="AW12"/>
          <cell r="AX12"/>
          <cell r="AY12"/>
          <cell r="AZ12"/>
          <cell r="BA12"/>
          <cell r="BB12"/>
          <cell r="BC12"/>
          <cell r="BD12"/>
          <cell r="BE12"/>
          <cell r="BF12"/>
          <cell r="BG12"/>
          <cell r="BH12"/>
          <cell r="BI12"/>
          <cell r="BJ12"/>
          <cell r="BK12"/>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t="e">
            <v>#REF!</v>
          </cell>
          <cell r="CR12"/>
          <cell r="CS12"/>
          <cell r="CT12"/>
          <cell r="CU12"/>
          <cell r="CV12" t="str">
            <v>8</v>
          </cell>
          <cell r="CW12"/>
          <cell r="CX12"/>
          <cell r="CY12">
            <v>300803</v>
          </cell>
          <cell r="CZ12">
            <v>300805</v>
          </cell>
          <cell r="DA12">
            <v>300807</v>
          </cell>
          <cell r="DB12">
            <v>300809</v>
          </cell>
          <cell r="DC12">
            <v>300811</v>
          </cell>
          <cell r="DD12">
            <v>300813</v>
          </cell>
        </row>
        <row r="13">
          <cell r="B13" t="str">
            <v>9</v>
          </cell>
          <cell r="C13"/>
          <cell r="D13" t="str">
            <v>Advertising</v>
          </cell>
          <cell r="E13"/>
          <cell r="F13"/>
          <cell r="G13"/>
          <cell r="H13"/>
          <cell r="I13"/>
          <cell r="J13"/>
          <cell r="K13"/>
          <cell r="L13"/>
          <cell r="M13"/>
          <cell r="N13"/>
          <cell r="O13"/>
          <cell r="P13"/>
          <cell r="Q13"/>
          <cell r="R13" t="str">
            <v>0150</v>
          </cell>
          <cell r="S13">
            <v>4641</v>
          </cell>
          <cell r="T13"/>
          <cell r="U13"/>
          <cell r="V13"/>
          <cell r="W13"/>
          <cell r="X13"/>
          <cell r="Y13"/>
          <cell r="Z13"/>
          <cell r="AA13"/>
          <cell r="AB13"/>
          <cell r="AC13"/>
          <cell r="AD13" t="e">
            <v>#REF!</v>
          </cell>
          <cell r="AE13"/>
          <cell r="AF13"/>
          <cell r="AG13"/>
          <cell r="AH13"/>
          <cell r="AI13">
            <v>65303</v>
          </cell>
          <cell r="AJ13"/>
          <cell r="AK13"/>
          <cell r="AL13"/>
          <cell r="AM13"/>
          <cell r="AN13"/>
          <cell r="AO13"/>
          <cell r="AP13"/>
          <cell r="AQ13"/>
          <cell r="AR13"/>
          <cell r="AS13"/>
          <cell r="AT13" t="e">
            <v>#REF!</v>
          </cell>
          <cell r="AU13"/>
          <cell r="AV13"/>
          <cell r="AW13"/>
          <cell r="AX13"/>
          <cell r="AY13">
            <v>3277</v>
          </cell>
          <cell r="AZ13"/>
          <cell r="BA13"/>
          <cell r="BB13"/>
          <cell r="BC13"/>
          <cell r="BD13"/>
          <cell r="BE13" t="e">
            <v>#REF!</v>
          </cell>
          <cell r="BF13"/>
          <cell r="BG13"/>
          <cell r="BH13"/>
          <cell r="BI13"/>
          <cell r="BJ13">
            <v>31776</v>
          </cell>
          <cell r="BK13"/>
          <cell r="BL13"/>
          <cell r="BM13"/>
          <cell r="BN13"/>
          <cell r="BO13"/>
          <cell r="BP13" t="e">
            <v>#REF!</v>
          </cell>
          <cell r="BQ13"/>
          <cell r="BR13"/>
          <cell r="BS13"/>
          <cell r="BT13"/>
          <cell r="BU13">
            <v>0</v>
          </cell>
          <cell r="BV13"/>
          <cell r="BW13"/>
          <cell r="BX13"/>
          <cell r="BY13"/>
          <cell r="BZ13"/>
          <cell r="CA13" t="e">
            <v>#REF!</v>
          </cell>
          <cell r="CB13"/>
          <cell r="CC13"/>
          <cell r="CD13"/>
          <cell r="CE13"/>
          <cell r="CF13">
            <v>0</v>
          </cell>
          <cell r="CG13"/>
          <cell r="CH13"/>
          <cell r="CI13"/>
          <cell r="CJ13"/>
          <cell r="CK13"/>
          <cell r="CL13"/>
          <cell r="CM13"/>
          <cell r="CN13"/>
          <cell r="CO13"/>
          <cell r="CP13"/>
          <cell r="CQ13" t="e">
            <v>#REF!</v>
          </cell>
          <cell r="CR13"/>
          <cell r="CS13"/>
          <cell r="CT13"/>
          <cell r="CU13"/>
          <cell r="CV13" t="str">
            <v>9</v>
          </cell>
          <cell r="CW13"/>
          <cell r="CX13"/>
          <cell r="CY13">
            <v>300903</v>
          </cell>
          <cell r="CZ13">
            <v>300905</v>
          </cell>
          <cell r="DA13">
            <v>300907</v>
          </cell>
          <cell r="DB13">
            <v>300909</v>
          </cell>
          <cell r="DC13">
            <v>300911</v>
          </cell>
          <cell r="DD13">
            <v>300913</v>
          </cell>
        </row>
        <row r="14">
          <cell r="B14" t="str">
            <v>10</v>
          </cell>
          <cell r="C14"/>
          <cell r="D14" t="str">
            <v>LESS Advertising Reimbursement / Allowances</v>
          </cell>
          <cell r="E14"/>
          <cell r="F14"/>
          <cell r="G14"/>
          <cell r="H14"/>
          <cell r="I14"/>
          <cell r="J14"/>
          <cell r="K14"/>
          <cell r="L14"/>
          <cell r="M14"/>
          <cell r="N14"/>
          <cell r="O14"/>
          <cell r="P14"/>
          <cell r="Q14"/>
          <cell r="R14" t="str">
            <v>0170</v>
          </cell>
          <cell r="S14">
            <v>0</v>
          </cell>
          <cell r="T14"/>
          <cell r="U14"/>
          <cell r="V14"/>
          <cell r="W14"/>
          <cell r="X14"/>
          <cell r="Y14"/>
          <cell r="Z14"/>
          <cell r="AA14"/>
          <cell r="AB14"/>
          <cell r="AC14"/>
          <cell r="AD14" t="e">
            <v>#REF!</v>
          </cell>
          <cell r="AE14"/>
          <cell r="AF14"/>
          <cell r="AG14"/>
          <cell r="AH14"/>
          <cell r="AI14">
            <v>0</v>
          </cell>
          <cell r="AJ14"/>
          <cell r="AK14"/>
          <cell r="AL14"/>
          <cell r="AM14"/>
          <cell r="AN14"/>
          <cell r="AO14"/>
          <cell r="AP14"/>
          <cell r="AQ14"/>
          <cell r="AR14"/>
          <cell r="AS14"/>
          <cell r="AT14" t="e">
            <v>#REF!</v>
          </cell>
          <cell r="AU14"/>
          <cell r="AV14"/>
          <cell r="AW14"/>
          <cell r="AX14"/>
          <cell r="AY14">
            <v>0</v>
          </cell>
          <cell r="AZ14"/>
          <cell r="BA14"/>
          <cell r="BB14"/>
          <cell r="BC14"/>
          <cell r="BD14"/>
          <cell r="BE14" t="e">
            <v>#REF!</v>
          </cell>
          <cell r="BF14"/>
          <cell r="BG14"/>
          <cell r="BH14"/>
          <cell r="BI14"/>
          <cell r="BJ14">
            <v>0</v>
          </cell>
          <cell r="BK14"/>
          <cell r="BL14"/>
          <cell r="BM14"/>
          <cell r="BN14"/>
          <cell r="BO14"/>
          <cell r="BP14" t="e">
            <v>#REF!</v>
          </cell>
          <cell r="BQ14"/>
          <cell r="BR14"/>
          <cell r="BS14"/>
          <cell r="BT14"/>
          <cell r="BU14">
            <v>0</v>
          </cell>
          <cell r="BV14"/>
          <cell r="BW14"/>
          <cell r="BX14"/>
          <cell r="BY14"/>
          <cell r="BZ14"/>
          <cell r="CA14" t="e">
            <v>#REF!</v>
          </cell>
          <cell r="CB14"/>
          <cell r="CC14"/>
          <cell r="CD14"/>
          <cell r="CE14"/>
          <cell r="CF14">
            <v>0</v>
          </cell>
          <cell r="CG14"/>
          <cell r="CH14"/>
          <cell r="CI14"/>
          <cell r="CJ14"/>
          <cell r="CK14"/>
          <cell r="CL14"/>
          <cell r="CM14"/>
          <cell r="CN14"/>
          <cell r="CO14"/>
          <cell r="CP14"/>
          <cell r="CQ14" t="e">
            <v>#REF!</v>
          </cell>
          <cell r="CR14"/>
          <cell r="CS14"/>
          <cell r="CT14"/>
          <cell r="CU14"/>
          <cell r="CV14" t="str">
            <v>10</v>
          </cell>
          <cell r="CW14"/>
          <cell r="CX14"/>
          <cell r="CY14">
            <v>301003</v>
          </cell>
          <cell r="CZ14">
            <v>301005</v>
          </cell>
          <cell r="DA14">
            <v>301007</v>
          </cell>
          <cell r="DB14">
            <v>301009</v>
          </cell>
          <cell r="DC14">
            <v>301011</v>
          </cell>
          <cell r="DD14">
            <v>301013</v>
          </cell>
        </row>
        <row r="15">
          <cell r="B15" t="str">
            <v>11</v>
          </cell>
          <cell r="C15"/>
          <cell r="D15" t="str">
            <v>Interest - Floor Plan - Vehicles</v>
          </cell>
          <cell r="E15"/>
          <cell r="F15"/>
          <cell r="G15"/>
          <cell r="H15"/>
          <cell r="I15"/>
          <cell r="J15"/>
          <cell r="K15"/>
          <cell r="L15"/>
          <cell r="M15"/>
          <cell r="N15"/>
          <cell r="O15"/>
          <cell r="P15"/>
          <cell r="Q15"/>
          <cell r="R15" t="str">
            <v>0160</v>
          </cell>
          <cell r="S15"/>
          <cell r="T15"/>
          <cell r="U15"/>
          <cell r="V15"/>
          <cell r="W15"/>
          <cell r="X15"/>
          <cell r="Y15"/>
          <cell r="Z15"/>
          <cell r="AA15"/>
          <cell r="AB15"/>
          <cell r="AC15"/>
          <cell r="AD15"/>
          <cell r="AE15"/>
          <cell r="AF15"/>
          <cell r="AG15"/>
          <cell r="AH15"/>
          <cell r="AI15"/>
          <cell r="AJ15"/>
          <cell r="AK15"/>
          <cell r="AL15"/>
          <cell r="AM15"/>
          <cell r="AN15"/>
          <cell r="AO15"/>
          <cell r="AP15"/>
          <cell r="AQ15"/>
          <cell r="AR15"/>
          <cell r="AS15"/>
          <cell r="AT15"/>
          <cell r="AU15"/>
          <cell r="AV15"/>
          <cell r="AW15"/>
          <cell r="AX15"/>
          <cell r="AY15"/>
          <cell r="AZ15"/>
          <cell r="BA15"/>
          <cell r="BB15"/>
          <cell r="BC15"/>
          <cell r="BD15"/>
          <cell r="BE15"/>
          <cell r="BF15"/>
          <cell r="BG15"/>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t="e">
            <v>#REF!</v>
          </cell>
          <cell r="CR15"/>
          <cell r="CS15"/>
          <cell r="CT15"/>
          <cell r="CU15"/>
          <cell r="CV15" t="str">
            <v>11</v>
          </cell>
          <cell r="CW15"/>
          <cell r="CX15"/>
          <cell r="CY15">
            <v>301103</v>
          </cell>
          <cell r="CZ15">
            <v>301105</v>
          </cell>
          <cell r="DA15">
            <v>301107</v>
          </cell>
          <cell r="DB15">
            <v>301109</v>
          </cell>
          <cell r="DC15">
            <v>301111</v>
          </cell>
          <cell r="DD15">
            <v>301113</v>
          </cell>
        </row>
        <row r="16">
          <cell r="B16" t="str">
            <v>12</v>
          </cell>
          <cell r="C16"/>
          <cell r="D16" t="str">
            <v>LESS Floor Plan Assistance</v>
          </cell>
          <cell r="E16"/>
          <cell r="F16"/>
          <cell r="G16"/>
          <cell r="H16"/>
          <cell r="I16"/>
          <cell r="J16"/>
          <cell r="K16"/>
          <cell r="L16"/>
          <cell r="M16"/>
          <cell r="N16"/>
          <cell r="O16"/>
          <cell r="P16"/>
          <cell r="Q16"/>
          <cell r="R16" t="str">
            <v>0180</v>
          </cell>
          <cell r="S16"/>
          <cell r="T16"/>
          <cell r="U16"/>
          <cell r="V16"/>
          <cell r="W16"/>
          <cell r="X16"/>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cell r="BE16"/>
          <cell r="BF16"/>
          <cell r="BG16"/>
          <cell r="BH16"/>
          <cell r="BI16"/>
          <cell r="BJ16"/>
          <cell r="BK16"/>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t="e">
            <v>#REF!</v>
          </cell>
          <cell r="CR16"/>
          <cell r="CS16"/>
          <cell r="CT16"/>
          <cell r="CU16"/>
          <cell r="CV16" t="str">
            <v>12</v>
          </cell>
          <cell r="CW16"/>
          <cell r="CX16"/>
          <cell r="CY16">
            <v>301203</v>
          </cell>
          <cell r="CZ16">
            <v>301205</v>
          </cell>
          <cell r="DA16">
            <v>301207</v>
          </cell>
          <cell r="DB16">
            <v>301209</v>
          </cell>
          <cell r="DC16">
            <v>301211</v>
          </cell>
          <cell r="DD16">
            <v>301213</v>
          </cell>
        </row>
        <row r="17">
          <cell r="B17" t="str">
            <v>13</v>
          </cell>
          <cell r="C17"/>
          <cell r="D17" t="str">
            <v>Vehicle Maintenance</v>
          </cell>
          <cell r="E17"/>
          <cell r="F17"/>
          <cell r="G17"/>
          <cell r="H17"/>
          <cell r="I17"/>
          <cell r="J17"/>
          <cell r="K17"/>
          <cell r="L17"/>
          <cell r="M17"/>
          <cell r="N17"/>
          <cell r="O17"/>
          <cell r="P17"/>
          <cell r="Q17"/>
          <cell r="R17" t="str">
            <v>0190</v>
          </cell>
          <cell r="S17"/>
          <cell r="T17"/>
          <cell r="U17"/>
          <cell r="V17"/>
          <cell r="W17"/>
          <cell r="X17"/>
          <cell r="Y17"/>
          <cell r="Z17"/>
          <cell r="AA17"/>
          <cell r="AB17"/>
          <cell r="AC17"/>
          <cell r="AD17"/>
          <cell r="AE17"/>
          <cell r="AF17"/>
          <cell r="AG17"/>
          <cell r="AH17"/>
          <cell r="AI17"/>
          <cell r="AJ17"/>
          <cell r="AK17"/>
          <cell r="AL17"/>
          <cell r="AM17"/>
          <cell r="AN17"/>
          <cell r="AO17"/>
          <cell r="AP17"/>
          <cell r="AQ17"/>
          <cell r="AR17"/>
          <cell r="AS17"/>
          <cell r="AT17"/>
          <cell r="AU17"/>
          <cell r="AV17"/>
          <cell r="AW17"/>
          <cell r="AX17"/>
          <cell r="AY17"/>
          <cell r="AZ17"/>
          <cell r="BA17"/>
          <cell r="BB17"/>
          <cell r="BC17"/>
          <cell r="BD17"/>
          <cell r="BE17"/>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t="e">
            <v>#REF!</v>
          </cell>
          <cell r="CR17"/>
          <cell r="CS17"/>
          <cell r="CT17"/>
          <cell r="CU17"/>
          <cell r="CV17" t="str">
            <v>13</v>
          </cell>
          <cell r="CW17"/>
          <cell r="CX17"/>
          <cell r="CY17">
            <v>301303</v>
          </cell>
          <cell r="CZ17">
            <v>301305</v>
          </cell>
          <cell r="DA17">
            <v>301307</v>
          </cell>
          <cell r="DB17">
            <v>301309</v>
          </cell>
          <cell r="DC17">
            <v>301311</v>
          </cell>
          <cell r="DD17">
            <v>301313</v>
          </cell>
        </row>
        <row r="18">
          <cell r="B18" t="str">
            <v>14</v>
          </cell>
          <cell r="C18"/>
          <cell r="D18" t="str">
            <v>TOTAL VARIABLE SELLING EXPENSE</v>
          </cell>
          <cell r="E18"/>
          <cell r="F18"/>
          <cell r="G18"/>
          <cell r="H18"/>
          <cell r="I18"/>
          <cell r="J18"/>
          <cell r="K18"/>
          <cell r="L18"/>
          <cell r="M18"/>
          <cell r="N18"/>
          <cell r="O18"/>
          <cell r="P18"/>
          <cell r="Q18" t="str">
            <v xml:space="preserve">(Lines 3 to 13) </v>
          </cell>
          <cell r="R18"/>
          <cell r="S18">
            <v>30595</v>
          </cell>
          <cell r="T18"/>
          <cell r="U18"/>
          <cell r="V18"/>
          <cell r="W18"/>
          <cell r="X18"/>
          <cell r="Y18"/>
          <cell r="Z18"/>
          <cell r="AA18"/>
          <cell r="AB18"/>
          <cell r="AC18"/>
          <cell r="AD18" t="e">
            <v>#REF!</v>
          </cell>
          <cell r="AE18"/>
          <cell r="AF18"/>
          <cell r="AG18"/>
          <cell r="AH18"/>
          <cell r="AI18">
            <v>368349</v>
          </cell>
          <cell r="AJ18"/>
          <cell r="AK18"/>
          <cell r="AL18"/>
          <cell r="AM18"/>
          <cell r="AN18"/>
          <cell r="AO18"/>
          <cell r="AP18"/>
          <cell r="AQ18"/>
          <cell r="AR18"/>
          <cell r="AS18"/>
          <cell r="AT18" t="e">
            <v>#REF!</v>
          </cell>
          <cell r="AU18"/>
          <cell r="AV18"/>
          <cell r="AW18"/>
          <cell r="AX18"/>
          <cell r="AY18">
            <v>13671</v>
          </cell>
          <cell r="AZ18"/>
          <cell r="BA18"/>
          <cell r="BB18"/>
          <cell r="BC18"/>
          <cell r="BD18"/>
          <cell r="BE18" t="e">
            <v>#REF!</v>
          </cell>
          <cell r="BF18"/>
          <cell r="BG18"/>
          <cell r="BH18"/>
          <cell r="BI18"/>
          <cell r="BJ18">
            <v>152181</v>
          </cell>
          <cell r="BK18"/>
          <cell r="BL18"/>
          <cell r="BM18"/>
          <cell r="BN18"/>
          <cell r="BO18"/>
          <cell r="BP18" t="e">
            <v>#REF!</v>
          </cell>
          <cell r="BQ18"/>
          <cell r="BR18"/>
          <cell r="BS18"/>
          <cell r="BT18"/>
          <cell r="BU18">
            <v>0</v>
          </cell>
          <cell r="BV18"/>
          <cell r="BW18"/>
          <cell r="BX18"/>
          <cell r="BY18"/>
          <cell r="BZ18"/>
          <cell r="CA18" t="e">
            <v>#REF!</v>
          </cell>
          <cell r="CB18"/>
          <cell r="CC18"/>
          <cell r="CD18"/>
          <cell r="CE18"/>
          <cell r="CF18">
            <v>0</v>
          </cell>
          <cell r="CG18"/>
          <cell r="CH18"/>
          <cell r="CI18"/>
          <cell r="CJ18"/>
          <cell r="CK18"/>
          <cell r="CL18"/>
          <cell r="CM18"/>
          <cell r="CN18"/>
          <cell r="CO18"/>
          <cell r="CP18"/>
          <cell r="CQ18" t="e">
            <v>#REF!</v>
          </cell>
          <cell r="CR18"/>
          <cell r="CS18"/>
          <cell r="CT18"/>
          <cell r="CU18"/>
          <cell r="CV18" t="str">
            <v>14</v>
          </cell>
          <cell r="CW18"/>
          <cell r="CX18"/>
          <cell r="CY18">
            <v>301403</v>
          </cell>
          <cell r="CZ18">
            <v>301405</v>
          </cell>
          <cell r="DA18">
            <v>301407</v>
          </cell>
          <cell r="DB18">
            <v>301409</v>
          </cell>
          <cell r="DC18">
            <v>301411</v>
          </cell>
          <cell r="DD18">
            <v>301413</v>
          </cell>
        </row>
        <row r="19">
          <cell r="B19" t="str">
            <v>15</v>
          </cell>
          <cell r="C19"/>
          <cell r="D19" t="str">
            <v>Salaries - Owners</v>
          </cell>
          <cell r="E19"/>
          <cell r="F19"/>
          <cell r="G19"/>
          <cell r="H19"/>
          <cell r="I19"/>
          <cell r="J19"/>
          <cell r="K19"/>
          <cell r="L19"/>
          <cell r="M19"/>
          <cell r="N19"/>
          <cell r="O19"/>
          <cell r="P19"/>
          <cell r="Q19"/>
          <cell r="R19" t="str">
            <v>0200</v>
          </cell>
          <cell r="S19">
            <v>9250</v>
          </cell>
          <cell r="T19"/>
          <cell r="U19"/>
          <cell r="V19"/>
          <cell r="W19"/>
          <cell r="X19"/>
          <cell r="Y19"/>
          <cell r="Z19"/>
          <cell r="AA19"/>
          <cell r="AB19"/>
          <cell r="AC19"/>
          <cell r="AD19" t="e">
            <v>#REF!</v>
          </cell>
          <cell r="AE19"/>
          <cell r="AF19"/>
          <cell r="AG19"/>
          <cell r="AH19"/>
          <cell r="AI19">
            <v>107220</v>
          </cell>
          <cell r="AJ19"/>
          <cell r="AK19"/>
          <cell r="AL19"/>
          <cell r="AM19"/>
          <cell r="AN19"/>
          <cell r="AO19"/>
          <cell r="AP19"/>
          <cell r="AQ19"/>
          <cell r="AR19"/>
          <cell r="AS19"/>
          <cell r="AT19" t="e">
            <v>#REF!</v>
          </cell>
          <cell r="AU19"/>
          <cell r="AV19"/>
          <cell r="AW19"/>
          <cell r="AX19"/>
          <cell r="AY19">
            <v>6938</v>
          </cell>
          <cell r="AZ19"/>
          <cell r="BA19"/>
          <cell r="BB19"/>
          <cell r="BC19"/>
          <cell r="BD19"/>
          <cell r="BE19" t="e">
            <v>#REF!</v>
          </cell>
          <cell r="BF19"/>
          <cell r="BG19"/>
          <cell r="BH19"/>
          <cell r="BI19"/>
          <cell r="BJ19">
            <v>80415</v>
          </cell>
          <cell r="BK19"/>
          <cell r="BL19"/>
          <cell r="BM19"/>
          <cell r="BN19"/>
          <cell r="BO19"/>
          <cell r="BP19" t="e">
            <v>#REF!</v>
          </cell>
          <cell r="BQ19"/>
          <cell r="BR19"/>
          <cell r="BS19"/>
          <cell r="BT19"/>
          <cell r="BU19">
            <v>0</v>
          </cell>
          <cell r="BV19"/>
          <cell r="BW19"/>
          <cell r="BX19"/>
          <cell r="BY19"/>
          <cell r="BZ19"/>
          <cell r="CA19" t="e">
            <v>#REF!</v>
          </cell>
          <cell r="CB19"/>
          <cell r="CC19"/>
          <cell r="CD19"/>
          <cell r="CE19"/>
          <cell r="CF19">
            <v>0</v>
          </cell>
          <cell r="CG19"/>
          <cell r="CH19"/>
          <cell r="CI19"/>
          <cell r="CJ19"/>
          <cell r="CK19"/>
          <cell r="CL19"/>
          <cell r="CM19"/>
          <cell r="CN19"/>
          <cell r="CO19"/>
          <cell r="CP19"/>
          <cell r="CQ19" t="e">
            <v>#REF!</v>
          </cell>
          <cell r="CR19"/>
          <cell r="CS19"/>
          <cell r="CT19"/>
          <cell r="CU19"/>
          <cell r="CV19" t="str">
            <v>15</v>
          </cell>
          <cell r="CW19"/>
          <cell r="CX19"/>
          <cell r="CY19">
            <v>301503</v>
          </cell>
          <cell r="CZ19">
            <v>301505</v>
          </cell>
          <cell r="DA19">
            <v>301507</v>
          </cell>
          <cell r="DB19">
            <v>301509</v>
          </cell>
          <cell r="DC19">
            <v>301511</v>
          </cell>
          <cell r="DD19">
            <v>301513</v>
          </cell>
        </row>
        <row r="20">
          <cell r="B20" t="str">
            <v>16</v>
          </cell>
          <cell r="C20"/>
          <cell r="D20" t="str">
            <v>Salaries - Supervision</v>
          </cell>
          <cell r="E20"/>
          <cell r="F20"/>
          <cell r="G20"/>
          <cell r="H20"/>
          <cell r="I20"/>
          <cell r="J20"/>
          <cell r="K20"/>
          <cell r="L20"/>
          <cell r="M20"/>
          <cell r="N20"/>
          <cell r="O20"/>
          <cell r="P20"/>
          <cell r="Q20"/>
          <cell r="R20" t="str">
            <v>0210</v>
          </cell>
          <cell r="S20">
            <v>24861</v>
          </cell>
          <cell r="T20"/>
          <cell r="U20"/>
          <cell r="V20"/>
          <cell r="W20"/>
          <cell r="X20"/>
          <cell r="Y20"/>
          <cell r="Z20"/>
          <cell r="AA20"/>
          <cell r="AB20"/>
          <cell r="AC20"/>
          <cell r="AD20" t="e">
            <v>#REF!</v>
          </cell>
          <cell r="AE20"/>
          <cell r="AF20"/>
          <cell r="AG20"/>
          <cell r="AH20"/>
          <cell r="AI20">
            <v>243986</v>
          </cell>
          <cell r="AJ20"/>
          <cell r="AK20"/>
          <cell r="AL20"/>
          <cell r="AM20"/>
          <cell r="AN20"/>
          <cell r="AO20"/>
          <cell r="AP20"/>
          <cell r="AQ20"/>
          <cell r="AR20"/>
          <cell r="AS20"/>
          <cell r="AT20" t="e">
            <v>#REF!</v>
          </cell>
          <cell r="AU20"/>
          <cell r="AV20"/>
          <cell r="AW20"/>
          <cell r="AX20"/>
          <cell r="AY20">
            <v>11061</v>
          </cell>
          <cell r="AZ20"/>
          <cell r="BA20"/>
          <cell r="BB20"/>
          <cell r="BC20"/>
          <cell r="BD20"/>
          <cell r="BE20" t="e">
            <v>#REF!</v>
          </cell>
          <cell r="BF20"/>
          <cell r="BG20"/>
          <cell r="BH20"/>
          <cell r="BI20"/>
          <cell r="BJ20">
            <v>123046</v>
          </cell>
          <cell r="BK20"/>
          <cell r="BL20"/>
          <cell r="BM20"/>
          <cell r="BN20"/>
          <cell r="BO20"/>
          <cell r="BP20" t="e">
            <v>#REF!</v>
          </cell>
          <cell r="BQ20"/>
          <cell r="BR20"/>
          <cell r="BS20"/>
          <cell r="BT20"/>
          <cell r="BU20">
            <v>0</v>
          </cell>
          <cell r="BV20"/>
          <cell r="BW20"/>
          <cell r="BX20"/>
          <cell r="BY20"/>
          <cell r="BZ20"/>
          <cell r="CA20" t="e">
            <v>#REF!</v>
          </cell>
          <cell r="CB20"/>
          <cell r="CC20"/>
          <cell r="CD20"/>
          <cell r="CE20"/>
          <cell r="CF20">
            <v>0</v>
          </cell>
          <cell r="CG20"/>
          <cell r="CH20"/>
          <cell r="CI20"/>
          <cell r="CJ20"/>
          <cell r="CK20"/>
          <cell r="CL20"/>
          <cell r="CM20"/>
          <cell r="CN20"/>
          <cell r="CO20"/>
          <cell r="CP20"/>
          <cell r="CQ20" t="e">
            <v>#REF!</v>
          </cell>
          <cell r="CR20"/>
          <cell r="CS20"/>
          <cell r="CT20"/>
          <cell r="CU20"/>
          <cell r="CV20" t="str">
            <v>16</v>
          </cell>
          <cell r="CW20"/>
          <cell r="CX20"/>
          <cell r="CY20">
            <v>301603</v>
          </cell>
          <cell r="CZ20">
            <v>301605</v>
          </cell>
          <cell r="DA20">
            <v>301607</v>
          </cell>
          <cell r="DB20">
            <v>301609</v>
          </cell>
          <cell r="DC20">
            <v>301611</v>
          </cell>
          <cell r="DD20">
            <v>301613</v>
          </cell>
        </row>
        <row r="21">
          <cell r="B21" t="str">
            <v>17</v>
          </cell>
          <cell r="C21"/>
          <cell r="D21" t="str">
            <v>Salaries - Clerical</v>
          </cell>
          <cell r="E21"/>
          <cell r="F21"/>
          <cell r="G21"/>
          <cell r="H21"/>
          <cell r="I21"/>
          <cell r="J21"/>
          <cell r="K21"/>
          <cell r="L21"/>
          <cell r="M21"/>
          <cell r="N21"/>
          <cell r="O21"/>
          <cell r="P21"/>
          <cell r="Q21"/>
          <cell r="R21" t="str">
            <v>0220</v>
          </cell>
          <cell r="S21">
            <v>3918</v>
          </cell>
          <cell r="T21"/>
          <cell r="U21"/>
          <cell r="V21"/>
          <cell r="W21"/>
          <cell r="X21"/>
          <cell r="Y21"/>
          <cell r="Z21"/>
          <cell r="AA21"/>
          <cell r="AB21"/>
          <cell r="AC21"/>
          <cell r="AD21" t="e">
            <v>#REF!</v>
          </cell>
          <cell r="AE21"/>
          <cell r="AF21"/>
          <cell r="AG21"/>
          <cell r="AH21"/>
          <cell r="AI21">
            <v>44251</v>
          </cell>
          <cell r="AJ21"/>
          <cell r="AK21"/>
          <cell r="AL21"/>
          <cell r="AM21"/>
          <cell r="AN21"/>
          <cell r="AO21"/>
          <cell r="AP21"/>
          <cell r="AQ21"/>
          <cell r="AR21"/>
          <cell r="AS21"/>
          <cell r="AT21" t="e">
            <v>#REF!</v>
          </cell>
          <cell r="AU21"/>
          <cell r="AV21"/>
          <cell r="AW21"/>
          <cell r="AX21"/>
          <cell r="AY21">
            <v>2784</v>
          </cell>
          <cell r="AZ21"/>
          <cell r="BA21"/>
          <cell r="BB21"/>
          <cell r="BC21"/>
          <cell r="BD21"/>
          <cell r="BE21" t="e">
            <v>#REF!</v>
          </cell>
          <cell r="BF21"/>
          <cell r="BG21"/>
          <cell r="BH21"/>
          <cell r="BI21"/>
          <cell r="BJ21">
            <v>39235</v>
          </cell>
          <cell r="BK21"/>
          <cell r="BL21"/>
          <cell r="BM21"/>
          <cell r="BN21"/>
          <cell r="BO21"/>
          <cell r="BP21" t="e">
            <v>#REF!</v>
          </cell>
          <cell r="BQ21"/>
          <cell r="BR21"/>
          <cell r="BS21"/>
          <cell r="BT21"/>
          <cell r="BU21">
            <v>0</v>
          </cell>
          <cell r="BV21"/>
          <cell r="BW21"/>
          <cell r="BX21"/>
          <cell r="BY21"/>
          <cell r="BZ21"/>
          <cell r="CA21" t="e">
            <v>#REF!</v>
          </cell>
          <cell r="CB21"/>
          <cell r="CC21"/>
          <cell r="CD21"/>
          <cell r="CE21"/>
          <cell r="CF21">
            <v>0</v>
          </cell>
          <cell r="CG21"/>
          <cell r="CH21"/>
          <cell r="CI21"/>
          <cell r="CJ21"/>
          <cell r="CK21"/>
          <cell r="CL21"/>
          <cell r="CM21"/>
          <cell r="CN21"/>
          <cell r="CO21"/>
          <cell r="CP21"/>
          <cell r="CQ21" t="e">
            <v>#REF!</v>
          </cell>
          <cell r="CR21"/>
          <cell r="CS21"/>
          <cell r="CT21"/>
          <cell r="CU21"/>
          <cell r="CV21" t="str">
            <v>17</v>
          </cell>
          <cell r="CW21"/>
          <cell r="CX21"/>
          <cell r="CY21">
            <v>301703</v>
          </cell>
          <cell r="CZ21">
            <v>301705</v>
          </cell>
          <cell r="DA21">
            <v>301707</v>
          </cell>
          <cell r="DB21">
            <v>301709</v>
          </cell>
          <cell r="DC21">
            <v>301711</v>
          </cell>
          <cell r="DD21">
            <v>301713</v>
          </cell>
        </row>
        <row r="22">
          <cell r="B22" t="str">
            <v>18</v>
          </cell>
          <cell r="C22"/>
          <cell r="D22" t="str">
            <v>Other Salaries &amp; Wages</v>
          </cell>
          <cell r="E22"/>
          <cell r="F22"/>
          <cell r="G22"/>
          <cell r="H22"/>
          <cell r="I22"/>
          <cell r="J22"/>
          <cell r="K22"/>
          <cell r="L22"/>
          <cell r="M22"/>
          <cell r="N22"/>
          <cell r="O22"/>
          <cell r="P22"/>
          <cell r="Q22"/>
          <cell r="R22" t="str">
            <v>0230</v>
          </cell>
          <cell r="S22">
            <v>11224</v>
          </cell>
          <cell r="T22"/>
          <cell r="U22"/>
          <cell r="V22"/>
          <cell r="W22"/>
          <cell r="X22"/>
          <cell r="Y22"/>
          <cell r="Z22"/>
          <cell r="AA22"/>
          <cell r="AB22"/>
          <cell r="AC22"/>
          <cell r="AD22" t="e">
            <v>#REF!</v>
          </cell>
          <cell r="AE22"/>
          <cell r="AF22"/>
          <cell r="AG22"/>
          <cell r="AH22"/>
          <cell r="AI22">
            <v>84374</v>
          </cell>
          <cell r="AJ22"/>
          <cell r="AK22"/>
          <cell r="AL22"/>
          <cell r="AM22"/>
          <cell r="AN22"/>
          <cell r="AO22"/>
          <cell r="AP22"/>
          <cell r="AQ22"/>
          <cell r="AR22"/>
          <cell r="AS22"/>
          <cell r="AT22" t="e">
            <v>#REF!</v>
          </cell>
          <cell r="AU22"/>
          <cell r="AV22"/>
          <cell r="AW22"/>
          <cell r="AX22"/>
          <cell r="AY22">
            <v>4281</v>
          </cell>
          <cell r="AZ22"/>
          <cell r="BA22"/>
          <cell r="BB22"/>
          <cell r="BC22"/>
          <cell r="BD22"/>
          <cell r="BE22" t="e">
            <v>#REF!</v>
          </cell>
          <cell r="BF22"/>
          <cell r="BG22"/>
          <cell r="BH22"/>
          <cell r="BI22"/>
          <cell r="BJ22">
            <v>39724</v>
          </cell>
          <cell r="BK22"/>
          <cell r="BL22"/>
          <cell r="BM22"/>
          <cell r="BN22"/>
          <cell r="BO22"/>
          <cell r="BP22" t="e">
            <v>#REF!</v>
          </cell>
          <cell r="BQ22"/>
          <cell r="BR22"/>
          <cell r="BS22"/>
          <cell r="BT22"/>
          <cell r="BU22">
            <v>0</v>
          </cell>
          <cell r="BV22"/>
          <cell r="BW22"/>
          <cell r="BX22"/>
          <cell r="BY22"/>
          <cell r="BZ22"/>
          <cell r="CA22" t="e">
            <v>#REF!</v>
          </cell>
          <cell r="CB22"/>
          <cell r="CC22"/>
          <cell r="CD22"/>
          <cell r="CE22"/>
          <cell r="CF22">
            <v>0</v>
          </cell>
          <cell r="CG22"/>
          <cell r="CH22"/>
          <cell r="CI22"/>
          <cell r="CJ22"/>
          <cell r="CK22"/>
          <cell r="CL22"/>
          <cell r="CM22"/>
          <cell r="CN22"/>
          <cell r="CO22"/>
          <cell r="CP22"/>
          <cell r="CQ22" t="e">
            <v>#REF!</v>
          </cell>
          <cell r="CR22"/>
          <cell r="CS22"/>
          <cell r="CT22"/>
          <cell r="CU22"/>
          <cell r="CV22" t="str">
            <v>18</v>
          </cell>
          <cell r="CW22"/>
          <cell r="CX22"/>
          <cell r="CY22">
            <v>301803</v>
          </cell>
          <cell r="CZ22">
            <v>301805</v>
          </cell>
          <cell r="DA22">
            <v>301807</v>
          </cell>
          <cell r="DB22">
            <v>301809</v>
          </cell>
          <cell r="DC22">
            <v>301811</v>
          </cell>
          <cell r="DD22">
            <v>301813</v>
          </cell>
        </row>
        <row r="23">
          <cell r="B23" t="str">
            <v>19</v>
          </cell>
          <cell r="C23"/>
          <cell r="D23" t="str">
            <v>Absentee Wages - Productive Personnel</v>
          </cell>
          <cell r="E23"/>
          <cell r="F23"/>
          <cell r="G23"/>
          <cell r="H23"/>
          <cell r="I23"/>
          <cell r="J23"/>
          <cell r="K23"/>
          <cell r="L23"/>
          <cell r="M23"/>
          <cell r="N23"/>
          <cell r="O23"/>
          <cell r="P23"/>
          <cell r="Q23"/>
          <cell r="R23" t="str">
            <v>0240</v>
          </cell>
          <cell r="S23">
            <v>1219</v>
          </cell>
          <cell r="T23"/>
          <cell r="U23"/>
          <cell r="V23"/>
          <cell r="W23"/>
          <cell r="X23"/>
          <cell r="Y23"/>
          <cell r="Z23"/>
          <cell r="AA23"/>
          <cell r="AB23"/>
          <cell r="AC23"/>
          <cell r="AD23" t="e">
            <v>#REF!</v>
          </cell>
          <cell r="AE23"/>
          <cell r="AF23"/>
          <cell r="AG23"/>
          <cell r="AH23"/>
          <cell r="AI23">
            <v>23996</v>
          </cell>
          <cell r="AJ23"/>
          <cell r="AK23"/>
          <cell r="AL23"/>
          <cell r="AM23"/>
          <cell r="AN23"/>
          <cell r="AO23"/>
          <cell r="AP23"/>
          <cell r="AQ23"/>
          <cell r="AR23"/>
          <cell r="AS23"/>
          <cell r="AT23" t="e">
            <v>#REF!</v>
          </cell>
          <cell r="AU23"/>
          <cell r="AV23"/>
          <cell r="AW23"/>
          <cell r="AX23"/>
          <cell r="AY23"/>
          <cell r="AZ23"/>
          <cell r="BA23"/>
          <cell r="BB23"/>
          <cell r="BC23"/>
          <cell r="BD23"/>
          <cell r="BE23"/>
          <cell r="BF23"/>
          <cell r="BG23"/>
          <cell r="BH23"/>
          <cell r="BI23"/>
          <cell r="BJ23"/>
          <cell r="BK23"/>
          <cell r="BL23"/>
          <cell r="BM23"/>
          <cell r="BN23"/>
          <cell r="BO23"/>
          <cell r="BP23" t="e">
            <v>#REF!</v>
          </cell>
          <cell r="BQ23"/>
          <cell r="BR23"/>
          <cell r="BS23"/>
          <cell r="BT23"/>
          <cell r="BU23">
            <v>0</v>
          </cell>
          <cell r="BV23"/>
          <cell r="BW23"/>
          <cell r="BX23"/>
          <cell r="BY23"/>
          <cell r="BZ23"/>
          <cell r="CA23" t="e">
            <v>#REF!</v>
          </cell>
          <cell r="CB23"/>
          <cell r="CC23"/>
          <cell r="CD23"/>
          <cell r="CE23"/>
          <cell r="CF23">
            <v>0</v>
          </cell>
          <cell r="CG23"/>
          <cell r="CH23"/>
          <cell r="CI23"/>
          <cell r="CJ23"/>
          <cell r="CK23"/>
          <cell r="CL23"/>
          <cell r="CM23"/>
          <cell r="CN23"/>
          <cell r="CO23"/>
          <cell r="CP23"/>
          <cell r="CQ23" t="e">
            <v>#REF!</v>
          </cell>
          <cell r="CR23"/>
          <cell r="CS23"/>
          <cell r="CT23"/>
          <cell r="CU23"/>
          <cell r="CV23" t="str">
            <v>19</v>
          </cell>
          <cell r="CW23"/>
          <cell r="CX23"/>
          <cell r="CY23">
            <v>301903</v>
          </cell>
          <cell r="CZ23">
            <v>301905</v>
          </cell>
          <cell r="DA23">
            <v>301907</v>
          </cell>
          <cell r="DB23">
            <v>301909</v>
          </cell>
          <cell r="DC23">
            <v>301911</v>
          </cell>
          <cell r="DD23">
            <v>301913</v>
          </cell>
        </row>
        <row r="24">
          <cell r="B24" t="str">
            <v>20</v>
          </cell>
          <cell r="C24"/>
          <cell r="D24" t="str">
            <v>Taxes - Payroll</v>
          </cell>
          <cell r="E24"/>
          <cell r="F24"/>
          <cell r="G24"/>
          <cell r="H24"/>
          <cell r="I24"/>
          <cell r="J24"/>
          <cell r="K24"/>
          <cell r="L24"/>
          <cell r="M24"/>
          <cell r="N24"/>
          <cell r="O24"/>
          <cell r="P24"/>
          <cell r="Q24"/>
          <cell r="R24" t="str">
            <v>0250</v>
          </cell>
          <cell r="S24">
            <v>10057</v>
          </cell>
          <cell r="T24"/>
          <cell r="U24"/>
          <cell r="V24"/>
          <cell r="W24"/>
          <cell r="X24"/>
          <cell r="Y24"/>
          <cell r="Z24"/>
          <cell r="AA24"/>
          <cell r="AB24"/>
          <cell r="AC24"/>
          <cell r="AD24" t="e">
            <v>#REF!</v>
          </cell>
          <cell r="AE24"/>
          <cell r="AF24"/>
          <cell r="AG24"/>
          <cell r="AH24"/>
          <cell r="AI24">
            <v>132497</v>
          </cell>
          <cell r="AJ24"/>
          <cell r="AK24"/>
          <cell r="AL24"/>
          <cell r="AM24"/>
          <cell r="AN24"/>
          <cell r="AO24"/>
          <cell r="AP24"/>
          <cell r="AQ24"/>
          <cell r="AR24"/>
          <cell r="AS24"/>
          <cell r="AT24" t="e">
            <v>#REF!</v>
          </cell>
          <cell r="AU24"/>
          <cell r="AV24"/>
          <cell r="AW24"/>
          <cell r="AX24"/>
          <cell r="AY24">
            <v>1257</v>
          </cell>
          <cell r="AZ24"/>
          <cell r="BA24"/>
          <cell r="BB24"/>
          <cell r="BC24"/>
          <cell r="BD24"/>
          <cell r="BE24" t="e">
            <v>#REF!</v>
          </cell>
          <cell r="BF24"/>
          <cell r="BG24"/>
          <cell r="BH24"/>
          <cell r="BI24"/>
          <cell r="BJ24">
            <v>28050</v>
          </cell>
          <cell r="BK24"/>
          <cell r="BL24"/>
          <cell r="BM24"/>
          <cell r="BN24"/>
          <cell r="BO24"/>
          <cell r="BP24" t="e">
            <v>#REF!</v>
          </cell>
          <cell r="BQ24"/>
          <cell r="BR24"/>
          <cell r="BS24"/>
          <cell r="BT24"/>
          <cell r="BU24">
            <v>0</v>
          </cell>
          <cell r="BV24"/>
          <cell r="BW24"/>
          <cell r="BX24"/>
          <cell r="BY24"/>
          <cell r="BZ24"/>
          <cell r="CA24" t="e">
            <v>#REF!</v>
          </cell>
          <cell r="CB24"/>
          <cell r="CC24"/>
          <cell r="CD24"/>
          <cell r="CE24"/>
          <cell r="CF24">
            <v>0</v>
          </cell>
          <cell r="CG24"/>
          <cell r="CH24"/>
          <cell r="CI24"/>
          <cell r="CJ24"/>
          <cell r="CK24"/>
          <cell r="CL24"/>
          <cell r="CM24"/>
          <cell r="CN24"/>
          <cell r="CO24"/>
          <cell r="CP24"/>
          <cell r="CQ24" t="e">
            <v>#REF!</v>
          </cell>
          <cell r="CR24"/>
          <cell r="CS24"/>
          <cell r="CT24"/>
          <cell r="CU24"/>
          <cell r="CV24" t="str">
            <v>20</v>
          </cell>
          <cell r="CW24"/>
          <cell r="CX24"/>
          <cell r="CY24">
            <v>302003</v>
          </cell>
          <cell r="CZ24">
            <v>302005</v>
          </cell>
          <cell r="DA24">
            <v>302007</v>
          </cell>
          <cell r="DB24">
            <v>302009</v>
          </cell>
          <cell r="DC24">
            <v>302011</v>
          </cell>
          <cell r="DD24">
            <v>302013</v>
          </cell>
        </row>
        <row r="25">
          <cell r="B25" t="str">
            <v>21</v>
          </cell>
          <cell r="C25"/>
          <cell r="D25" t="str">
            <v>Employee Benefits / Pension Fund / 401 K</v>
          </cell>
          <cell r="E25"/>
          <cell r="F25"/>
          <cell r="G25"/>
          <cell r="H25"/>
          <cell r="I25"/>
          <cell r="J25"/>
          <cell r="K25"/>
          <cell r="L25"/>
          <cell r="M25"/>
          <cell r="N25"/>
          <cell r="O25"/>
          <cell r="P25"/>
          <cell r="Q25"/>
          <cell r="R25" t="str">
            <v>0260</v>
          </cell>
          <cell r="S25">
            <v>7048</v>
          </cell>
          <cell r="T25"/>
          <cell r="U25"/>
          <cell r="V25"/>
          <cell r="W25"/>
          <cell r="X25"/>
          <cell r="Y25"/>
          <cell r="Z25"/>
          <cell r="AA25"/>
          <cell r="AB25"/>
          <cell r="AC25"/>
          <cell r="AD25" t="e">
            <v>#REF!</v>
          </cell>
          <cell r="AE25"/>
          <cell r="AF25"/>
          <cell r="AG25"/>
          <cell r="AH25"/>
          <cell r="AI25">
            <v>56171</v>
          </cell>
          <cell r="AJ25"/>
          <cell r="AK25"/>
          <cell r="AL25"/>
          <cell r="AM25"/>
          <cell r="AN25"/>
          <cell r="AO25"/>
          <cell r="AP25"/>
          <cell r="AQ25"/>
          <cell r="AR25"/>
          <cell r="AS25"/>
          <cell r="AT25" t="e">
            <v>#REF!</v>
          </cell>
          <cell r="AU25"/>
          <cell r="AV25"/>
          <cell r="AW25"/>
          <cell r="AX25"/>
          <cell r="AY25">
            <v>4922</v>
          </cell>
          <cell r="AZ25"/>
          <cell r="BA25"/>
          <cell r="BB25"/>
          <cell r="BC25"/>
          <cell r="BD25"/>
          <cell r="BE25" t="e">
            <v>#REF!</v>
          </cell>
          <cell r="BF25"/>
          <cell r="BG25"/>
          <cell r="BH25"/>
          <cell r="BI25"/>
          <cell r="BJ25">
            <v>39044</v>
          </cell>
          <cell r="BK25"/>
          <cell r="BL25"/>
          <cell r="BM25"/>
          <cell r="BN25"/>
          <cell r="BO25"/>
          <cell r="BP25" t="e">
            <v>#REF!</v>
          </cell>
          <cell r="BQ25"/>
          <cell r="BR25"/>
          <cell r="BS25"/>
          <cell r="BT25"/>
          <cell r="BU25">
            <v>0</v>
          </cell>
          <cell r="BV25"/>
          <cell r="BW25"/>
          <cell r="BX25"/>
          <cell r="BY25"/>
          <cell r="BZ25"/>
          <cell r="CA25" t="e">
            <v>#REF!</v>
          </cell>
          <cell r="CB25"/>
          <cell r="CC25"/>
          <cell r="CD25"/>
          <cell r="CE25"/>
          <cell r="CF25">
            <v>0</v>
          </cell>
          <cell r="CG25"/>
          <cell r="CH25"/>
          <cell r="CI25"/>
          <cell r="CJ25"/>
          <cell r="CK25"/>
          <cell r="CL25"/>
          <cell r="CM25"/>
          <cell r="CN25"/>
          <cell r="CO25"/>
          <cell r="CP25"/>
          <cell r="CQ25" t="e">
            <v>#REF!</v>
          </cell>
          <cell r="CR25"/>
          <cell r="CS25"/>
          <cell r="CT25"/>
          <cell r="CU25"/>
          <cell r="CV25" t="str">
            <v>21</v>
          </cell>
          <cell r="CW25"/>
          <cell r="CX25"/>
          <cell r="CY25">
            <v>302103</v>
          </cell>
          <cell r="CZ25">
            <v>302105</v>
          </cell>
          <cell r="DA25">
            <v>302107</v>
          </cell>
          <cell r="DB25">
            <v>302109</v>
          </cell>
          <cell r="DC25">
            <v>302111</v>
          </cell>
          <cell r="DD25">
            <v>302113</v>
          </cell>
        </row>
        <row r="26">
          <cell r="B26" t="str">
            <v>22</v>
          </cell>
          <cell r="C26"/>
          <cell r="D26" t="str">
            <v>TOTAL SALARY &amp; WAGE GROUP</v>
          </cell>
          <cell r="E26"/>
          <cell r="F26"/>
          <cell r="G26"/>
          <cell r="H26"/>
          <cell r="I26"/>
          <cell r="J26"/>
          <cell r="K26"/>
          <cell r="L26"/>
          <cell r="M26"/>
          <cell r="N26"/>
          <cell r="O26"/>
          <cell r="P26"/>
          <cell r="Q26" t="str">
            <v xml:space="preserve">(Lines 15 to 21) </v>
          </cell>
          <cell r="R26"/>
          <cell r="S26">
            <v>67577</v>
          </cell>
          <cell r="T26"/>
          <cell r="U26"/>
          <cell r="V26"/>
          <cell r="W26"/>
          <cell r="X26"/>
          <cell r="Y26"/>
          <cell r="Z26"/>
          <cell r="AA26"/>
          <cell r="AB26"/>
          <cell r="AC26"/>
          <cell r="AD26" t="e">
            <v>#REF!</v>
          </cell>
          <cell r="AE26"/>
          <cell r="AF26"/>
          <cell r="AG26"/>
          <cell r="AH26"/>
          <cell r="AI26">
            <v>692495</v>
          </cell>
          <cell r="AJ26"/>
          <cell r="AK26"/>
          <cell r="AL26"/>
          <cell r="AM26"/>
          <cell r="AN26"/>
          <cell r="AO26"/>
          <cell r="AP26"/>
          <cell r="AQ26"/>
          <cell r="AR26"/>
          <cell r="AS26"/>
          <cell r="AT26" t="e">
            <v>#REF!</v>
          </cell>
          <cell r="AU26"/>
          <cell r="AV26"/>
          <cell r="AW26"/>
          <cell r="AX26"/>
          <cell r="AY26">
            <v>31243</v>
          </cell>
          <cell r="AZ26"/>
          <cell r="BA26"/>
          <cell r="BB26"/>
          <cell r="BC26"/>
          <cell r="BD26"/>
          <cell r="BE26" t="e">
            <v>#REF!</v>
          </cell>
          <cell r="BF26"/>
          <cell r="BG26"/>
          <cell r="BH26"/>
          <cell r="BI26"/>
          <cell r="BJ26">
            <v>349514</v>
          </cell>
          <cell r="BK26"/>
          <cell r="BL26"/>
          <cell r="BM26"/>
          <cell r="BN26"/>
          <cell r="BO26"/>
          <cell r="BP26" t="e">
            <v>#REF!</v>
          </cell>
          <cell r="BQ26"/>
          <cell r="BR26"/>
          <cell r="BS26"/>
          <cell r="BT26"/>
          <cell r="BU26">
            <v>0</v>
          </cell>
          <cell r="BV26"/>
          <cell r="BW26"/>
          <cell r="BX26"/>
          <cell r="BY26"/>
          <cell r="BZ26"/>
          <cell r="CA26" t="e">
            <v>#REF!</v>
          </cell>
          <cell r="CB26"/>
          <cell r="CC26"/>
          <cell r="CD26"/>
          <cell r="CE26"/>
          <cell r="CF26">
            <v>0</v>
          </cell>
          <cell r="CG26"/>
          <cell r="CH26"/>
          <cell r="CI26"/>
          <cell r="CJ26"/>
          <cell r="CK26"/>
          <cell r="CL26"/>
          <cell r="CM26"/>
          <cell r="CN26"/>
          <cell r="CO26"/>
          <cell r="CP26"/>
          <cell r="CQ26" t="e">
            <v>#REF!</v>
          </cell>
          <cell r="CR26"/>
          <cell r="CS26"/>
          <cell r="CT26"/>
          <cell r="CU26"/>
          <cell r="CV26" t="str">
            <v>22</v>
          </cell>
          <cell r="CW26"/>
          <cell r="CX26"/>
          <cell r="CY26">
            <v>302203</v>
          </cell>
          <cell r="CZ26">
            <v>302205</v>
          </cell>
          <cell r="DA26">
            <v>302207</v>
          </cell>
          <cell r="DB26">
            <v>302209</v>
          </cell>
          <cell r="DC26">
            <v>302211</v>
          </cell>
          <cell r="DD26">
            <v>302213</v>
          </cell>
        </row>
        <row r="27">
          <cell r="B27" t="str">
            <v>23</v>
          </cell>
          <cell r="C27"/>
          <cell r="D27" t="str">
            <v>Company Vehicle</v>
          </cell>
          <cell r="E27"/>
          <cell r="F27"/>
          <cell r="G27"/>
          <cell r="H27"/>
          <cell r="I27"/>
          <cell r="J27"/>
          <cell r="K27"/>
          <cell r="L27"/>
          <cell r="M27"/>
          <cell r="N27"/>
          <cell r="O27"/>
          <cell r="P27"/>
          <cell r="Q27"/>
          <cell r="R27" t="str">
            <v>0310</v>
          </cell>
          <cell r="S27">
            <v>850</v>
          </cell>
          <cell r="T27"/>
          <cell r="U27"/>
          <cell r="V27"/>
          <cell r="W27"/>
          <cell r="X27"/>
          <cell r="Y27"/>
          <cell r="Z27"/>
          <cell r="AA27"/>
          <cell r="AB27"/>
          <cell r="AC27"/>
          <cell r="AD27" t="e">
            <v>#REF!</v>
          </cell>
          <cell r="AE27"/>
          <cell r="AF27"/>
          <cell r="AG27"/>
          <cell r="AH27"/>
          <cell r="AI27">
            <v>10692</v>
          </cell>
          <cell r="AJ27"/>
          <cell r="AK27"/>
          <cell r="AL27"/>
          <cell r="AM27"/>
          <cell r="AN27"/>
          <cell r="AO27"/>
          <cell r="AP27"/>
          <cell r="AQ27"/>
          <cell r="AR27"/>
          <cell r="AS27"/>
          <cell r="AT27" t="e">
            <v>#REF!</v>
          </cell>
          <cell r="AU27"/>
          <cell r="AV27"/>
          <cell r="AW27"/>
          <cell r="AX27"/>
          <cell r="AY27">
            <v>513</v>
          </cell>
          <cell r="AZ27"/>
          <cell r="BA27"/>
          <cell r="BB27"/>
          <cell r="BC27"/>
          <cell r="BD27"/>
          <cell r="BE27" t="e">
            <v>#REF!</v>
          </cell>
          <cell r="BF27"/>
          <cell r="BG27"/>
          <cell r="BH27"/>
          <cell r="BI27"/>
          <cell r="BJ27">
            <v>7814</v>
          </cell>
          <cell r="BK27"/>
          <cell r="BL27"/>
          <cell r="BM27"/>
          <cell r="BN27"/>
          <cell r="BO27"/>
          <cell r="BP27" t="e">
            <v>#REF!</v>
          </cell>
          <cell r="BQ27"/>
          <cell r="BR27"/>
          <cell r="BS27"/>
          <cell r="BT27"/>
          <cell r="BU27">
            <v>0</v>
          </cell>
          <cell r="BV27"/>
          <cell r="BW27"/>
          <cell r="BX27"/>
          <cell r="BY27"/>
          <cell r="BZ27"/>
          <cell r="CA27" t="e">
            <v>#REF!</v>
          </cell>
          <cell r="CB27"/>
          <cell r="CC27"/>
          <cell r="CD27"/>
          <cell r="CE27"/>
          <cell r="CF27">
            <v>0</v>
          </cell>
          <cell r="CG27"/>
          <cell r="CH27"/>
          <cell r="CI27"/>
          <cell r="CJ27"/>
          <cell r="CK27"/>
          <cell r="CL27"/>
          <cell r="CM27"/>
          <cell r="CN27"/>
          <cell r="CO27"/>
          <cell r="CP27"/>
          <cell r="CQ27" t="e">
            <v>#REF!</v>
          </cell>
          <cell r="CR27"/>
          <cell r="CS27"/>
          <cell r="CT27"/>
          <cell r="CU27"/>
          <cell r="CV27" t="str">
            <v>23</v>
          </cell>
          <cell r="CW27"/>
          <cell r="CX27"/>
          <cell r="CY27">
            <v>302303</v>
          </cell>
          <cell r="CZ27">
            <v>302305</v>
          </cell>
          <cell r="DA27">
            <v>302307</v>
          </cell>
          <cell r="DB27">
            <v>302309</v>
          </cell>
          <cell r="DC27">
            <v>302311</v>
          </cell>
          <cell r="DD27">
            <v>302313</v>
          </cell>
        </row>
        <row r="28">
          <cell r="B28" t="str">
            <v>24</v>
          </cell>
          <cell r="C28"/>
          <cell r="D28" t="str">
            <v>Small Tools</v>
          </cell>
          <cell r="E28"/>
          <cell r="F28"/>
          <cell r="G28"/>
          <cell r="H28"/>
          <cell r="I28"/>
          <cell r="J28"/>
          <cell r="K28"/>
          <cell r="L28"/>
          <cell r="M28"/>
          <cell r="N28"/>
          <cell r="O28"/>
          <cell r="P28"/>
          <cell r="Q28"/>
          <cell r="R28" t="str">
            <v>0320</v>
          </cell>
          <cell r="S28">
            <v>0</v>
          </cell>
          <cell r="T28"/>
          <cell r="U28"/>
          <cell r="V28"/>
          <cell r="W28"/>
          <cell r="X28"/>
          <cell r="Y28"/>
          <cell r="Z28"/>
          <cell r="AA28"/>
          <cell r="AB28"/>
          <cell r="AC28"/>
          <cell r="AD28" t="e">
            <v>#REF!</v>
          </cell>
          <cell r="AE28"/>
          <cell r="AF28"/>
          <cell r="AG28"/>
          <cell r="AH28"/>
          <cell r="AI28">
            <v>434</v>
          </cell>
          <cell r="AJ28"/>
          <cell r="AK28"/>
          <cell r="AL28"/>
          <cell r="AM28"/>
          <cell r="AN28"/>
          <cell r="AO28"/>
          <cell r="AP28"/>
          <cell r="AQ28"/>
          <cell r="AR28"/>
          <cell r="AS28"/>
          <cell r="AT28" t="e">
            <v>#REF!</v>
          </cell>
          <cell r="AU28"/>
          <cell r="AV28"/>
          <cell r="AW28"/>
          <cell r="AX28"/>
          <cell r="AY28"/>
          <cell r="AZ28"/>
          <cell r="BA28"/>
          <cell r="BB28"/>
          <cell r="BC28"/>
          <cell r="BD28"/>
          <cell r="BE28"/>
          <cell r="BF28"/>
          <cell r="BG28"/>
          <cell r="BH28"/>
          <cell r="BI28"/>
          <cell r="BJ28"/>
          <cell r="BK28"/>
          <cell r="BL28"/>
          <cell r="BM28"/>
          <cell r="BN28"/>
          <cell r="BO28"/>
          <cell r="BP28" t="e">
            <v>#REF!</v>
          </cell>
          <cell r="BQ28"/>
          <cell r="BR28"/>
          <cell r="BS28"/>
          <cell r="BT28"/>
          <cell r="BU28">
            <v>0</v>
          </cell>
          <cell r="BV28"/>
          <cell r="BW28"/>
          <cell r="BX28"/>
          <cell r="BY28"/>
          <cell r="BZ28"/>
          <cell r="CA28" t="e">
            <v>#REF!</v>
          </cell>
          <cell r="CB28"/>
          <cell r="CC28"/>
          <cell r="CD28"/>
          <cell r="CE28"/>
          <cell r="CF28">
            <v>0</v>
          </cell>
          <cell r="CG28"/>
          <cell r="CH28"/>
          <cell r="CI28"/>
          <cell r="CJ28"/>
          <cell r="CK28"/>
          <cell r="CL28"/>
          <cell r="CM28"/>
          <cell r="CN28"/>
          <cell r="CO28"/>
          <cell r="CP28"/>
          <cell r="CQ28" t="e">
            <v>#REF!</v>
          </cell>
          <cell r="CR28"/>
          <cell r="CS28"/>
          <cell r="CT28"/>
          <cell r="CU28"/>
          <cell r="CV28" t="str">
            <v>24</v>
          </cell>
          <cell r="CW28"/>
          <cell r="CX28"/>
          <cell r="CY28">
            <v>302403</v>
          </cell>
          <cell r="CZ28">
            <v>302405</v>
          </cell>
          <cell r="DA28">
            <v>302407</v>
          </cell>
          <cell r="DB28">
            <v>302409</v>
          </cell>
          <cell r="DC28">
            <v>302411</v>
          </cell>
          <cell r="DD28">
            <v>302413</v>
          </cell>
        </row>
        <row r="29">
          <cell r="B29" t="str">
            <v>25</v>
          </cell>
          <cell r="C29"/>
          <cell r="D29" t="str">
            <v>Freight &amp; Express</v>
          </cell>
          <cell r="E29"/>
          <cell r="F29"/>
          <cell r="G29"/>
          <cell r="H29"/>
          <cell r="I29"/>
          <cell r="J29"/>
          <cell r="K29"/>
          <cell r="L29"/>
          <cell r="M29"/>
          <cell r="N29"/>
          <cell r="O29"/>
          <cell r="P29"/>
          <cell r="Q29"/>
          <cell r="R29" t="str">
            <v>0340</v>
          </cell>
          <cell r="S29"/>
          <cell r="T29"/>
          <cell r="U29"/>
          <cell r="V29"/>
          <cell r="W29"/>
          <cell r="X29"/>
          <cell r="Y29"/>
          <cell r="Z29"/>
          <cell r="AA29"/>
          <cell r="AB29"/>
          <cell r="AC29"/>
          <cell r="AD29"/>
          <cell r="AE29"/>
          <cell r="AF29"/>
          <cell r="AG29"/>
          <cell r="AH29"/>
          <cell r="AI29"/>
          <cell r="AJ29"/>
          <cell r="AK29"/>
          <cell r="AL29"/>
          <cell r="AM29"/>
          <cell r="AN29"/>
          <cell r="AO29"/>
          <cell r="AP29"/>
          <cell r="AQ29"/>
          <cell r="AR29"/>
          <cell r="AS29"/>
          <cell r="AT29" t="e">
            <v>#REF!</v>
          </cell>
          <cell r="AU29"/>
          <cell r="AV29"/>
          <cell r="AW29"/>
          <cell r="AX29"/>
          <cell r="AY29">
            <v>375</v>
          </cell>
          <cell r="AZ29"/>
          <cell r="BA29"/>
          <cell r="BB29"/>
          <cell r="BC29"/>
          <cell r="BD29"/>
          <cell r="BE29" t="e">
            <v>#REF!</v>
          </cell>
          <cell r="BF29"/>
          <cell r="BG29"/>
          <cell r="BH29"/>
          <cell r="BI29"/>
          <cell r="BJ29">
            <v>6389</v>
          </cell>
          <cell r="BK29"/>
          <cell r="BL29"/>
          <cell r="BM29"/>
          <cell r="BN29"/>
          <cell r="BO29"/>
          <cell r="BP29" t="e">
            <v>#REF!</v>
          </cell>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t="e">
            <v>#REF!</v>
          </cell>
          <cell r="CR29"/>
          <cell r="CS29"/>
          <cell r="CT29"/>
          <cell r="CU29"/>
          <cell r="CV29" t="str">
            <v>25</v>
          </cell>
          <cell r="CW29"/>
          <cell r="CX29"/>
          <cell r="CY29">
            <v>302503</v>
          </cell>
          <cell r="CZ29">
            <v>302505</v>
          </cell>
          <cell r="DA29">
            <v>302507</v>
          </cell>
          <cell r="DB29">
            <v>302509</v>
          </cell>
          <cell r="DC29">
            <v>302511</v>
          </cell>
          <cell r="DD29">
            <v>302513</v>
          </cell>
        </row>
        <row r="30">
          <cell r="B30" t="str">
            <v>26</v>
          </cell>
          <cell r="C30"/>
          <cell r="D30" t="str">
            <v>Institutional Advertising</v>
          </cell>
          <cell r="E30"/>
          <cell r="F30"/>
          <cell r="G30"/>
          <cell r="H30"/>
          <cell r="I30"/>
          <cell r="J30"/>
          <cell r="K30"/>
          <cell r="L30"/>
          <cell r="M30"/>
          <cell r="N30"/>
          <cell r="O30"/>
          <cell r="P30"/>
          <cell r="Q30"/>
          <cell r="R30" t="str">
            <v>0350</v>
          </cell>
          <cell r="S30">
            <v>369</v>
          </cell>
          <cell r="T30"/>
          <cell r="U30"/>
          <cell r="V30"/>
          <cell r="W30"/>
          <cell r="X30"/>
          <cell r="Y30"/>
          <cell r="Z30"/>
          <cell r="AA30"/>
          <cell r="AB30"/>
          <cell r="AC30"/>
          <cell r="AD30" t="e">
            <v>#REF!</v>
          </cell>
          <cell r="AE30"/>
          <cell r="AF30"/>
          <cell r="AG30"/>
          <cell r="AH30"/>
          <cell r="AI30">
            <v>18763</v>
          </cell>
          <cell r="AJ30"/>
          <cell r="AK30"/>
          <cell r="AL30"/>
          <cell r="AM30"/>
          <cell r="AN30"/>
          <cell r="AO30"/>
          <cell r="AP30"/>
          <cell r="AQ30"/>
          <cell r="AR30"/>
          <cell r="AS30"/>
          <cell r="AT30" t="e">
            <v>#REF!</v>
          </cell>
          <cell r="AU30"/>
          <cell r="AV30"/>
          <cell r="AW30"/>
          <cell r="AX30"/>
          <cell r="AY30">
            <v>0</v>
          </cell>
          <cell r="AZ30"/>
          <cell r="BA30"/>
          <cell r="BB30"/>
          <cell r="BC30"/>
          <cell r="BD30"/>
          <cell r="BE30" t="e">
            <v>#REF!</v>
          </cell>
          <cell r="BF30"/>
          <cell r="BG30"/>
          <cell r="BH30"/>
          <cell r="BI30"/>
          <cell r="BJ30">
            <v>205</v>
          </cell>
          <cell r="BK30"/>
          <cell r="BL30"/>
          <cell r="BM30"/>
          <cell r="BN30"/>
          <cell r="BO30"/>
          <cell r="BP30" t="e">
            <v>#REF!</v>
          </cell>
          <cell r="BQ30"/>
          <cell r="BR30"/>
          <cell r="BS30"/>
          <cell r="BT30"/>
          <cell r="BU30">
            <v>0</v>
          </cell>
          <cell r="BV30"/>
          <cell r="BW30"/>
          <cell r="BX30"/>
          <cell r="BY30"/>
          <cell r="BZ30"/>
          <cell r="CA30" t="e">
            <v>#REF!</v>
          </cell>
          <cell r="CB30"/>
          <cell r="CC30"/>
          <cell r="CD30"/>
          <cell r="CE30"/>
          <cell r="CF30">
            <v>0</v>
          </cell>
          <cell r="CG30"/>
          <cell r="CH30"/>
          <cell r="CI30"/>
          <cell r="CJ30"/>
          <cell r="CK30"/>
          <cell r="CL30"/>
          <cell r="CM30"/>
          <cell r="CN30"/>
          <cell r="CO30"/>
          <cell r="CP30"/>
          <cell r="CQ30" t="e">
            <v>#REF!</v>
          </cell>
          <cell r="CR30"/>
          <cell r="CS30"/>
          <cell r="CT30"/>
          <cell r="CU30"/>
          <cell r="CV30" t="str">
            <v>26</v>
          </cell>
          <cell r="CW30"/>
          <cell r="CX30"/>
          <cell r="CY30">
            <v>302603</v>
          </cell>
          <cell r="CZ30">
            <v>302605</v>
          </cell>
          <cell r="DA30">
            <v>302607</v>
          </cell>
          <cell r="DB30">
            <v>302609</v>
          </cell>
          <cell r="DC30">
            <v>302611</v>
          </cell>
          <cell r="DD30">
            <v>302613</v>
          </cell>
        </row>
        <row r="31">
          <cell r="B31" t="str">
            <v>27</v>
          </cell>
          <cell r="C31"/>
          <cell r="D31" t="str">
            <v>Stationery &amp; Office Supplies</v>
          </cell>
          <cell r="E31"/>
          <cell r="F31"/>
          <cell r="G31"/>
          <cell r="H31"/>
          <cell r="I31"/>
          <cell r="J31"/>
          <cell r="K31"/>
          <cell r="L31"/>
          <cell r="M31"/>
          <cell r="N31"/>
          <cell r="O31"/>
          <cell r="P31"/>
          <cell r="Q31"/>
          <cell r="R31" t="str">
            <v>0360</v>
          </cell>
          <cell r="S31">
            <v>620</v>
          </cell>
          <cell r="T31"/>
          <cell r="U31"/>
          <cell r="V31"/>
          <cell r="W31"/>
          <cell r="X31"/>
          <cell r="Y31"/>
          <cell r="Z31"/>
          <cell r="AA31"/>
          <cell r="AB31"/>
          <cell r="AC31"/>
          <cell r="AD31" t="e">
            <v>#REF!</v>
          </cell>
          <cell r="AE31"/>
          <cell r="AF31"/>
          <cell r="AG31"/>
          <cell r="AH31"/>
          <cell r="AI31">
            <v>12835</v>
          </cell>
          <cell r="AJ31"/>
          <cell r="AK31"/>
          <cell r="AL31"/>
          <cell r="AM31"/>
          <cell r="AN31"/>
          <cell r="AO31"/>
          <cell r="AP31"/>
          <cell r="AQ31"/>
          <cell r="AR31"/>
          <cell r="AS31"/>
          <cell r="AT31" t="e">
            <v>#REF!</v>
          </cell>
          <cell r="AU31"/>
          <cell r="AV31"/>
          <cell r="AW31"/>
          <cell r="AX31"/>
          <cell r="AY31">
            <v>615</v>
          </cell>
          <cell r="AZ31"/>
          <cell r="BA31"/>
          <cell r="BB31"/>
          <cell r="BC31"/>
          <cell r="BD31"/>
          <cell r="BE31" t="e">
            <v>#REF!</v>
          </cell>
          <cell r="BF31"/>
          <cell r="BG31"/>
          <cell r="BH31"/>
          <cell r="BI31"/>
          <cell r="BJ31">
            <v>6873</v>
          </cell>
          <cell r="BK31"/>
          <cell r="BL31"/>
          <cell r="BM31"/>
          <cell r="BN31"/>
          <cell r="BO31"/>
          <cell r="BP31" t="e">
            <v>#REF!</v>
          </cell>
          <cell r="BQ31"/>
          <cell r="BR31"/>
          <cell r="BS31"/>
          <cell r="BT31"/>
          <cell r="BU31">
            <v>0</v>
          </cell>
          <cell r="BV31"/>
          <cell r="BW31"/>
          <cell r="BX31"/>
          <cell r="BY31"/>
          <cell r="BZ31"/>
          <cell r="CA31" t="e">
            <v>#REF!</v>
          </cell>
          <cell r="CB31"/>
          <cell r="CC31"/>
          <cell r="CD31"/>
          <cell r="CE31"/>
          <cell r="CF31">
            <v>0</v>
          </cell>
          <cell r="CG31"/>
          <cell r="CH31"/>
          <cell r="CI31"/>
          <cell r="CJ31"/>
          <cell r="CK31"/>
          <cell r="CL31"/>
          <cell r="CM31"/>
          <cell r="CN31"/>
          <cell r="CO31"/>
          <cell r="CP31"/>
          <cell r="CQ31" t="e">
            <v>#REF!</v>
          </cell>
          <cell r="CR31"/>
          <cell r="CS31"/>
          <cell r="CT31"/>
          <cell r="CU31"/>
          <cell r="CV31" t="str">
            <v>27</v>
          </cell>
          <cell r="CW31"/>
          <cell r="CX31"/>
          <cell r="CY31">
            <v>302703</v>
          </cell>
          <cell r="CZ31">
            <v>302705</v>
          </cell>
          <cell r="DA31">
            <v>302707</v>
          </cell>
          <cell r="DB31">
            <v>302709</v>
          </cell>
          <cell r="DC31">
            <v>302711</v>
          </cell>
          <cell r="DD31">
            <v>302713</v>
          </cell>
        </row>
        <row r="32">
          <cell r="B32" t="str">
            <v>28</v>
          </cell>
          <cell r="C32"/>
          <cell r="D32" t="str">
            <v>Supplies &amp; Laundry</v>
          </cell>
          <cell r="E32"/>
          <cell r="F32"/>
          <cell r="G32"/>
          <cell r="H32"/>
          <cell r="I32"/>
          <cell r="J32"/>
          <cell r="K32"/>
          <cell r="L32"/>
          <cell r="M32"/>
          <cell r="N32"/>
          <cell r="O32"/>
          <cell r="P32"/>
          <cell r="Q32"/>
          <cell r="R32" t="str">
            <v>0370</v>
          </cell>
          <cell r="S32">
            <v>5556</v>
          </cell>
          <cell r="T32"/>
          <cell r="U32"/>
          <cell r="V32"/>
          <cell r="W32"/>
          <cell r="X32"/>
          <cell r="Y32"/>
          <cell r="Z32"/>
          <cell r="AA32"/>
          <cell r="AB32"/>
          <cell r="AC32"/>
          <cell r="AD32" t="e">
            <v>#REF!</v>
          </cell>
          <cell r="AE32"/>
          <cell r="AF32"/>
          <cell r="AG32"/>
          <cell r="AH32"/>
          <cell r="AI32">
            <v>-9434</v>
          </cell>
          <cell r="AJ32"/>
          <cell r="AK32"/>
          <cell r="AL32"/>
          <cell r="AM32"/>
          <cell r="AN32"/>
          <cell r="AO32"/>
          <cell r="AP32"/>
          <cell r="AQ32"/>
          <cell r="AR32"/>
          <cell r="AS32"/>
          <cell r="AT32" t="e">
            <v>#REF!</v>
          </cell>
          <cell r="AU32"/>
          <cell r="AV32"/>
          <cell r="AW32"/>
          <cell r="AX32"/>
          <cell r="AY32">
            <v>365</v>
          </cell>
          <cell r="AZ32"/>
          <cell r="BA32"/>
          <cell r="BB32"/>
          <cell r="BC32"/>
          <cell r="BD32"/>
          <cell r="BE32" t="e">
            <v>#REF!</v>
          </cell>
          <cell r="BF32"/>
          <cell r="BG32"/>
          <cell r="BH32"/>
          <cell r="BI32"/>
          <cell r="BJ32">
            <v>5608</v>
          </cell>
          <cell r="BK32"/>
          <cell r="BL32"/>
          <cell r="BM32"/>
          <cell r="BN32"/>
          <cell r="BO32"/>
          <cell r="BP32" t="e">
            <v>#REF!</v>
          </cell>
          <cell r="BQ32"/>
          <cell r="BR32"/>
          <cell r="BS32"/>
          <cell r="BT32"/>
          <cell r="BU32">
            <v>0</v>
          </cell>
          <cell r="BV32"/>
          <cell r="BW32"/>
          <cell r="BX32"/>
          <cell r="BY32"/>
          <cell r="BZ32"/>
          <cell r="CA32" t="e">
            <v>#REF!</v>
          </cell>
          <cell r="CB32"/>
          <cell r="CC32"/>
          <cell r="CD32"/>
          <cell r="CE32"/>
          <cell r="CF32">
            <v>0</v>
          </cell>
          <cell r="CG32"/>
          <cell r="CH32"/>
          <cell r="CI32"/>
          <cell r="CJ32"/>
          <cell r="CK32"/>
          <cell r="CL32"/>
          <cell r="CM32"/>
          <cell r="CN32"/>
          <cell r="CO32"/>
          <cell r="CP32"/>
          <cell r="CQ32" t="e">
            <v>#REF!</v>
          </cell>
          <cell r="CR32"/>
          <cell r="CS32"/>
          <cell r="CT32"/>
          <cell r="CU32"/>
          <cell r="CV32" t="str">
            <v>28</v>
          </cell>
          <cell r="CW32"/>
          <cell r="CX32"/>
          <cell r="CY32">
            <v>302803</v>
          </cell>
          <cell r="CZ32">
            <v>302805</v>
          </cell>
          <cell r="DA32">
            <v>302807</v>
          </cell>
          <cell r="DB32">
            <v>302809</v>
          </cell>
          <cell r="DC32">
            <v>302811</v>
          </cell>
          <cell r="DD32">
            <v>302813</v>
          </cell>
        </row>
        <row r="33">
          <cell r="B33" t="str">
            <v>29</v>
          </cell>
          <cell r="C33"/>
          <cell r="D33" t="str">
            <v>Outside Services</v>
          </cell>
          <cell r="E33"/>
          <cell r="F33"/>
          <cell r="G33"/>
          <cell r="H33"/>
          <cell r="I33"/>
          <cell r="J33"/>
          <cell r="K33"/>
          <cell r="L33"/>
          <cell r="M33"/>
          <cell r="N33"/>
          <cell r="O33"/>
          <cell r="P33"/>
          <cell r="Q33"/>
          <cell r="R33" t="str">
            <v>0380</v>
          </cell>
          <cell r="S33">
            <v>3169</v>
          </cell>
          <cell r="T33"/>
          <cell r="U33"/>
          <cell r="V33"/>
          <cell r="W33"/>
          <cell r="X33"/>
          <cell r="Y33"/>
          <cell r="Z33"/>
          <cell r="AA33"/>
          <cell r="AB33"/>
          <cell r="AC33"/>
          <cell r="AD33" t="e">
            <v>#REF!</v>
          </cell>
          <cell r="AE33"/>
          <cell r="AF33"/>
          <cell r="AG33"/>
          <cell r="AH33"/>
          <cell r="AI33">
            <v>20715</v>
          </cell>
          <cell r="AJ33"/>
          <cell r="AK33"/>
          <cell r="AL33"/>
          <cell r="AM33"/>
          <cell r="AN33"/>
          <cell r="AO33"/>
          <cell r="AP33"/>
          <cell r="AQ33"/>
          <cell r="AR33"/>
          <cell r="AS33"/>
          <cell r="AT33" t="e">
            <v>#REF!</v>
          </cell>
          <cell r="AU33"/>
          <cell r="AV33"/>
          <cell r="AW33"/>
          <cell r="AX33"/>
          <cell r="AY33">
            <v>1838</v>
          </cell>
          <cell r="AZ33"/>
          <cell r="BA33"/>
          <cell r="BB33"/>
          <cell r="BC33"/>
          <cell r="BD33"/>
          <cell r="BE33" t="e">
            <v>#REF!</v>
          </cell>
          <cell r="BF33"/>
          <cell r="BG33"/>
          <cell r="BH33"/>
          <cell r="BI33"/>
          <cell r="BJ33">
            <v>29011</v>
          </cell>
          <cell r="BK33"/>
          <cell r="BL33"/>
          <cell r="BM33"/>
          <cell r="BN33"/>
          <cell r="BO33"/>
          <cell r="BP33" t="e">
            <v>#REF!</v>
          </cell>
          <cell r="BQ33"/>
          <cell r="BR33"/>
          <cell r="BS33"/>
          <cell r="BT33"/>
          <cell r="BU33">
            <v>0</v>
          </cell>
          <cell r="BV33"/>
          <cell r="BW33"/>
          <cell r="BX33"/>
          <cell r="BY33"/>
          <cell r="BZ33"/>
          <cell r="CA33" t="e">
            <v>#REF!</v>
          </cell>
          <cell r="CB33"/>
          <cell r="CC33"/>
          <cell r="CD33"/>
          <cell r="CE33"/>
          <cell r="CF33">
            <v>0</v>
          </cell>
          <cell r="CG33"/>
          <cell r="CH33"/>
          <cell r="CI33"/>
          <cell r="CJ33"/>
          <cell r="CK33"/>
          <cell r="CL33"/>
          <cell r="CM33"/>
          <cell r="CN33"/>
          <cell r="CO33"/>
          <cell r="CP33"/>
          <cell r="CQ33" t="e">
            <v>#REF!</v>
          </cell>
          <cell r="CR33"/>
          <cell r="CS33"/>
          <cell r="CT33"/>
          <cell r="CU33"/>
          <cell r="CV33" t="str">
            <v>29</v>
          </cell>
          <cell r="CW33"/>
          <cell r="CX33"/>
          <cell r="CY33">
            <v>302903</v>
          </cell>
          <cell r="CZ33">
            <v>302905</v>
          </cell>
          <cell r="DA33">
            <v>302907</v>
          </cell>
          <cell r="DB33">
            <v>302909</v>
          </cell>
          <cell r="DC33">
            <v>302911</v>
          </cell>
          <cell r="DD33">
            <v>302913</v>
          </cell>
        </row>
        <row r="34">
          <cell r="B34" t="str">
            <v>30</v>
          </cell>
          <cell r="C34"/>
          <cell r="D34" t="str">
            <v>Travel &amp; Entertainment</v>
          </cell>
          <cell r="E34"/>
          <cell r="F34"/>
          <cell r="G34"/>
          <cell r="H34"/>
          <cell r="I34"/>
          <cell r="J34"/>
          <cell r="K34"/>
          <cell r="L34"/>
          <cell r="M34"/>
          <cell r="N34"/>
          <cell r="O34"/>
          <cell r="P34"/>
          <cell r="Q34"/>
          <cell r="R34" t="str">
            <v>0390</v>
          </cell>
          <cell r="S34">
            <v>665</v>
          </cell>
          <cell r="T34"/>
          <cell r="U34"/>
          <cell r="V34"/>
          <cell r="W34"/>
          <cell r="X34"/>
          <cell r="Y34"/>
          <cell r="Z34"/>
          <cell r="AA34"/>
          <cell r="AB34"/>
          <cell r="AC34"/>
          <cell r="AD34" t="e">
            <v>#REF!</v>
          </cell>
          <cell r="AE34"/>
          <cell r="AF34"/>
          <cell r="AG34"/>
          <cell r="AH34"/>
          <cell r="AI34">
            <v>6960</v>
          </cell>
          <cell r="AJ34"/>
          <cell r="AK34"/>
          <cell r="AL34"/>
          <cell r="AM34"/>
          <cell r="AN34"/>
          <cell r="AO34"/>
          <cell r="AP34"/>
          <cell r="AQ34"/>
          <cell r="AR34"/>
          <cell r="AS34"/>
          <cell r="AT34" t="e">
            <v>#REF!</v>
          </cell>
          <cell r="AU34"/>
          <cell r="AV34"/>
          <cell r="AW34"/>
          <cell r="AX34"/>
          <cell r="AY34">
            <v>481</v>
          </cell>
          <cell r="AZ34"/>
          <cell r="BA34"/>
          <cell r="BB34"/>
          <cell r="BC34"/>
          <cell r="BD34"/>
          <cell r="BE34" t="e">
            <v>#REF!</v>
          </cell>
          <cell r="BF34"/>
          <cell r="BG34"/>
          <cell r="BH34"/>
          <cell r="BI34"/>
          <cell r="BJ34">
            <v>5181</v>
          </cell>
          <cell r="BK34"/>
          <cell r="BL34"/>
          <cell r="BM34"/>
          <cell r="BN34"/>
          <cell r="BO34"/>
          <cell r="BP34" t="e">
            <v>#REF!</v>
          </cell>
          <cell r="BQ34"/>
          <cell r="BR34"/>
          <cell r="BS34"/>
          <cell r="BT34"/>
          <cell r="BU34">
            <v>0</v>
          </cell>
          <cell r="BV34"/>
          <cell r="BW34"/>
          <cell r="BX34"/>
          <cell r="BY34"/>
          <cell r="BZ34"/>
          <cell r="CA34" t="e">
            <v>#REF!</v>
          </cell>
          <cell r="CB34"/>
          <cell r="CC34"/>
          <cell r="CD34"/>
          <cell r="CE34"/>
          <cell r="CF34">
            <v>0</v>
          </cell>
          <cell r="CG34"/>
          <cell r="CH34"/>
          <cell r="CI34"/>
          <cell r="CJ34"/>
          <cell r="CK34"/>
          <cell r="CL34"/>
          <cell r="CM34"/>
          <cell r="CN34"/>
          <cell r="CO34"/>
          <cell r="CP34"/>
          <cell r="CQ34" t="e">
            <v>#REF!</v>
          </cell>
          <cell r="CR34"/>
          <cell r="CS34"/>
          <cell r="CT34"/>
          <cell r="CU34"/>
          <cell r="CV34" t="str">
            <v>30</v>
          </cell>
          <cell r="CW34"/>
          <cell r="CX34"/>
          <cell r="CY34">
            <v>303003</v>
          </cell>
          <cell r="CZ34">
            <v>303005</v>
          </cell>
          <cell r="DA34">
            <v>303007</v>
          </cell>
          <cell r="DB34">
            <v>303009</v>
          </cell>
          <cell r="DC34">
            <v>303011</v>
          </cell>
          <cell r="DD34">
            <v>303013</v>
          </cell>
        </row>
        <row r="35">
          <cell r="B35" t="str">
            <v>31</v>
          </cell>
          <cell r="C35"/>
          <cell r="D35" t="str">
            <v>Legal &amp; Auditing</v>
          </cell>
          <cell r="E35"/>
          <cell r="F35"/>
          <cell r="G35"/>
          <cell r="H35"/>
          <cell r="I35"/>
          <cell r="J35"/>
          <cell r="K35"/>
          <cell r="L35"/>
          <cell r="M35"/>
          <cell r="N35"/>
          <cell r="O35"/>
          <cell r="P35"/>
          <cell r="Q35"/>
          <cell r="R35" t="str">
            <v>0400</v>
          </cell>
          <cell r="S35">
            <v>623</v>
          </cell>
          <cell r="T35"/>
          <cell r="U35"/>
          <cell r="V35"/>
          <cell r="W35"/>
          <cell r="X35"/>
          <cell r="Y35"/>
          <cell r="Z35"/>
          <cell r="AA35"/>
          <cell r="AB35"/>
          <cell r="AC35"/>
          <cell r="AD35" t="e">
            <v>#REF!</v>
          </cell>
          <cell r="AE35"/>
          <cell r="AF35"/>
          <cell r="AG35"/>
          <cell r="AH35"/>
          <cell r="AI35">
            <v>9577</v>
          </cell>
          <cell r="AJ35"/>
          <cell r="AK35"/>
          <cell r="AL35"/>
          <cell r="AM35"/>
          <cell r="AN35"/>
          <cell r="AO35"/>
          <cell r="AP35"/>
          <cell r="AQ35"/>
          <cell r="AR35"/>
          <cell r="AS35"/>
          <cell r="AT35" t="e">
            <v>#REF!</v>
          </cell>
          <cell r="AU35"/>
          <cell r="AV35"/>
          <cell r="AW35"/>
          <cell r="AX35"/>
          <cell r="AY35">
            <v>467</v>
          </cell>
          <cell r="AZ35"/>
          <cell r="BA35"/>
          <cell r="BB35"/>
          <cell r="BC35"/>
          <cell r="BD35"/>
          <cell r="BE35" t="e">
            <v>#REF!</v>
          </cell>
          <cell r="BF35"/>
          <cell r="BG35"/>
          <cell r="BH35"/>
          <cell r="BI35"/>
          <cell r="BJ35">
            <v>7183</v>
          </cell>
          <cell r="BK35"/>
          <cell r="BL35"/>
          <cell r="BM35"/>
          <cell r="BN35"/>
          <cell r="BO35"/>
          <cell r="BP35" t="e">
            <v>#REF!</v>
          </cell>
          <cell r="BQ35"/>
          <cell r="BR35"/>
          <cell r="BS35"/>
          <cell r="BT35"/>
          <cell r="BU35">
            <v>0</v>
          </cell>
          <cell r="BV35"/>
          <cell r="BW35"/>
          <cell r="BX35"/>
          <cell r="BY35"/>
          <cell r="BZ35"/>
          <cell r="CA35" t="e">
            <v>#REF!</v>
          </cell>
          <cell r="CB35"/>
          <cell r="CC35"/>
          <cell r="CD35"/>
          <cell r="CE35"/>
          <cell r="CF35">
            <v>0</v>
          </cell>
          <cell r="CG35"/>
          <cell r="CH35"/>
          <cell r="CI35"/>
          <cell r="CJ35"/>
          <cell r="CK35"/>
          <cell r="CL35"/>
          <cell r="CM35"/>
          <cell r="CN35"/>
          <cell r="CO35"/>
          <cell r="CP35"/>
          <cell r="CQ35" t="e">
            <v>#REF!</v>
          </cell>
          <cell r="CR35"/>
          <cell r="CS35"/>
          <cell r="CT35"/>
          <cell r="CU35"/>
          <cell r="CV35" t="str">
            <v>31</v>
          </cell>
          <cell r="CW35"/>
          <cell r="CX35"/>
          <cell r="CY35">
            <v>303103</v>
          </cell>
          <cell r="CZ35">
            <v>303105</v>
          </cell>
          <cell r="DA35">
            <v>303107</v>
          </cell>
          <cell r="DB35">
            <v>303109</v>
          </cell>
          <cell r="DC35">
            <v>303111</v>
          </cell>
          <cell r="DD35">
            <v>303113</v>
          </cell>
        </row>
        <row r="36">
          <cell r="B36" t="str">
            <v>32</v>
          </cell>
          <cell r="C36"/>
          <cell r="D36" t="str">
            <v>Communication, Telephone, Internet &amp; Data Processing</v>
          </cell>
          <cell r="E36"/>
          <cell r="F36"/>
          <cell r="G36"/>
          <cell r="H36"/>
          <cell r="I36"/>
          <cell r="J36"/>
          <cell r="K36"/>
          <cell r="L36"/>
          <cell r="M36"/>
          <cell r="N36"/>
          <cell r="O36"/>
          <cell r="P36"/>
          <cell r="Q36"/>
          <cell r="R36" t="str">
            <v>0410</v>
          </cell>
          <cell r="S36">
            <v>3668</v>
          </cell>
          <cell r="T36"/>
          <cell r="U36"/>
          <cell r="V36"/>
          <cell r="W36"/>
          <cell r="X36"/>
          <cell r="Y36"/>
          <cell r="Z36"/>
          <cell r="AA36"/>
          <cell r="AB36"/>
          <cell r="AC36"/>
          <cell r="AD36" t="e">
            <v>#REF!</v>
          </cell>
          <cell r="AE36"/>
          <cell r="AF36"/>
          <cell r="AG36"/>
          <cell r="AH36"/>
          <cell r="AI36">
            <v>37843</v>
          </cell>
          <cell r="AJ36"/>
          <cell r="AK36"/>
          <cell r="AL36"/>
          <cell r="AM36"/>
          <cell r="AN36"/>
          <cell r="AO36"/>
          <cell r="AP36"/>
          <cell r="AQ36"/>
          <cell r="AR36"/>
          <cell r="AS36"/>
          <cell r="AT36" t="e">
            <v>#REF!</v>
          </cell>
          <cell r="AU36"/>
          <cell r="AV36"/>
          <cell r="AW36"/>
          <cell r="AX36"/>
          <cell r="AY36">
            <v>2178</v>
          </cell>
          <cell r="AZ36"/>
          <cell r="BA36"/>
          <cell r="BB36"/>
          <cell r="BC36"/>
          <cell r="BD36"/>
          <cell r="BE36" t="e">
            <v>#REF!</v>
          </cell>
          <cell r="BF36"/>
          <cell r="BG36"/>
          <cell r="BH36"/>
          <cell r="BI36"/>
          <cell r="BJ36">
            <v>35984</v>
          </cell>
          <cell r="BK36"/>
          <cell r="BL36"/>
          <cell r="BM36"/>
          <cell r="BN36"/>
          <cell r="BO36"/>
          <cell r="BP36" t="e">
            <v>#REF!</v>
          </cell>
          <cell r="BQ36"/>
          <cell r="BR36"/>
          <cell r="BS36"/>
          <cell r="BT36"/>
          <cell r="BU36">
            <v>0</v>
          </cell>
          <cell r="BV36"/>
          <cell r="BW36"/>
          <cell r="BX36"/>
          <cell r="BY36"/>
          <cell r="BZ36"/>
          <cell r="CA36" t="e">
            <v>#REF!</v>
          </cell>
          <cell r="CB36"/>
          <cell r="CC36"/>
          <cell r="CD36"/>
          <cell r="CE36"/>
          <cell r="CF36">
            <v>0</v>
          </cell>
          <cell r="CG36"/>
          <cell r="CH36"/>
          <cell r="CI36"/>
          <cell r="CJ36"/>
          <cell r="CK36"/>
          <cell r="CL36"/>
          <cell r="CM36"/>
          <cell r="CN36"/>
          <cell r="CO36"/>
          <cell r="CP36"/>
          <cell r="CQ36" t="e">
            <v>#REF!</v>
          </cell>
          <cell r="CR36"/>
          <cell r="CS36"/>
          <cell r="CT36"/>
          <cell r="CU36"/>
          <cell r="CV36" t="str">
            <v>32</v>
          </cell>
          <cell r="CW36"/>
          <cell r="CX36"/>
          <cell r="CY36">
            <v>303203</v>
          </cell>
          <cell r="CZ36">
            <v>303205</v>
          </cell>
          <cell r="DA36">
            <v>303207</v>
          </cell>
          <cell r="DB36">
            <v>303209</v>
          </cell>
          <cell r="DC36">
            <v>303211</v>
          </cell>
          <cell r="DD36">
            <v>303213</v>
          </cell>
        </row>
        <row r="37">
          <cell r="B37" t="str">
            <v>33</v>
          </cell>
          <cell r="C37"/>
          <cell r="D37" t="str">
            <v>Employee Training</v>
          </cell>
          <cell r="E37"/>
          <cell r="F37"/>
          <cell r="G37"/>
          <cell r="H37"/>
          <cell r="I37"/>
          <cell r="J37"/>
          <cell r="K37"/>
          <cell r="L37"/>
          <cell r="M37"/>
          <cell r="N37"/>
          <cell r="O37"/>
          <cell r="P37"/>
          <cell r="Q37"/>
          <cell r="R37" t="str">
            <v>0420</v>
          </cell>
          <cell r="S37">
            <v>926</v>
          </cell>
          <cell r="T37"/>
          <cell r="U37"/>
          <cell r="V37"/>
          <cell r="W37"/>
          <cell r="X37"/>
          <cell r="Y37"/>
          <cell r="Z37"/>
          <cell r="AA37"/>
          <cell r="AB37"/>
          <cell r="AC37"/>
          <cell r="AD37" t="e">
            <v>#REF!</v>
          </cell>
          <cell r="AE37"/>
          <cell r="AF37"/>
          <cell r="AG37"/>
          <cell r="AH37"/>
          <cell r="AI37">
            <v>14373</v>
          </cell>
          <cell r="AJ37"/>
          <cell r="AK37"/>
          <cell r="AL37"/>
          <cell r="AM37"/>
          <cell r="AN37"/>
          <cell r="AO37"/>
          <cell r="AP37"/>
          <cell r="AQ37"/>
          <cell r="AR37"/>
          <cell r="AS37"/>
          <cell r="AT37" t="e">
            <v>#REF!</v>
          </cell>
          <cell r="AU37"/>
          <cell r="AV37"/>
          <cell r="AW37"/>
          <cell r="AX37"/>
          <cell r="AY37">
            <v>263</v>
          </cell>
          <cell r="AZ37"/>
          <cell r="BA37"/>
          <cell r="BB37"/>
          <cell r="BC37"/>
          <cell r="BD37"/>
          <cell r="BE37" t="e">
            <v>#REF!</v>
          </cell>
          <cell r="BF37"/>
          <cell r="BG37"/>
          <cell r="BH37"/>
          <cell r="BI37"/>
          <cell r="BJ37">
            <v>2614</v>
          </cell>
          <cell r="BK37"/>
          <cell r="BL37"/>
          <cell r="BM37"/>
          <cell r="BN37"/>
          <cell r="BO37"/>
          <cell r="BP37" t="e">
            <v>#REF!</v>
          </cell>
          <cell r="BQ37"/>
          <cell r="BR37"/>
          <cell r="BS37"/>
          <cell r="BT37"/>
          <cell r="BU37">
            <v>0</v>
          </cell>
          <cell r="BV37"/>
          <cell r="BW37"/>
          <cell r="BX37"/>
          <cell r="BY37"/>
          <cell r="BZ37"/>
          <cell r="CA37" t="e">
            <v>#REF!</v>
          </cell>
          <cell r="CB37"/>
          <cell r="CC37"/>
          <cell r="CD37"/>
          <cell r="CE37"/>
          <cell r="CF37">
            <v>0</v>
          </cell>
          <cell r="CG37"/>
          <cell r="CH37"/>
          <cell r="CI37"/>
          <cell r="CJ37"/>
          <cell r="CK37"/>
          <cell r="CL37"/>
          <cell r="CM37"/>
          <cell r="CN37"/>
          <cell r="CO37"/>
          <cell r="CP37"/>
          <cell r="CQ37" t="e">
            <v>#REF!</v>
          </cell>
          <cell r="CR37"/>
          <cell r="CS37"/>
          <cell r="CT37"/>
          <cell r="CU37"/>
          <cell r="CV37" t="str">
            <v>33</v>
          </cell>
          <cell r="CW37"/>
          <cell r="CX37"/>
          <cell r="CY37">
            <v>303303</v>
          </cell>
          <cell r="CZ37">
            <v>303305</v>
          </cell>
          <cell r="DA37">
            <v>303307</v>
          </cell>
          <cell r="DB37">
            <v>303309</v>
          </cell>
          <cell r="DC37">
            <v>303311</v>
          </cell>
          <cell r="DD37">
            <v>303313</v>
          </cell>
        </row>
        <row r="38">
          <cell r="B38" t="str">
            <v>34</v>
          </cell>
          <cell r="C38"/>
          <cell r="D38" t="str">
            <v>Bad Debts</v>
          </cell>
          <cell r="E38"/>
          <cell r="F38"/>
          <cell r="G38"/>
          <cell r="H38"/>
          <cell r="I38"/>
          <cell r="J38"/>
          <cell r="K38"/>
          <cell r="L38"/>
          <cell r="M38"/>
          <cell r="N38"/>
          <cell r="O38"/>
          <cell r="P38"/>
          <cell r="Q38"/>
          <cell r="R38" t="str">
            <v>0430</v>
          </cell>
          <cell r="S38">
            <v>0</v>
          </cell>
          <cell r="T38"/>
          <cell r="U38"/>
          <cell r="V38"/>
          <cell r="W38"/>
          <cell r="X38"/>
          <cell r="Y38"/>
          <cell r="Z38"/>
          <cell r="AA38"/>
          <cell r="AB38"/>
          <cell r="AC38"/>
          <cell r="AD38" t="e">
            <v>#REF!</v>
          </cell>
          <cell r="AE38"/>
          <cell r="AF38"/>
          <cell r="AG38"/>
          <cell r="AH38"/>
          <cell r="AI38">
            <v>0</v>
          </cell>
          <cell r="AJ38"/>
          <cell r="AK38"/>
          <cell r="AL38"/>
          <cell r="AM38"/>
          <cell r="AN38"/>
          <cell r="AO38"/>
          <cell r="AP38"/>
          <cell r="AQ38"/>
          <cell r="AR38"/>
          <cell r="AS38"/>
          <cell r="AT38" t="e">
            <v>#REF!</v>
          </cell>
          <cell r="AU38"/>
          <cell r="AV38"/>
          <cell r="AW38"/>
          <cell r="AX38"/>
          <cell r="AY38">
            <v>0</v>
          </cell>
          <cell r="AZ38"/>
          <cell r="BA38"/>
          <cell r="BB38"/>
          <cell r="BC38"/>
          <cell r="BD38"/>
          <cell r="BE38" t="e">
            <v>#REF!</v>
          </cell>
          <cell r="BF38"/>
          <cell r="BG38"/>
          <cell r="BH38"/>
          <cell r="BI38"/>
          <cell r="BJ38">
            <v>0</v>
          </cell>
          <cell r="BK38"/>
          <cell r="BL38"/>
          <cell r="BM38"/>
          <cell r="BN38"/>
          <cell r="BO38"/>
          <cell r="BP38" t="e">
            <v>#REF!</v>
          </cell>
          <cell r="BQ38"/>
          <cell r="BR38"/>
          <cell r="BS38"/>
          <cell r="BT38"/>
          <cell r="BU38">
            <v>0</v>
          </cell>
          <cell r="BV38"/>
          <cell r="BW38"/>
          <cell r="BX38"/>
          <cell r="BY38"/>
          <cell r="BZ38"/>
          <cell r="CA38" t="e">
            <v>#REF!</v>
          </cell>
          <cell r="CB38"/>
          <cell r="CC38"/>
          <cell r="CD38"/>
          <cell r="CE38"/>
          <cell r="CF38">
            <v>0</v>
          </cell>
          <cell r="CG38"/>
          <cell r="CH38"/>
          <cell r="CI38"/>
          <cell r="CJ38"/>
          <cell r="CK38"/>
          <cell r="CL38"/>
          <cell r="CM38"/>
          <cell r="CN38"/>
          <cell r="CO38"/>
          <cell r="CP38"/>
          <cell r="CQ38" t="e">
            <v>#REF!</v>
          </cell>
          <cell r="CR38"/>
          <cell r="CS38"/>
          <cell r="CT38"/>
          <cell r="CU38"/>
          <cell r="CV38" t="str">
            <v>34</v>
          </cell>
          <cell r="CW38"/>
          <cell r="CX38"/>
          <cell r="CY38">
            <v>303403</v>
          </cell>
          <cell r="CZ38">
            <v>303405</v>
          </cell>
          <cell r="DA38">
            <v>303407</v>
          </cell>
          <cell r="DB38">
            <v>303409</v>
          </cell>
          <cell r="DC38">
            <v>303411</v>
          </cell>
          <cell r="DD38">
            <v>303413</v>
          </cell>
        </row>
        <row r="39">
          <cell r="B39" t="str">
            <v>35</v>
          </cell>
          <cell r="C39"/>
          <cell r="D39" t="str">
            <v>Postage &amp; Misc.</v>
          </cell>
          <cell r="E39"/>
          <cell r="F39"/>
          <cell r="G39"/>
          <cell r="H39"/>
          <cell r="I39"/>
          <cell r="J39"/>
          <cell r="K39"/>
          <cell r="L39"/>
          <cell r="M39"/>
          <cell r="N39"/>
          <cell r="O39"/>
          <cell r="P39"/>
          <cell r="Q39"/>
          <cell r="R39" t="str">
            <v>0440</v>
          </cell>
          <cell r="S39">
            <v>109</v>
          </cell>
          <cell r="T39"/>
          <cell r="U39"/>
          <cell r="V39"/>
          <cell r="W39"/>
          <cell r="X39"/>
          <cell r="Y39"/>
          <cell r="Z39"/>
          <cell r="AA39"/>
          <cell r="AB39"/>
          <cell r="AC39"/>
          <cell r="AD39" t="e">
            <v>#REF!</v>
          </cell>
          <cell r="AE39"/>
          <cell r="AF39"/>
          <cell r="AG39"/>
          <cell r="AH39"/>
          <cell r="AI39">
            <v>2728</v>
          </cell>
          <cell r="AJ39"/>
          <cell r="AK39"/>
          <cell r="AL39"/>
          <cell r="AM39"/>
          <cell r="AN39"/>
          <cell r="AO39"/>
          <cell r="AP39"/>
          <cell r="AQ39"/>
          <cell r="AR39"/>
          <cell r="AS39"/>
          <cell r="AT39" t="e">
            <v>#REF!</v>
          </cell>
          <cell r="AU39"/>
          <cell r="AV39"/>
          <cell r="AW39"/>
          <cell r="AX39"/>
          <cell r="AY39">
            <v>299</v>
          </cell>
          <cell r="AZ39"/>
          <cell r="BA39"/>
          <cell r="BB39"/>
          <cell r="BC39"/>
          <cell r="BD39"/>
          <cell r="BE39" t="e">
            <v>#REF!</v>
          </cell>
          <cell r="BF39"/>
          <cell r="BG39"/>
          <cell r="BH39"/>
          <cell r="BI39"/>
          <cell r="BJ39">
            <v>3721</v>
          </cell>
          <cell r="BK39"/>
          <cell r="BL39"/>
          <cell r="BM39"/>
          <cell r="BN39"/>
          <cell r="BO39"/>
          <cell r="BP39" t="e">
            <v>#REF!</v>
          </cell>
          <cell r="BQ39"/>
          <cell r="BR39"/>
          <cell r="BS39"/>
          <cell r="BT39"/>
          <cell r="BU39">
            <v>0</v>
          </cell>
          <cell r="BV39"/>
          <cell r="BW39"/>
          <cell r="BX39"/>
          <cell r="BY39"/>
          <cell r="BZ39"/>
          <cell r="CA39" t="e">
            <v>#REF!</v>
          </cell>
          <cell r="CB39"/>
          <cell r="CC39"/>
          <cell r="CD39"/>
          <cell r="CE39"/>
          <cell r="CF39">
            <v>0</v>
          </cell>
          <cell r="CG39"/>
          <cell r="CH39"/>
          <cell r="CI39"/>
          <cell r="CJ39"/>
          <cell r="CK39"/>
          <cell r="CL39"/>
          <cell r="CM39"/>
          <cell r="CN39"/>
          <cell r="CO39"/>
          <cell r="CP39"/>
          <cell r="CQ39" t="e">
            <v>#REF!</v>
          </cell>
          <cell r="CR39"/>
          <cell r="CS39"/>
          <cell r="CT39"/>
          <cell r="CU39"/>
          <cell r="CV39" t="str">
            <v>35</v>
          </cell>
          <cell r="CW39"/>
          <cell r="CX39"/>
          <cell r="CY39">
            <v>303503</v>
          </cell>
          <cell r="CZ39">
            <v>303505</v>
          </cell>
          <cell r="DA39">
            <v>303507</v>
          </cell>
          <cell r="DB39">
            <v>303509</v>
          </cell>
          <cell r="DC39">
            <v>303511</v>
          </cell>
          <cell r="DD39">
            <v>303513</v>
          </cell>
        </row>
        <row r="40">
          <cell r="B40" t="str">
            <v>36</v>
          </cell>
          <cell r="C40"/>
          <cell r="D40" t="str">
            <v>Dues, Subscriptions, Memberships &amp; Contributions</v>
          </cell>
          <cell r="E40"/>
          <cell r="F40"/>
          <cell r="G40"/>
          <cell r="H40"/>
          <cell r="I40"/>
          <cell r="J40"/>
          <cell r="K40"/>
          <cell r="L40"/>
          <cell r="M40"/>
          <cell r="N40"/>
          <cell r="O40"/>
          <cell r="P40"/>
          <cell r="Q40"/>
          <cell r="R40" t="str">
            <v>0480</v>
          </cell>
          <cell r="S40">
            <v>304</v>
          </cell>
          <cell r="T40"/>
          <cell r="U40"/>
          <cell r="V40"/>
          <cell r="W40"/>
          <cell r="X40"/>
          <cell r="Y40"/>
          <cell r="Z40"/>
          <cell r="AA40"/>
          <cell r="AB40"/>
          <cell r="AC40"/>
          <cell r="AD40" t="e">
            <v>#REF!</v>
          </cell>
          <cell r="AE40"/>
          <cell r="AF40"/>
          <cell r="AG40"/>
          <cell r="AH40"/>
          <cell r="AI40">
            <v>5562</v>
          </cell>
          <cell r="AJ40"/>
          <cell r="AK40"/>
          <cell r="AL40"/>
          <cell r="AM40"/>
          <cell r="AN40"/>
          <cell r="AO40"/>
          <cell r="AP40"/>
          <cell r="AQ40"/>
          <cell r="AR40"/>
          <cell r="AS40"/>
          <cell r="AT40" t="e">
            <v>#REF!</v>
          </cell>
          <cell r="AU40"/>
          <cell r="AV40"/>
          <cell r="AW40"/>
          <cell r="AX40"/>
          <cell r="AY40">
            <v>276</v>
          </cell>
          <cell r="AZ40"/>
          <cell r="BA40"/>
          <cell r="BB40"/>
          <cell r="BC40"/>
          <cell r="BD40"/>
          <cell r="BE40" t="e">
            <v>#REF!</v>
          </cell>
          <cell r="BF40"/>
          <cell r="BG40"/>
          <cell r="BH40"/>
          <cell r="BI40"/>
          <cell r="BJ40">
            <v>4582</v>
          </cell>
          <cell r="BK40"/>
          <cell r="BL40"/>
          <cell r="BM40"/>
          <cell r="BN40"/>
          <cell r="BO40"/>
          <cell r="BP40" t="e">
            <v>#REF!</v>
          </cell>
          <cell r="BQ40"/>
          <cell r="BR40"/>
          <cell r="BS40"/>
          <cell r="BT40"/>
          <cell r="BU40">
            <v>0</v>
          </cell>
          <cell r="BV40"/>
          <cell r="BW40"/>
          <cell r="BX40"/>
          <cell r="BY40"/>
          <cell r="BZ40"/>
          <cell r="CA40" t="e">
            <v>#REF!</v>
          </cell>
          <cell r="CB40"/>
          <cell r="CC40"/>
          <cell r="CD40"/>
          <cell r="CE40"/>
          <cell r="CF40">
            <v>0</v>
          </cell>
          <cell r="CG40"/>
          <cell r="CH40"/>
          <cell r="CI40"/>
          <cell r="CJ40"/>
          <cell r="CK40"/>
          <cell r="CL40"/>
          <cell r="CM40"/>
          <cell r="CN40"/>
          <cell r="CO40"/>
          <cell r="CP40"/>
          <cell r="CQ40" t="e">
            <v>#REF!</v>
          </cell>
          <cell r="CR40"/>
          <cell r="CS40"/>
          <cell r="CT40"/>
          <cell r="CU40"/>
          <cell r="CV40" t="str">
            <v>36</v>
          </cell>
          <cell r="CW40"/>
          <cell r="CX40"/>
          <cell r="CY40">
            <v>303603</v>
          </cell>
          <cell r="CZ40">
            <v>303605</v>
          </cell>
          <cell r="DA40">
            <v>303607</v>
          </cell>
          <cell r="DB40">
            <v>303609</v>
          </cell>
          <cell r="DC40">
            <v>303611</v>
          </cell>
          <cell r="DD40">
            <v>303613</v>
          </cell>
        </row>
        <row r="41">
          <cell r="B41" t="str">
            <v>37</v>
          </cell>
          <cell r="C41"/>
          <cell r="D41" t="str">
            <v>TOTAL SEMI-FIXED EXPENSE GROUP</v>
          </cell>
          <cell r="E41"/>
          <cell r="F41"/>
          <cell r="G41"/>
          <cell r="H41"/>
          <cell r="I41"/>
          <cell r="J41"/>
          <cell r="K41"/>
          <cell r="L41"/>
          <cell r="M41"/>
          <cell r="N41"/>
          <cell r="O41"/>
          <cell r="P41"/>
          <cell r="Q41" t="str">
            <v xml:space="preserve">(Lines 23 to 36) </v>
          </cell>
          <cell r="R41"/>
          <cell r="S41">
            <v>16859</v>
          </cell>
          <cell r="T41"/>
          <cell r="U41"/>
          <cell r="V41"/>
          <cell r="W41"/>
          <cell r="X41"/>
          <cell r="Y41"/>
          <cell r="Z41"/>
          <cell r="AA41"/>
          <cell r="AB41"/>
          <cell r="AC41"/>
          <cell r="AD41" t="e">
            <v>#REF!</v>
          </cell>
          <cell r="AE41"/>
          <cell r="AF41"/>
          <cell r="AG41"/>
          <cell r="AH41"/>
          <cell r="AI41">
            <v>131048</v>
          </cell>
          <cell r="AJ41"/>
          <cell r="AK41"/>
          <cell r="AL41"/>
          <cell r="AM41"/>
          <cell r="AN41"/>
          <cell r="AO41"/>
          <cell r="AP41"/>
          <cell r="AQ41"/>
          <cell r="AR41"/>
          <cell r="AS41"/>
          <cell r="AT41" t="e">
            <v>#REF!</v>
          </cell>
          <cell r="AU41"/>
          <cell r="AV41"/>
          <cell r="AW41"/>
          <cell r="AX41"/>
          <cell r="AY41">
            <v>7670</v>
          </cell>
          <cell r="AZ41"/>
          <cell r="BA41"/>
          <cell r="BB41"/>
          <cell r="BC41"/>
          <cell r="BD41"/>
          <cell r="BE41" t="e">
            <v>#REF!</v>
          </cell>
          <cell r="BF41"/>
          <cell r="BG41"/>
          <cell r="BH41"/>
          <cell r="BI41"/>
          <cell r="BJ41">
            <v>115165</v>
          </cell>
          <cell r="BK41"/>
          <cell r="BL41"/>
          <cell r="BM41"/>
          <cell r="BN41"/>
          <cell r="BO41"/>
          <cell r="BP41" t="e">
            <v>#REF!</v>
          </cell>
          <cell r="BQ41"/>
          <cell r="BR41"/>
          <cell r="BS41"/>
          <cell r="BT41"/>
          <cell r="BU41">
            <v>0</v>
          </cell>
          <cell r="BV41"/>
          <cell r="BW41"/>
          <cell r="BX41"/>
          <cell r="BY41"/>
          <cell r="BZ41"/>
          <cell r="CA41" t="e">
            <v>#REF!</v>
          </cell>
          <cell r="CB41"/>
          <cell r="CC41"/>
          <cell r="CD41"/>
          <cell r="CE41"/>
          <cell r="CF41">
            <v>0</v>
          </cell>
          <cell r="CG41"/>
          <cell r="CH41"/>
          <cell r="CI41"/>
          <cell r="CJ41"/>
          <cell r="CK41"/>
          <cell r="CL41"/>
          <cell r="CM41"/>
          <cell r="CN41"/>
          <cell r="CO41"/>
          <cell r="CP41"/>
          <cell r="CQ41" t="e">
            <v>#REF!</v>
          </cell>
          <cell r="CR41"/>
          <cell r="CS41"/>
          <cell r="CT41"/>
          <cell r="CU41"/>
          <cell r="CV41" t="str">
            <v>37</v>
          </cell>
          <cell r="CW41"/>
          <cell r="CX41"/>
          <cell r="CY41">
            <v>303703</v>
          </cell>
          <cell r="CZ41">
            <v>303705</v>
          </cell>
          <cell r="DA41">
            <v>303707</v>
          </cell>
          <cell r="DB41">
            <v>303709</v>
          </cell>
          <cell r="DC41">
            <v>303711</v>
          </cell>
          <cell r="DD41">
            <v>303713</v>
          </cell>
        </row>
        <row r="42">
          <cell r="B42" t="str">
            <v>38</v>
          </cell>
          <cell r="C42"/>
          <cell r="D42" t="str">
            <v>Rent and Interest - Real Estate Mortgages</v>
          </cell>
          <cell r="E42"/>
          <cell r="F42"/>
          <cell r="G42"/>
          <cell r="H42"/>
          <cell r="I42"/>
          <cell r="J42"/>
          <cell r="K42"/>
          <cell r="L42"/>
          <cell r="M42"/>
          <cell r="N42"/>
          <cell r="O42"/>
          <cell r="P42"/>
          <cell r="Q42"/>
          <cell r="R42" t="str">
            <v>0500</v>
          </cell>
          <cell r="S42">
            <v>11300</v>
          </cell>
          <cell r="T42"/>
          <cell r="U42"/>
          <cell r="V42"/>
          <cell r="W42"/>
          <cell r="X42"/>
          <cell r="Y42"/>
          <cell r="Z42"/>
          <cell r="AA42"/>
          <cell r="AB42"/>
          <cell r="AC42"/>
          <cell r="AD42" t="e">
            <v>#REF!</v>
          </cell>
          <cell r="AE42"/>
          <cell r="AF42"/>
          <cell r="AG42"/>
          <cell r="AH42"/>
          <cell r="AI42">
            <v>136700</v>
          </cell>
          <cell r="AJ42"/>
          <cell r="AK42"/>
          <cell r="AL42"/>
          <cell r="AM42"/>
          <cell r="AN42"/>
          <cell r="AO42"/>
          <cell r="AP42"/>
          <cell r="AQ42"/>
          <cell r="AR42"/>
          <cell r="AS42"/>
          <cell r="AT42" t="e">
            <v>#REF!</v>
          </cell>
          <cell r="AU42"/>
          <cell r="AV42"/>
          <cell r="AW42"/>
          <cell r="AX42"/>
          <cell r="AY42">
            <v>8475</v>
          </cell>
          <cell r="AZ42"/>
          <cell r="BA42"/>
          <cell r="BB42"/>
          <cell r="BC42"/>
          <cell r="BD42"/>
          <cell r="BE42" t="e">
            <v>#REF!</v>
          </cell>
          <cell r="BF42"/>
          <cell r="BG42"/>
          <cell r="BH42"/>
          <cell r="BI42"/>
          <cell r="BJ42">
            <v>102525</v>
          </cell>
          <cell r="BK42"/>
          <cell r="BL42"/>
          <cell r="BM42"/>
          <cell r="BN42"/>
          <cell r="BO42"/>
          <cell r="BP42" t="e">
            <v>#REF!</v>
          </cell>
          <cell r="BQ42"/>
          <cell r="BR42"/>
          <cell r="BS42"/>
          <cell r="BT42"/>
          <cell r="BU42">
            <v>0</v>
          </cell>
          <cell r="BV42"/>
          <cell r="BW42"/>
          <cell r="BX42"/>
          <cell r="BY42"/>
          <cell r="BZ42"/>
          <cell r="CA42" t="e">
            <v>#REF!</v>
          </cell>
          <cell r="CB42"/>
          <cell r="CC42"/>
          <cell r="CD42"/>
          <cell r="CE42"/>
          <cell r="CF42">
            <v>0</v>
          </cell>
          <cell r="CG42"/>
          <cell r="CH42"/>
          <cell r="CI42"/>
          <cell r="CJ42"/>
          <cell r="CK42"/>
          <cell r="CL42"/>
          <cell r="CM42"/>
          <cell r="CN42"/>
          <cell r="CO42"/>
          <cell r="CP42"/>
          <cell r="CQ42" t="e">
            <v>#REF!</v>
          </cell>
          <cell r="CR42"/>
          <cell r="CS42"/>
          <cell r="CT42"/>
          <cell r="CU42"/>
          <cell r="CV42" t="str">
            <v>38</v>
          </cell>
          <cell r="CW42"/>
          <cell r="CX42"/>
          <cell r="CY42">
            <v>303803</v>
          </cell>
          <cell r="CZ42">
            <v>303805</v>
          </cell>
          <cell r="DA42">
            <v>303807</v>
          </cell>
          <cell r="DB42">
            <v>303809</v>
          </cell>
          <cell r="DC42">
            <v>303811</v>
          </cell>
          <cell r="DD42">
            <v>303813</v>
          </cell>
        </row>
        <row r="43">
          <cell r="B43" t="str">
            <v>39</v>
          </cell>
          <cell r="C43"/>
          <cell r="D43" t="str">
            <v>Amortization - Leaseholds</v>
          </cell>
          <cell r="E43"/>
          <cell r="F43"/>
          <cell r="G43"/>
          <cell r="H43"/>
          <cell r="I43"/>
          <cell r="J43"/>
          <cell r="K43"/>
          <cell r="L43"/>
          <cell r="M43"/>
          <cell r="N43"/>
          <cell r="O43"/>
          <cell r="P43"/>
          <cell r="Q43"/>
          <cell r="R43" t="str">
            <v>0510</v>
          </cell>
          <cell r="S43">
            <v>-115</v>
          </cell>
          <cell r="T43"/>
          <cell r="U43"/>
          <cell r="V43"/>
          <cell r="W43"/>
          <cell r="X43"/>
          <cell r="Y43"/>
          <cell r="Z43"/>
          <cell r="AA43"/>
          <cell r="AB43"/>
          <cell r="AC43"/>
          <cell r="AD43" t="e">
            <v>#REF!</v>
          </cell>
          <cell r="AE43"/>
          <cell r="AF43"/>
          <cell r="AG43"/>
          <cell r="AH43"/>
          <cell r="AI43">
            <v>869</v>
          </cell>
          <cell r="AJ43"/>
          <cell r="AK43"/>
          <cell r="AL43"/>
          <cell r="AM43"/>
          <cell r="AN43"/>
          <cell r="AO43"/>
          <cell r="AP43"/>
          <cell r="AQ43"/>
          <cell r="AR43"/>
          <cell r="AS43"/>
          <cell r="AT43" t="e">
            <v>#REF!</v>
          </cell>
          <cell r="AU43"/>
          <cell r="AV43"/>
          <cell r="AW43"/>
          <cell r="AX43"/>
          <cell r="AY43">
            <v>-57</v>
          </cell>
          <cell r="AZ43"/>
          <cell r="BA43"/>
          <cell r="BB43"/>
          <cell r="BC43"/>
          <cell r="BD43"/>
          <cell r="BE43" t="e">
            <v>#REF!</v>
          </cell>
          <cell r="BF43"/>
          <cell r="BG43"/>
          <cell r="BH43"/>
          <cell r="BI43"/>
          <cell r="BJ43">
            <v>434</v>
          </cell>
          <cell r="BK43"/>
          <cell r="BL43"/>
          <cell r="BM43"/>
          <cell r="BN43"/>
          <cell r="BO43"/>
          <cell r="BP43" t="e">
            <v>#REF!</v>
          </cell>
          <cell r="BQ43"/>
          <cell r="BR43"/>
          <cell r="BS43"/>
          <cell r="BT43"/>
          <cell r="BU43">
            <v>0</v>
          </cell>
          <cell r="BV43"/>
          <cell r="BW43"/>
          <cell r="BX43"/>
          <cell r="BY43"/>
          <cell r="BZ43"/>
          <cell r="CA43" t="e">
            <v>#REF!</v>
          </cell>
          <cell r="CB43"/>
          <cell r="CC43"/>
          <cell r="CD43"/>
          <cell r="CE43"/>
          <cell r="CF43">
            <v>0</v>
          </cell>
          <cell r="CG43"/>
          <cell r="CH43"/>
          <cell r="CI43"/>
          <cell r="CJ43"/>
          <cell r="CK43"/>
          <cell r="CL43"/>
          <cell r="CM43"/>
          <cell r="CN43"/>
          <cell r="CO43"/>
          <cell r="CP43"/>
          <cell r="CQ43" t="e">
            <v>#REF!</v>
          </cell>
          <cell r="CR43"/>
          <cell r="CS43"/>
          <cell r="CT43"/>
          <cell r="CU43"/>
          <cell r="CV43" t="str">
            <v>39</v>
          </cell>
          <cell r="CW43"/>
          <cell r="CX43"/>
          <cell r="CY43">
            <v>303903</v>
          </cell>
          <cell r="CZ43">
            <v>303905</v>
          </cell>
          <cell r="DA43">
            <v>303907</v>
          </cell>
          <cell r="DB43">
            <v>303909</v>
          </cell>
          <cell r="DC43">
            <v>303911</v>
          </cell>
          <cell r="DD43">
            <v>303913</v>
          </cell>
        </row>
        <row r="44">
          <cell r="B44" t="str">
            <v>40</v>
          </cell>
          <cell r="C44"/>
          <cell r="D44" t="str">
            <v>Repair &amp; Maintenance - Real Estate</v>
          </cell>
          <cell r="E44"/>
          <cell r="F44"/>
          <cell r="G44"/>
          <cell r="H44"/>
          <cell r="I44"/>
          <cell r="J44"/>
          <cell r="K44"/>
          <cell r="L44"/>
          <cell r="M44"/>
          <cell r="N44"/>
          <cell r="O44"/>
          <cell r="P44"/>
          <cell r="Q44"/>
          <cell r="R44" t="str">
            <v>0520</v>
          </cell>
          <cell r="S44">
            <v>0</v>
          </cell>
          <cell r="T44"/>
          <cell r="U44"/>
          <cell r="V44"/>
          <cell r="W44"/>
          <cell r="X44"/>
          <cell r="Y44"/>
          <cell r="Z44"/>
          <cell r="AA44"/>
          <cell r="AB44"/>
          <cell r="AC44"/>
          <cell r="AD44" t="e">
            <v>#REF!</v>
          </cell>
          <cell r="AE44"/>
          <cell r="AF44"/>
          <cell r="AG44"/>
          <cell r="AH44"/>
          <cell r="AI44">
            <v>7824</v>
          </cell>
          <cell r="AJ44"/>
          <cell r="AK44"/>
          <cell r="AL44"/>
          <cell r="AM44"/>
          <cell r="AN44"/>
          <cell r="AO44"/>
          <cell r="AP44"/>
          <cell r="AQ44"/>
          <cell r="AR44"/>
          <cell r="AS44"/>
          <cell r="AT44" t="e">
            <v>#REF!</v>
          </cell>
          <cell r="AU44"/>
          <cell r="AV44"/>
          <cell r="AW44"/>
          <cell r="AX44"/>
          <cell r="AY44">
            <v>0</v>
          </cell>
          <cell r="AZ44"/>
          <cell r="BA44"/>
          <cell r="BB44"/>
          <cell r="BC44"/>
          <cell r="BD44"/>
          <cell r="BE44" t="e">
            <v>#REF!</v>
          </cell>
          <cell r="BF44"/>
          <cell r="BG44"/>
          <cell r="BH44"/>
          <cell r="BI44"/>
          <cell r="BJ44">
            <v>3541</v>
          </cell>
          <cell r="BK44"/>
          <cell r="BL44"/>
          <cell r="BM44"/>
          <cell r="BN44"/>
          <cell r="BO44"/>
          <cell r="BP44" t="e">
            <v>#REF!</v>
          </cell>
          <cell r="BQ44"/>
          <cell r="BR44"/>
          <cell r="BS44"/>
          <cell r="BT44"/>
          <cell r="BU44">
            <v>0</v>
          </cell>
          <cell r="BV44"/>
          <cell r="BW44"/>
          <cell r="BX44"/>
          <cell r="BY44"/>
          <cell r="BZ44"/>
          <cell r="CA44" t="e">
            <v>#REF!</v>
          </cell>
          <cell r="CB44"/>
          <cell r="CC44"/>
          <cell r="CD44"/>
          <cell r="CE44"/>
          <cell r="CF44">
            <v>0</v>
          </cell>
          <cell r="CG44"/>
          <cell r="CH44"/>
          <cell r="CI44"/>
          <cell r="CJ44"/>
          <cell r="CK44"/>
          <cell r="CL44"/>
          <cell r="CM44"/>
          <cell r="CN44"/>
          <cell r="CO44"/>
          <cell r="CP44"/>
          <cell r="CQ44" t="e">
            <v>#REF!</v>
          </cell>
          <cell r="CR44"/>
          <cell r="CS44"/>
          <cell r="CT44"/>
          <cell r="CU44"/>
          <cell r="CV44" t="str">
            <v>40</v>
          </cell>
          <cell r="CW44"/>
          <cell r="CX44"/>
          <cell r="CY44">
            <v>304003</v>
          </cell>
          <cell r="CZ44">
            <v>304005</v>
          </cell>
          <cell r="DA44">
            <v>304007</v>
          </cell>
          <cell r="DB44">
            <v>304009</v>
          </cell>
          <cell r="DC44">
            <v>304011</v>
          </cell>
          <cell r="DD44">
            <v>304013</v>
          </cell>
        </row>
        <row r="45">
          <cell r="B45" t="str">
            <v>41</v>
          </cell>
          <cell r="C45"/>
          <cell r="D45" t="str">
            <v>Depreciation - Buildings &amp; Improvements</v>
          </cell>
          <cell r="E45"/>
          <cell r="F45"/>
          <cell r="G45"/>
          <cell r="H45"/>
          <cell r="I45"/>
          <cell r="J45"/>
          <cell r="K45"/>
          <cell r="L45"/>
          <cell r="M45"/>
          <cell r="N45"/>
          <cell r="O45"/>
          <cell r="P45"/>
          <cell r="Q45"/>
          <cell r="R45" t="str">
            <v>0530</v>
          </cell>
          <cell r="S45">
            <v>0</v>
          </cell>
          <cell r="T45"/>
          <cell r="U45"/>
          <cell r="V45"/>
          <cell r="W45"/>
          <cell r="X45"/>
          <cell r="Y45"/>
          <cell r="Z45"/>
          <cell r="AA45"/>
          <cell r="AB45"/>
          <cell r="AC45"/>
          <cell r="AD45" t="e">
            <v>#REF!</v>
          </cell>
          <cell r="AE45"/>
          <cell r="AF45"/>
          <cell r="AG45"/>
          <cell r="AH45"/>
          <cell r="AI45">
            <v>0</v>
          </cell>
          <cell r="AJ45"/>
          <cell r="AK45"/>
          <cell r="AL45"/>
          <cell r="AM45"/>
          <cell r="AN45"/>
          <cell r="AO45"/>
          <cell r="AP45"/>
          <cell r="AQ45"/>
          <cell r="AR45"/>
          <cell r="AS45"/>
          <cell r="AT45" t="e">
            <v>#REF!</v>
          </cell>
          <cell r="AU45"/>
          <cell r="AV45"/>
          <cell r="AW45"/>
          <cell r="AX45"/>
          <cell r="AY45">
            <v>0</v>
          </cell>
          <cell r="AZ45"/>
          <cell r="BA45"/>
          <cell r="BB45"/>
          <cell r="BC45"/>
          <cell r="BD45"/>
          <cell r="BE45" t="e">
            <v>#REF!</v>
          </cell>
          <cell r="BF45"/>
          <cell r="BG45"/>
          <cell r="BH45"/>
          <cell r="BI45"/>
          <cell r="BJ45">
            <v>0</v>
          </cell>
          <cell r="BK45"/>
          <cell r="BL45"/>
          <cell r="BM45"/>
          <cell r="BN45"/>
          <cell r="BO45"/>
          <cell r="BP45" t="e">
            <v>#REF!</v>
          </cell>
          <cell r="BQ45"/>
          <cell r="BR45"/>
          <cell r="BS45"/>
          <cell r="BT45"/>
          <cell r="BU45">
            <v>0</v>
          </cell>
          <cell r="BV45"/>
          <cell r="BW45"/>
          <cell r="BX45"/>
          <cell r="BY45"/>
          <cell r="BZ45"/>
          <cell r="CA45" t="e">
            <v>#REF!</v>
          </cell>
          <cell r="CB45"/>
          <cell r="CC45"/>
          <cell r="CD45"/>
          <cell r="CE45"/>
          <cell r="CF45">
            <v>0</v>
          </cell>
          <cell r="CG45"/>
          <cell r="CH45"/>
          <cell r="CI45"/>
          <cell r="CJ45"/>
          <cell r="CK45"/>
          <cell r="CL45"/>
          <cell r="CM45"/>
          <cell r="CN45"/>
          <cell r="CO45"/>
          <cell r="CP45"/>
          <cell r="CQ45" t="e">
            <v>#REF!</v>
          </cell>
          <cell r="CR45"/>
          <cell r="CS45"/>
          <cell r="CT45"/>
          <cell r="CU45"/>
          <cell r="CV45" t="str">
            <v>41</v>
          </cell>
          <cell r="CW45"/>
          <cell r="CX45"/>
          <cell r="CY45">
            <v>304103</v>
          </cell>
          <cell r="CZ45">
            <v>304105</v>
          </cell>
          <cell r="DA45">
            <v>304107</v>
          </cell>
          <cell r="DB45">
            <v>304109</v>
          </cell>
          <cell r="DC45">
            <v>304111</v>
          </cell>
          <cell r="DD45">
            <v>304113</v>
          </cell>
        </row>
        <row r="46">
          <cell r="B46" t="str">
            <v>42</v>
          </cell>
          <cell r="C46"/>
          <cell r="D46" t="str">
            <v>Insurance - Buildings &amp; Improvements</v>
          </cell>
          <cell r="E46"/>
          <cell r="F46"/>
          <cell r="G46"/>
          <cell r="H46"/>
          <cell r="I46"/>
          <cell r="J46"/>
          <cell r="K46"/>
          <cell r="L46"/>
          <cell r="M46"/>
          <cell r="N46"/>
          <cell r="O46"/>
          <cell r="P46"/>
          <cell r="Q46"/>
          <cell r="R46" t="str">
            <v>0540</v>
          </cell>
          <cell r="S46">
            <v>1146</v>
          </cell>
          <cell r="T46"/>
          <cell r="U46"/>
          <cell r="V46"/>
          <cell r="W46"/>
          <cell r="X46"/>
          <cell r="Y46"/>
          <cell r="Z46"/>
          <cell r="AA46"/>
          <cell r="AB46"/>
          <cell r="AC46"/>
          <cell r="AD46" t="e">
            <v>#REF!</v>
          </cell>
          <cell r="AE46"/>
          <cell r="AF46"/>
          <cell r="AG46"/>
          <cell r="AH46"/>
          <cell r="AI46">
            <v>10672</v>
          </cell>
          <cell r="AJ46"/>
          <cell r="AK46"/>
          <cell r="AL46"/>
          <cell r="AM46"/>
          <cell r="AN46"/>
          <cell r="AO46"/>
          <cell r="AP46"/>
          <cell r="AQ46"/>
          <cell r="AR46"/>
          <cell r="AS46"/>
          <cell r="AT46" t="e">
            <v>#REF!</v>
          </cell>
          <cell r="AU46"/>
          <cell r="AV46"/>
          <cell r="AW46"/>
          <cell r="AX46"/>
          <cell r="AY46">
            <v>860</v>
          </cell>
          <cell r="AZ46"/>
          <cell r="BA46"/>
          <cell r="BB46"/>
          <cell r="BC46"/>
          <cell r="BD46"/>
          <cell r="BE46" t="e">
            <v>#REF!</v>
          </cell>
          <cell r="BF46"/>
          <cell r="BG46"/>
          <cell r="BH46"/>
          <cell r="BI46"/>
          <cell r="BJ46">
            <v>8004</v>
          </cell>
          <cell r="BK46"/>
          <cell r="BL46"/>
          <cell r="BM46"/>
          <cell r="BN46"/>
          <cell r="BO46"/>
          <cell r="BP46" t="e">
            <v>#REF!</v>
          </cell>
          <cell r="BQ46"/>
          <cell r="BR46"/>
          <cell r="BS46"/>
          <cell r="BT46"/>
          <cell r="BU46">
            <v>0</v>
          </cell>
          <cell r="BV46"/>
          <cell r="BW46"/>
          <cell r="BX46"/>
          <cell r="BY46"/>
          <cell r="BZ46"/>
          <cell r="CA46" t="e">
            <v>#REF!</v>
          </cell>
          <cell r="CB46"/>
          <cell r="CC46"/>
          <cell r="CD46"/>
          <cell r="CE46"/>
          <cell r="CF46">
            <v>0</v>
          </cell>
          <cell r="CG46"/>
          <cell r="CH46"/>
          <cell r="CI46"/>
          <cell r="CJ46"/>
          <cell r="CK46"/>
          <cell r="CL46"/>
          <cell r="CM46"/>
          <cell r="CN46"/>
          <cell r="CO46"/>
          <cell r="CP46"/>
          <cell r="CQ46" t="e">
            <v>#REF!</v>
          </cell>
          <cell r="CR46"/>
          <cell r="CS46"/>
          <cell r="CT46"/>
          <cell r="CU46"/>
          <cell r="CV46" t="str">
            <v>42</v>
          </cell>
          <cell r="CW46"/>
          <cell r="CX46"/>
          <cell r="CY46">
            <v>304203</v>
          </cell>
          <cell r="CZ46">
            <v>304205</v>
          </cell>
          <cell r="DA46">
            <v>304207</v>
          </cell>
          <cell r="DB46">
            <v>304209</v>
          </cell>
          <cell r="DC46">
            <v>304211</v>
          </cell>
          <cell r="DD46">
            <v>304213</v>
          </cell>
        </row>
        <row r="47">
          <cell r="B47" t="str">
            <v>43</v>
          </cell>
          <cell r="C47"/>
          <cell r="D47" t="str">
            <v>Taxes - Real Estate</v>
          </cell>
          <cell r="E47"/>
          <cell r="F47"/>
          <cell r="G47"/>
          <cell r="H47"/>
          <cell r="I47"/>
          <cell r="J47"/>
          <cell r="K47"/>
          <cell r="L47"/>
          <cell r="M47"/>
          <cell r="N47"/>
          <cell r="O47"/>
          <cell r="P47"/>
          <cell r="Q47"/>
          <cell r="R47" t="str">
            <v>0550</v>
          </cell>
          <cell r="S47">
            <v>340</v>
          </cell>
          <cell r="T47"/>
          <cell r="U47"/>
          <cell r="V47"/>
          <cell r="W47"/>
          <cell r="X47"/>
          <cell r="Y47"/>
          <cell r="Z47"/>
          <cell r="AA47"/>
          <cell r="AB47"/>
          <cell r="AC47"/>
          <cell r="AD47" t="e">
            <v>#REF!</v>
          </cell>
          <cell r="AE47"/>
          <cell r="AF47"/>
          <cell r="AG47"/>
          <cell r="AH47"/>
          <cell r="AI47">
            <v>4080</v>
          </cell>
          <cell r="AJ47"/>
          <cell r="AK47"/>
          <cell r="AL47"/>
          <cell r="AM47"/>
          <cell r="AN47"/>
          <cell r="AO47"/>
          <cell r="AP47"/>
          <cell r="AQ47"/>
          <cell r="AR47"/>
          <cell r="AS47"/>
          <cell r="AT47" t="e">
            <v>#REF!</v>
          </cell>
          <cell r="AU47"/>
          <cell r="AV47"/>
          <cell r="AW47"/>
          <cell r="AX47"/>
          <cell r="AY47">
            <v>255</v>
          </cell>
          <cell r="AZ47"/>
          <cell r="BA47"/>
          <cell r="BB47"/>
          <cell r="BC47"/>
          <cell r="BD47"/>
          <cell r="BE47" t="e">
            <v>#REF!</v>
          </cell>
          <cell r="BF47"/>
          <cell r="BG47"/>
          <cell r="BH47"/>
          <cell r="BI47"/>
          <cell r="BJ47">
            <v>3060</v>
          </cell>
          <cell r="BK47"/>
          <cell r="BL47"/>
          <cell r="BM47"/>
          <cell r="BN47"/>
          <cell r="BO47"/>
          <cell r="BP47" t="e">
            <v>#REF!</v>
          </cell>
          <cell r="BQ47"/>
          <cell r="BR47"/>
          <cell r="BS47"/>
          <cell r="BT47"/>
          <cell r="BU47">
            <v>0</v>
          </cell>
          <cell r="BV47"/>
          <cell r="BW47"/>
          <cell r="BX47"/>
          <cell r="BY47"/>
          <cell r="BZ47"/>
          <cell r="CA47" t="e">
            <v>#REF!</v>
          </cell>
          <cell r="CB47"/>
          <cell r="CC47"/>
          <cell r="CD47"/>
          <cell r="CE47"/>
          <cell r="CF47">
            <v>0</v>
          </cell>
          <cell r="CG47"/>
          <cell r="CH47"/>
          <cell r="CI47"/>
          <cell r="CJ47"/>
          <cell r="CK47"/>
          <cell r="CL47"/>
          <cell r="CM47"/>
          <cell r="CN47"/>
          <cell r="CO47"/>
          <cell r="CP47"/>
          <cell r="CQ47" t="e">
            <v>#REF!</v>
          </cell>
          <cell r="CR47"/>
          <cell r="CS47"/>
          <cell r="CT47"/>
          <cell r="CU47"/>
          <cell r="CV47" t="str">
            <v>43</v>
          </cell>
          <cell r="CW47"/>
          <cell r="CX47"/>
          <cell r="CY47">
            <v>304303</v>
          </cell>
          <cell r="CZ47">
            <v>304305</v>
          </cell>
          <cell r="DA47">
            <v>304307</v>
          </cell>
          <cell r="DB47">
            <v>304309</v>
          </cell>
          <cell r="DC47">
            <v>304311</v>
          </cell>
          <cell r="DD47">
            <v>304313</v>
          </cell>
        </row>
        <row r="48">
          <cell r="B48" t="str">
            <v>44</v>
          </cell>
          <cell r="C48"/>
          <cell r="D48" t="str">
            <v>Heat, Light, Power &amp; Water</v>
          </cell>
          <cell r="E48"/>
          <cell r="F48"/>
          <cell r="G48"/>
          <cell r="H48"/>
          <cell r="I48"/>
          <cell r="J48"/>
          <cell r="K48"/>
          <cell r="L48"/>
          <cell r="M48"/>
          <cell r="N48"/>
          <cell r="O48"/>
          <cell r="P48"/>
          <cell r="Q48"/>
          <cell r="R48" t="str">
            <v>0570</v>
          </cell>
          <cell r="S48">
            <v>1178</v>
          </cell>
          <cell r="T48"/>
          <cell r="U48"/>
          <cell r="V48"/>
          <cell r="W48"/>
          <cell r="X48"/>
          <cell r="Y48"/>
          <cell r="Z48"/>
          <cell r="AA48"/>
          <cell r="AB48"/>
          <cell r="AC48"/>
          <cell r="AD48" t="e">
            <v>#REF!</v>
          </cell>
          <cell r="AE48"/>
          <cell r="AF48"/>
          <cell r="AG48"/>
          <cell r="AH48"/>
          <cell r="AI48">
            <v>19952</v>
          </cell>
          <cell r="AJ48"/>
          <cell r="AK48"/>
          <cell r="AL48"/>
          <cell r="AM48"/>
          <cell r="AN48"/>
          <cell r="AO48"/>
          <cell r="AP48"/>
          <cell r="AQ48"/>
          <cell r="AR48"/>
          <cell r="AS48"/>
          <cell r="AT48" t="e">
            <v>#REF!</v>
          </cell>
          <cell r="AU48"/>
          <cell r="AV48"/>
          <cell r="AW48"/>
          <cell r="AX48"/>
          <cell r="AY48">
            <v>883</v>
          </cell>
          <cell r="AZ48"/>
          <cell r="BA48"/>
          <cell r="BB48"/>
          <cell r="BC48"/>
          <cell r="BD48"/>
          <cell r="BE48" t="e">
            <v>#REF!</v>
          </cell>
          <cell r="BF48"/>
          <cell r="BG48"/>
          <cell r="BH48"/>
          <cell r="BI48"/>
          <cell r="BJ48">
            <v>14964</v>
          </cell>
          <cell r="BK48"/>
          <cell r="BL48"/>
          <cell r="BM48"/>
          <cell r="BN48"/>
          <cell r="BO48"/>
          <cell r="BP48" t="e">
            <v>#REF!</v>
          </cell>
          <cell r="BQ48"/>
          <cell r="BR48"/>
          <cell r="BS48"/>
          <cell r="BT48"/>
          <cell r="BU48">
            <v>0</v>
          </cell>
          <cell r="BV48"/>
          <cell r="BW48"/>
          <cell r="BX48"/>
          <cell r="BY48"/>
          <cell r="BZ48"/>
          <cell r="CA48" t="e">
            <v>#REF!</v>
          </cell>
          <cell r="CB48"/>
          <cell r="CC48"/>
          <cell r="CD48"/>
          <cell r="CE48"/>
          <cell r="CF48">
            <v>0</v>
          </cell>
          <cell r="CG48"/>
          <cell r="CH48"/>
          <cell r="CI48"/>
          <cell r="CJ48"/>
          <cell r="CK48"/>
          <cell r="CL48"/>
          <cell r="CM48"/>
          <cell r="CN48"/>
          <cell r="CO48"/>
          <cell r="CP48"/>
          <cell r="CQ48" t="e">
            <v>#REF!</v>
          </cell>
          <cell r="CR48"/>
          <cell r="CS48"/>
          <cell r="CT48"/>
          <cell r="CU48"/>
          <cell r="CV48" t="str">
            <v>44</v>
          </cell>
          <cell r="CW48"/>
          <cell r="CX48"/>
          <cell r="CY48">
            <v>304403</v>
          </cell>
          <cell r="CZ48">
            <v>304405</v>
          </cell>
          <cell r="DA48">
            <v>304407</v>
          </cell>
          <cell r="DB48">
            <v>304409</v>
          </cell>
          <cell r="DC48">
            <v>304411</v>
          </cell>
          <cell r="DD48">
            <v>304413</v>
          </cell>
        </row>
        <row r="49">
          <cell r="B49" t="str">
            <v>45</v>
          </cell>
          <cell r="C49"/>
          <cell r="D49" t="str">
            <v>SUBTOTAL - RENT &amp; RENT EQUIV. EXP.</v>
          </cell>
          <cell r="E49"/>
          <cell r="F49"/>
          <cell r="G49"/>
          <cell r="H49"/>
          <cell r="I49"/>
          <cell r="J49"/>
          <cell r="K49"/>
          <cell r="L49"/>
          <cell r="M49"/>
          <cell r="N49"/>
          <cell r="O49"/>
          <cell r="P49"/>
          <cell r="Q49" t="str">
            <v xml:space="preserve">(Lines 38 to 44) </v>
          </cell>
          <cell r="R49"/>
          <cell r="S49">
            <v>13849</v>
          </cell>
          <cell r="T49"/>
          <cell r="U49"/>
          <cell r="V49"/>
          <cell r="W49"/>
          <cell r="X49"/>
          <cell r="Y49"/>
          <cell r="Z49"/>
          <cell r="AA49"/>
          <cell r="AB49"/>
          <cell r="AC49"/>
          <cell r="AD49" t="e">
            <v>#REF!</v>
          </cell>
          <cell r="AE49"/>
          <cell r="AF49"/>
          <cell r="AG49"/>
          <cell r="AH49"/>
          <cell r="AI49">
            <v>180097</v>
          </cell>
          <cell r="AJ49"/>
          <cell r="AK49"/>
          <cell r="AL49"/>
          <cell r="AM49"/>
          <cell r="AN49"/>
          <cell r="AO49"/>
          <cell r="AP49"/>
          <cell r="AQ49"/>
          <cell r="AR49"/>
          <cell r="AS49"/>
          <cell r="AT49" t="e">
            <v>#REF!</v>
          </cell>
          <cell r="AU49"/>
          <cell r="AV49"/>
          <cell r="AW49"/>
          <cell r="AX49"/>
          <cell r="AY49">
            <v>10416</v>
          </cell>
          <cell r="AZ49"/>
          <cell r="BA49"/>
          <cell r="BB49"/>
          <cell r="BC49"/>
          <cell r="BD49"/>
          <cell r="BE49" t="e">
            <v>#REF!</v>
          </cell>
          <cell r="BF49"/>
          <cell r="BG49"/>
          <cell r="BH49"/>
          <cell r="BI49"/>
          <cell r="BJ49">
            <v>132528</v>
          </cell>
          <cell r="BK49"/>
          <cell r="BL49"/>
          <cell r="BM49"/>
          <cell r="BN49"/>
          <cell r="BO49"/>
          <cell r="BP49" t="e">
            <v>#REF!</v>
          </cell>
          <cell r="BQ49"/>
          <cell r="BR49"/>
          <cell r="BS49"/>
          <cell r="BT49"/>
          <cell r="BU49">
            <v>0</v>
          </cell>
          <cell r="BV49"/>
          <cell r="BW49"/>
          <cell r="BX49"/>
          <cell r="BY49"/>
          <cell r="BZ49"/>
          <cell r="CA49" t="e">
            <v>#REF!</v>
          </cell>
          <cell r="CB49"/>
          <cell r="CC49"/>
          <cell r="CD49"/>
          <cell r="CE49"/>
          <cell r="CF49">
            <v>0</v>
          </cell>
          <cell r="CG49"/>
          <cell r="CH49"/>
          <cell r="CI49"/>
          <cell r="CJ49"/>
          <cell r="CK49"/>
          <cell r="CL49"/>
          <cell r="CM49"/>
          <cell r="CN49"/>
          <cell r="CO49"/>
          <cell r="CP49"/>
          <cell r="CQ49" t="e">
            <v>#REF!</v>
          </cell>
          <cell r="CR49"/>
          <cell r="CS49"/>
          <cell r="CT49"/>
          <cell r="CU49"/>
          <cell r="CV49" t="str">
            <v>45</v>
          </cell>
          <cell r="CW49"/>
          <cell r="CX49"/>
          <cell r="CY49">
            <v>304503</v>
          </cell>
          <cell r="CZ49">
            <v>304505</v>
          </cell>
          <cell r="DA49">
            <v>304507</v>
          </cell>
          <cell r="DB49">
            <v>304509</v>
          </cell>
          <cell r="DC49">
            <v>304511</v>
          </cell>
          <cell r="DD49">
            <v>304513</v>
          </cell>
        </row>
        <row r="50">
          <cell r="B50" t="str">
            <v>46</v>
          </cell>
          <cell r="C50"/>
          <cell r="D50" t="str">
            <v>Management Fees</v>
          </cell>
          <cell r="E50"/>
          <cell r="F50"/>
          <cell r="G50"/>
          <cell r="H50"/>
          <cell r="I50"/>
          <cell r="J50"/>
          <cell r="K50"/>
          <cell r="L50"/>
          <cell r="M50"/>
          <cell r="N50"/>
          <cell r="O50"/>
          <cell r="P50"/>
          <cell r="Q50"/>
          <cell r="R50" t="str">
            <v>0600</v>
          </cell>
          <cell r="S50">
            <v>0</v>
          </cell>
          <cell r="T50"/>
          <cell r="U50"/>
          <cell r="V50"/>
          <cell r="W50"/>
          <cell r="X50"/>
          <cell r="Y50"/>
          <cell r="Z50"/>
          <cell r="AA50"/>
          <cell r="AB50"/>
          <cell r="AC50"/>
          <cell r="AD50" t="e">
            <v>#REF!</v>
          </cell>
          <cell r="AE50"/>
          <cell r="AF50"/>
          <cell r="AG50"/>
          <cell r="AH50"/>
          <cell r="AI50">
            <v>0</v>
          </cell>
          <cell r="AJ50"/>
          <cell r="AK50"/>
          <cell r="AL50"/>
          <cell r="AM50"/>
          <cell r="AN50"/>
          <cell r="AO50"/>
          <cell r="AP50"/>
          <cell r="AQ50"/>
          <cell r="AR50"/>
          <cell r="AS50"/>
          <cell r="AT50" t="e">
            <v>#REF!</v>
          </cell>
          <cell r="AU50"/>
          <cell r="AV50"/>
          <cell r="AW50"/>
          <cell r="AX50"/>
          <cell r="AY50">
            <v>0</v>
          </cell>
          <cell r="AZ50"/>
          <cell r="BA50"/>
          <cell r="BB50"/>
          <cell r="BC50"/>
          <cell r="BD50"/>
          <cell r="BE50" t="e">
            <v>#REF!</v>
          </cell>
          <cell r="BF50"/>
          <cell r="BG50"/>
          <cell r="BH50"/>
          <cell r="BI50"/>
          <cell r="BJ50">
            <v>0</v>
          </cell>
          <cell r="BK50"/>
          <cell r="BL50"/>
          <cell r="BM50"/>
          <cell r="BN50"/>
          <cell r="BO50"/>
          <cell r="BP50" t="e">
            <v>#REF!</v>
          </cell>
          <cell r="BQ50"/>
          <cell r="BR50"/>
          <cell r="BS50"/>
          <cell r="BT50"/>
          <cell r="BU50">
            <v>0</v>
          </cell>
          <cell r="BV50"/>
          <cell r="BW50"/>
          <cell r="BX50"/>
          <cell r="BY50"/>
          <cell r="BZ50"/>
          <cell r="CA50" t="e">
            <v>#REF!</v>
          </cell>
          <cell r="CB50"/>
          <cell r="CC50"/>
          <cell r="CD50"/>
          <cell r="CE50"/>
          <cell r="CF50">
            <v>0</v>
          </cell>
          <cell r="CG50"/>
          <cell r="CH50"/>
          <cell r="CI50"/>
          <cell r="CJ50"/>
          <cell r="CK50"/>
          <cell r="CL50"/>
          <cell r="CM50"/>
          <cell r="CN50"/>
          <cell r="CO50"/>
          <cell r="CP50"/>
          <cell r="CQ50" t="e">
            <v>#REF!</v>
          </cell>
          <cell r="CR50"/>
          <cell r="CS50"/>
          <cell r="CT50"/>
          <cell r="CU50"/>
          <cell r="CV50" t="str">
            <v>46</v>
          </cell>
          <cell r="CW50"/>
          <cell r="CX50"/>
          <cell r="CY50">
            <v>304603</v>
          </cell>
          <cell r="CZ50">
            <v>304605</v>
          </cell>
          <cell r="DA50">
            <v>304607</v>
          </cell>
          <cell r="DB50">
            <v>304609</v>
          </cell>
          <cell r="DC50">
            <v>304611</v>
          </cell>
          <cell r="DD50">
            <v>304613</v>
          </cell>
        </row>
        <row r="51">
          <cell r="B51" t="str">
            <v>47</v>
          </cell>
          <cell r="C51"/>
          <cell r="D51" t="str">
            <v>Equipment - Repairs &amp; Rental</v>
          </cell>
          <cell r="E51"/>
          <cell r="F51"/>
          <cell r="G51"/>
          <cell r="H51"/>
          <cell r="I51"/>
          <cell r="J51"/>
          <cell r="K51"/>
          <cell r="L51"/>
          <cell r="M51"/>
          <cell r="N51"/>
          <cell r="O51"/>
          <cell r="P51"/>
          <cell r="Q51"/>
          <cell r="R51" t="str">
            <v>0620</v>
          </cell>
          <cell r="S51">
            <v>188</v>
          </cell>
          <cell r="T51"/>
          <cell r="U51"/>
          <cell r="V51"/>
          <cell r="W51"/>
          <cell r="X51"/>
          <cell r="Y51"/>
          <cell r="Z51"/>
          <cell r="AA51"/>
          <cell r="AB51"/>
          <cell r="AC51"/>
          <cell r="AD51" t="e">
            <v>#REF!</v>
          </cell>
          <cell r="AE51"/>
          <cell r="AF51"/>
          <cell r="AG51"/>
          <cell r="AH51"/>
          <cell r="AI51">
            <v>3469</v>
          </cell>
          <cell r="AJ51"/>
          <cell r="AK51"/>
          <cell r="AL51"/>
          <cell r="AM51"/>
          <cell r="AN51"/>
          <cell r="AO51"/>
          <cell r="AP51"/>
          <cell r="AQ51"/>
          <cell r="AR51"/>
          <cell r="AS51"/>
          <cell r="AT51" t="e">
            <v>#REF!</v>
          </cell>
          <cell r="AU51"/>
          <cell r="AV51"/>
          <cell r="AW51"/>
          <cell r="AX51"/>
          <cell r="AY51">
            <v>141</v>
          </cell>
          <cell r="AZ51"/>
          <cell r="BA51"/>
          <cell r="BB51"/>
          <cell r="BC51"/>
          <cell r="BD51"/>
          <cell r="BE51" t="e">
            <v>#REF!</v>
          </cell>
          <cell r="BF51"/>
          <cell r="BG51"/>
          <cell r="BH51"/>
          <cell r="BI51"/>
          <cell r="BJ51">
            <v>2018</v>
          </cell>
          <cell r="BK51"/>
          <cell r="BL51"/>
          <cell r="BM51"/>
          <cell r="BN51"/>
          <cell r="BO51"/>
          <cell r="BP51" t="e">
            <v>#REF!</v>
          </cell>
          <cell r="BQ51"/>
          <cell r="BR51"/>
          <cell r="BS51"/>
          <cell r="BT51"/>
          <cell r="BU51">
            <v>0</v>
          </cell>
          <cell r="BV51"/>
          <cell r="BW51"/>
          <cell r="BX51"/>
          <cell r="BY51"/>
          <cell r="BZ51"/>
          <cell r="CA51" t="e">
            <v>#REF!</v>
          </cell>
          <cell r="CB51"/>
          <cell r="CC51"/>
          <cell r="CD51"/>
          <cell r="CE51"/>
          <cell r="CF51">
            <v>0</v>
          </cell>
          <cell r="CG51"/>
          <cell r="CH51"/>
          <cell r="CI51"/>
          <cell r="CJ51"/>
          <cell r="CK51"/>
          <cell r="CL51"/>
          <cell r="CM51"/>
          <cell r="CN51"/>
          <cell r="CO51"/>
          <cell r="CP51"/>
          <cell r="CQ51" t="e">
            <v>#REF!</v>
          </cell>
          <cell r="CR51"/>
          <cell r="CS51"/>
          <cell r="CT51"/>
          <cell r="CU51"/>
          <cell r="CV51" t="str">
            <v>47</v>
          </cell>
          <cell r="CW51"/>
          <cell r="CX51"/>
          <cell r="CY51">
            <v>304703</v>
          </cell>
          <cell r="CZ51">
            <v>304705</v>
          </cell>
          <cell r="DA51">
            <v>304707</v>
          </cell>
          <cell r="DB51">
            <v>304709</v>
          </cell>
          <cell r="DC51">
            <v>304711</v>
          </cell>
          <cell r="DD51">
            <v>304713</v>
          </cell>
        </row>
        <row r="52">
          <cell r="B52" t="str">
            <v>48</v>
          </cell>
          <cell r="C52"/>
          <cell r="D52" t="str">
            <v>Depreciation - Other than Buildings &amp; Improvements</v>
          </cell>
          <cell r="E52"/>
          <cell r="F52"/>
          <cell r="G52"/>
          <cell r="H52"/>
          <cell r="I52"/>
          <cell r="J52"/>
          <cell r="K52"/>
          <cell r="L52"/>
          <cell r="M52"/>
          <cell r="N52"/>
          <cell r="O52"/>
          <cell r="P52"/>
          <cell r="Q52"/>
          <cell r="R52" t="str">
            <v>0630</v>
          </cell>
          <cell r="S52">
            <v>-25867</v>
          </cell>
          <cell r="T52"/>
          <cell r="U52"/>
          <cell r="V52"/>
          <cell r="W52"/>
          <cell r="X52"/>
          <cell r="Y52"/>
          <cell r="Z52"/>
          <cell r="AA52"/>
          <cell r="AB52"/>
          <cell r="AC52"/>
          <cell r="AD52" t="e">
            <v>#REF!</v>
          </cell>
          <cell r="AE52"/>
          <cell r="AF52"/>
          <cell r="AG52"/>
          <cell r="AH52"/>
          <cell r="AI52">
            <v>41920</v>
          </cell>
          <cell r="AJ52"/>
          <cell r="AK52"/>
          <cell r="AL52"/>
          <cell r="AM52"/>
          <cell r="AN52"/>
          <cell r="AO52"/>
          <cell r="AP52"/>
          <cell r="AQ52"/>
          <cell r="AR52"/>
          <cell r="AS52"/>
          <cell r="AT52" t="e">
            <v>#REF!</v>
          </cell>
          <cell r="AU52"/>
          <cell r="AV52"/>
          <cell r="AW52"/>
          <cell r="AX52"/>
          <cell r="AY52">
            <v>-6292</v>
          </cell>
          <cell r="AZ52"/>
          <cell r="BA52"/>
          <cell r="BB52"/>
          <cell r="BC52"/>
          <cell r="BD52"/>
          <cell r="BE52" t="e">
            <v>#REF!</v>
          </cell>
          <cell r="BF52"/>
          <cell r="BG52"/>
          <cell r="BH52"/>
          <cell r="BI52"/>
          <cell r="BJ52">
            <v>11830</v>
          </cell>
          <cell r="BK52"/>
          <cell r="BL52"/>
          <cell r="BM52"/>
          <cell r="BN52"/>
          <cell r="BO52"/>
          <cell r="BP52" t="e">
            <v>#REF!</v>
          </cell>
          <cell r="BQ52"/>
          <cell r="BR52"/>
          <cell r="BS52"/>
          <cell r="BT52"/>
          <cell r="BU52">
            <v>0</v>
          </cell>
          <cell r="BV52"/>
          <cell r="BW52"/>
          <cell r="BX52"/>
          <cell r="BY52"/>
          <cell r="BZ52"/>
          <cell r="CA52" t="e">
            <v>#REF!</v>
          </cell>
          <cell r="CB52"/>
          <cell r="CC52"/>
          <cell r="CD52"/>
          <cell r="CE52"/>
          <cell r="CF52">
            <v>0</v>
          </cell>
          <cell r="CG52"/>
          <cell r="CH52"/>
          <cell r="CI52"/>
          <cell r="CJ52"/>
          <cell r="CK52"/>
          <cell r="CL52"/>
          <cell r="CM52"/>
          <cell r="CN52"/>
          <cell r="CO52"/>
          <cell r="CP52"/>
          <cell r="CQ52" t="e">
            <v>#REF!</v>
          </cell>
          <cell r="CR52"/>
          <cell r="CS52"/>
          <cell r="CT52"/>
          <cell r="CU52"/>
          <cell r="CV52" t="str">
            <v>48</v>
          </cell>
          <cell r="CW52"/>
          <cell r="CX52"/>
          <cell r="CY52">
            <v>304803</v>
          </cell>
          <cell r="CZ52">
            <v>304805</v>
          </cell>
          <cell r="DA52">
            <v>304807</v>
          </cell>
          <cell r="DB52">
            <v>304809</v>
          </cell>
          <cell r="DC52">
            <v>304811</v>
          </cell>
          <cell r="DD52">
            <v>304813</v>
          </cell>
        </row>
        <row r="53">
          <cell r="B53" t="str">
            <v>49</v>
          </cell>
          <cell r="C53"/>
          <cell r="D53" t="str">
            <v>Insurance - Other than Buildings &amp; Improvements</v>
          </cell>
          <cell r="E53"/>
          <cell r="F53"/>
          <cell r="G53"/>
          <cell r="H53"/>
          <cell r="I53"/>
          <cell r="J53"/>
          <cell r="K53"/>
          <cell r="L53"/>
          <cell r="M53"/>
          <cell r="N53"/>
          <cell r="O53"/>
          <cell r="P53"/>
          <cell r="Q53"/>
          <cell r="R53" t="str">
            <v>0640</v>
          </cell>
          <cell r="S53">
            <v>1171</v>
          </cell>
          <cell r="T53"/>
          <cell r="U53"/>
          <cell r="V53"/>
          <cell r="W53"/>
          <cell r="X53"/>
          <cell r="Y53"/>
          <cell r="Z53"/>
          <cell r="AA53"/>
          <cell r="AB53"/>
          <cell r="AC53"/>
          <cell r="AD53" t="e">
            <v>#REF!</v>
          </cell>
          <cell r="AE53"/>
          <cell r="AF53"/>
          <cell r="AG53"/>
          <cell r="AH53"/>
          <cell r="AI53">
            <v>12070</v>
          </cell>
          <cell r="AJ53"/>
          <cell r="AK53"/>
          <cell r="AL53"/>
          <cell r="AM53"/>
          <cell r="AN53"/>
          <cell r="AO53"/>
          <cell r="AP53"/>
          <cell r="AQ53"/>
          <cell r="AR53"/>
          <cell r="AS53"/>
          <cell r="AT53" t="e">
            <v>#REF!</v>
          </cell>
          <cell r="AU53"/>
          <cell r="AV53"/>
          <cell r="AW53"/>
          <cell r="AX53"/>
          <cell r="AY53">
            <v>878</v>
          </cell>
          <cell r="AZ53"/>
          <cell r="BA53"/>
          <cell r="BB53"/>
          <cell r="BC53"/>
          <cell r="BD53"/>
          <cell r="BE53" t="e">
            <v>#REF!</v>
          </cell>
          <cell r="BF53"/>
          <cell r="BG53"/>
          <cell r="BH53"/>
          <cell r="BI53"/>
          <cell r="BJ53">
            <v>9053</v>
          </cell>
          <cell r="BK53"/>
          <cell r="BL53"/>
          <cell r="BM53"/>
          <cell r="BN53"/>
          <cell r="BO53"/>
          <cell r="BP53" t="e">
            <v>#REF!</v>
          </cell>
          <cell r="BQ53"/>
          <cell r="BR53"/>
          <cell r="BS53"/>
          <cell r="BT53"/>
          <cell r="BU53">
            <v>0</v>
          </cell>
          <cell r="BV53"/>
          <cell r="BW53"/>
          <cell r="BX53"/>
          <cell r="BY53"/>
          <cell r="BZ53"/>
          <cell r="CA53" t="e">
            <v>#REF!</v>
          </cell>
          <cell r="CB53"/>
          <cell r="CC53"/>
          <cell r="CD53"/>
          <cell r="CE53"/>
          <cell r="CF53">
            <v>0</v>
          </cell>
          <cell r="CG53"/>
          <cell r="CH53"/>
          <cell r="CI53"/>
          <cell r="CJ53"/>
          <cell r="CK53"/>
          <cell r="CL53"/>
          <cell r="CM53"/>
          <cell r="CN53"/>
          <cell r="CO53"/>
          <cell r="CP53"/>
          <cell r="CQ53" t="e">
            <v>#REF!</v>
          </cell>
          <cell r="CR53"/>
          <cell r="CS53"/>
          <cell r="CT53"/>
          <cell r="CU53"/>
          <cell r="CV53" t="str">
            <v>49</v>
          </cell>
          <cell r="CW53"/>
          <cell r="CX53"/>
          <cell r="CY53">
            <v>304903</v>
          </cell>
          <cell r="CZ53">
            <v>304905</v>
          </cell>
          <cell r="DA53">
            <v>304907</v>
          </cell>
          <cell r="DB53">
            <v>304909</v>
          </cell>
          <cell r="DC53">
            <v>304911</v>
          </cell>
          <cell r="DD53">
            <v>304913</v>
          </cell>
        </row>
        <row r="54">
          <cell r="B54" t="str">
            <v>50</v>
          </cell>
          <cell r="C54"/>
          <cell r="D54" t="str">
            <v>Taxes - Other than Real Estate, Payroll &amp; Income</v>
          </cell>
          <cell r="E54"/>
          <cell r="F54"/>
          <cell r="G54"/>
          <cell r="H54"/>
          <cell r="I54"/>
          <cell r="J54"/>
          <cell r="K54"/>
          <cell r="L54"/>
          <cell r="M54"/>
          <cell r="N54"/>
          <cell r="O54"/>
          <cell r="P54"/>
          <cell r="Q54"/>
          <cell r="R54" t="str">
            <v>0650</v>
          </cell>
          <cell r="S54">
            <v>0</v>
          </cell>
          <cell r="T54"/>
          <cell r="U54"/>
          <cell r="V54"/>
          <cell r="W54"/>
          <cell r="X54"/>
          <cell r="Y54"/>
          <cell r="Z54"/>
          <cell r="AA54"/>
          <cell r="AB54"/>
          <cell r="AC54"/>
          <cell r="AD54" t="e">
            <v>#REF!</v>
          </cell>
          <cell r="AE54"/>
          <cell r="AF54"/>
          <cell r="AG54"/>
          <cell r="AH54"/>
          <cell r="AI54">
            <v>169</v>
          </cell>
          <cell r="AJ54"/>
          <cell r="AK54"/>
          <cell r="AL54"/>
          <cell r="AM54"/>
          <cell r="AN54"/>
          <cell r="AO54"/>
          <cell r="AP54"/>
          <cell r="AQ54"/>
          <cell r="AR54"/>
          <cell r="AS54"/>
          <cell r="AT54" t="e">
            <v>#REF!</v>
          </cell>
          <cell r="AU54"/>
          <cell r="AV54"/>
          <cell r="AW54"/>
          <cell r="AX54"/>
          <cell r="AY54">
            <v>0</v>
          </cell>
          <cell r="AZ54"/>
          <cell r="BA54"/>
          <cell r="BB54"/>
          <cell r="BC54"/>
          <cell r="BD54"/>
          <cell r="BE54" t="e">
            <v>#REF!</v>
          </cell>
          <cell r="BF54"/>
          <cell r="BG54"/>
          <cell r="BH54"/>
          <cell r="BI54"/>
          <cell r="BJ54">
            <v>56</v>
          </cell>
          <cell r="BK54"/>
          <cell r="BL54"/>
          <cell r="BM54"/>
          <cell r="BN54"/>
          <cell r="BO54"/>
          <cell r="BP54" t="e">
            <v>#REF!</v>
          </cell>
          <cell r="BQ54"/>
          <cell r="BR54"/>
          <cell r="BS54"/>
          <cell r="BT54"/>
          <cell r="BU54">
            <v>0</v>
          </cell>
          <cell r="BV54"/>
          <cell r="BW54"/>
          <cell r="BX54"/>
          <cell r="BY54"/>
          <cell r="BZ54"/>
          <cell r="CA54" t="e">
            <v>#REF!</v>
          </cell>
          <cell r="CB54"/>
          <cell r="CC54"/>
          <cell r="CD54"/>
          <cell r="CE54"/>
          <cell r="CF54">
            <v>0</v>
          </cell>
          <cell r="CG54"/>
          <cell r="CH54"/>
          <cell r="CI54"/>
          <cell r="CJ54"/>
          <cell r="CK54"/>
          <cell r="CL54"/>
          <cell r="CM54"/>
          <cell r="CN54"/>
          <cell r="CO54"/>
          <cell r="CP54"/>
          <cell r="CQ54" t="e">
            <v>#REF!</v>
          </cell>
          <cell r="CR54"/>
          <cell r="CS54"/>
          <cell r="CT54"/>
          <cell r="CU54"/>
          <cell r="CV54" t="str">
            <v>50</v>
          </cell>
          <cell r="CW54"/>
          <cell r="CX54"/>
          <cell r="CY54">
            <v>305003</v>
          </cell>
          <cell r="CZ54">
            <v>305005</v>
          </cell>
          <cell r="DA54">
            <v>305007</v>
          </cell>
          <cell r="DB54">
            <v>305009</v>
          </cell>
          <cell r="DC54">
            <v>305011</v>
          </cell>
          <cell r="DD54">
            <v>305013</v>
          </cell>
        </row>
        <row r="55">
          <cell r="B55" t="str">
            <v>51</v>
          </cell>
          <cell r="C55"/>
          <cell r="D55" t="str">
            <v>TOTAL FIXED EXPENSE GROUP</v>
          </cell>
          <cell r="E55"/>
          <cell r="F55"/>
          <cell r="G55"/>
          <cell r="H55"/>
          <cell r="I55"/>
          <cell r="J55"/>
          <cell r="K55"/>
          <cell r="L55"/>
          <cell r="M55"/>
          <cell r="N55"/>
          <cell r="O55"/>
          <cell r="P55"/>
          <cell r="Q55" t="str">
            <v>(Lines 45 to 50)</v>
          </cell>
          <cell r="R55"/>
          <cell r="S55">
            <v>-10659</v>
          </cell>
          <cell r="T55"/>
          <cell r="U55"/>
          <cell r="V55"/>
          <cell r="W55"/>
          <cell r="X55"/>
          <cell r="Y55"/>
          <cell r="Z55"/>
          <cell r="AA55"/>
          <cell r="AB55"/>
          <cell r="AC55"/>
          <cell r="AD55" t="e">
            <v>#REF!</v>
          </cell>
          <cell r="AE55"/>
          <cell r="AF55"/>
          <cell r="AG55"/>
          <cell r="AH55"/>
          <cell r="AI55">
            <v>237725</v>
          </cell>
          <cell r="AJ55"/>
          <cell r="AK55"/>
          <cell r="AL55"/>
          <cell r="AM55"/>
          <cell r="AN55"/>
          <cell r="AO55"/>
          <cell r="AP55"/>
          <cell r="AQ55"/>
          <cell r="AR55"/>
          <cell r="AS55"/>
          <cell r="AT55" t="e">
            <v>#REF!</v>
          </cell>
          <cell r="AU55"/>
          <cell r="AV55"/>
          <cell r="AW55"/>
          <cell r="AX55"/>
          <cell r="AY55">
            <v>5143</v>
          </cell>
          <cell r="AZ55"/>
          <cell r="BA55"/>
          <cell r="BB55"/>
          <cell r="BC55"/>
          <cell r="BD55"/>
          <cell r="BE55" t="e">
            <v>#REF!</v>
          </cell>
          <cell r="BF55"/>
          <cell r="BG55"/>
          <cell r="BH55"/>
          <cell r="BI55"/>
          <cell r="BJ55">
            <v>155485</v>
          </cell>
          <cell r="BK55"/>
          <cell r="BL55"/>
          <cell r="BM55"/>
          <cell r="BN55"/>
          <cell r="BO55"/>
          <cell r="BP55" t="e">
            <v>#REF!</v>
          </cell>
          <cell r="BQ55"/>
          <cell r="BR55"/>
          <cell r="BS55"/>
          <cell r="BT55"/>
          <cell r="BU55">
            <v>0</v>
          </cell>
          <cell r="BV55"/>
          <cell r="BW55"/>
          <cell r="BX55"/>
          <cell r="BY55"/>
          <cell r="BZ55"/>
          <cell r="CA55" t="e">
            <v>#REF!</v>
          </cell>
          <cell r="CB55"/>
          <cell r="CC55"/>
          <cell r="CD55"/>
          <cell r="CE55"/>
          <cell r="CF55">
            <v>0</v>
          </cell>
          <cell r="CG55"/>
          <cell r="CH55"/>
          <cell r="CI55"/>
          <cell r="CJ55"/>
          <cell r="CK55"/>
          <cell r="CL55"/>
          <cell r="CM55"/>
          <cell r="CN55"/>
          <cell r="CO55"/>
          <cell r="CP55"/>
          <cell r="CQ55" t="e">
            <v>#REF!</v>
          </cell>
          <cell r="CR55"/>
          <cell r="CS55"/>
          <cell r="CT55"/>
          <cell r="CU55"/>
          <cell r="CV55" t="str">
            <v>51</v>
          </cell>
          <cell r="CW55"/>
          <cell r="CX55"/>
          <cell r="CY55">
            <v>305103</v>
          </cell>
          <cell r="CZ55">
            <v>305105</v>
          </cell>
          <cell r="DA55">
            <v>305107</v>
          </cell>
          <cell r="DB55">
            <v>305109</v>
          </cell>
          <cell r="DC55">
            <v>305111</v>
          </cell>
          <cell r="DD55">
            <v>305113</v>
          </cell>
        </row>
        <row r="56">
          <cell r="B56" t="str">
            <v>52</v>
          </cell>
          <cell r="C56"/>
          <cell r="D56" t="str">
            <v>TOTAL FIXED OVERHEAD EXP.</v>
          </cell>
          <cell r="E56"/>
          <cell r="F56"/>
          <cell r="G56"/>
          <cell r="H56"/>
          <cell r="I56"/>
          <cell r="J56"/>
          <cell r="K56"/>
          <cell r="L56"/>
          <cell r="M56"/>
          <cell r="N56"/>
          <cell r="O56"/>
          <cell r="P56"/>
          <cell r="Q56" t="str">
            <v>(Lines 22, 37 &amp; 51)</v>
          </cell>
          <cell r="R56"/>
          <cell r="S56">
            <v>73777</v>
          </cell>
          <cell r="T56"/>
          <cell r="U56"/>
          <cell r="V56"/>
          <cell r="W56"/>
          <cell r="X56"/>
          <cell r="Y56"/>
          <cell r="Z56"/>
          <cell r="AA56"/>
          <cell r="AB56"/>
          <cell r="AC56"/>
          <cell r="AD56" t="e">
            <v>#REF!</v>
          </cell>
          <cell r="AE56"/>
          <cell r="AF56"/>
          <cell r="AG56"/>
          <cell r="AH56"/>
          <cell r="AI56">
            <v>1061268</v>
          </cell>
          <cell r="AJ56"/>
          <cell r="AK56"/>
          <cell r="AL56"/>
          <cell r="AM56"/>
          <cell r="AN56"/>
          <cell r="AO56"/>
          <cell r="AP56"/>
          <cell r="AQ56"/>
          <cell r="AR56"/>
          <cell r="AS56"/>
          <cell r="AT56" t="e">
            <v>#REF!</v>
          </cell>
          <cell r="AU56"/>
          <cell r="AV56"/>
          <cell r="AW56"/>
          <cell r="AX56"/>
          <cell r="AY56">
            <v>44056</v>
          </cell>
          <cell r="AZ56"/>
          <cell r="BA56"/>
          <cell r="BB56"/>
          <cell r="BC56"/>
          <cell r="BD56"/>
          <cell r="BE56" t="e">
            <v>#REF!</v>
          </cell>
          <cell r="BF56"/>
          <cell r="BG56"/>
          <cell r="BH56"/>
          <cell r="BI56"/>
          <cell r="BJ56">
            <v>620164</v>
          </cell>
          <cell r="BK56"/>
          <cell r="BL56"/>
          <cell r="BM56"/>
          <cell r="BN56"/>
          <cell r="BO56"/>
          <cell r="BP56" t="e">
            <v>#REF!</v>
          </cell>
          <cell r="BQ56"/>
          <cell r="BR56"/>
          <cell r="BS56"/>
          <cell r="BT56"/>
          <cell r="BU56">
            <v>0</v>
          </cell>
          <cell r="BV56"/>
          <cell r="BW56"/>
          <cell r="BX56"/>
          <cell r="BY56"/>
          <cell r="BZ56"/>
          <cell r="CA56" t="e">
            <v>#REF!</v>
          </cell>
          <cell r="CB56"/>
          <cell r="CC56"/>
          <cell r="CD56"/>
          <cell r="CE56"/>
          <cell r="CF56">
            <v>0</v>
          </cell>
          <cell r="CG56"/>
          <cell r="CH56"/>
          <cell r="CI56"/>
          <cell r="CJ56"/>
          <cell r="CK56"/>
          <cell r="CL56"/>
          <cell r="CM56"/>
          <cell r="CN56"/>
          <cell r="CO56"/>
          <cell r="CP56"/>
          <cell r="CQ56" t="e">
            <v>#REF!</v>
          </cell>
          <cell r="CR56"/>
          <cell r="CS56"/>
          <cell r="CT56"/>
          <cell r="CU56"/>
          <cell r="CV56" t="str">
            <v>52</v>
          </cell>
          <cell r="CW56"/>
          <cell r="CX56"/>
          <cell r="CY56">
            <v>305203</v>
          </cell>
          <cell r="CZ56">
            <v>305205</v>
          </cell>
          <cell r="DA56">
            <v>305207</v>
          </cell>
          <cell r="DB56">
            <v>305209</v>
          </cell>
          <cell r="DC56">
            <v>305211</v>
          </cell>
          <cell r="DD56">
            <v>305213</v>
          </cell>
        </row>
        <row r="57">
          <cell r="B57" t="str">
            <v>53</v>
          </cell>
          <cell r="C57"/>
          <cell r="D57" t="str">
            <v>TOTAL EXPENSES</v>
          </cell>
          <cell r="E57"/>
          <cell r="F57"/>
          <cell r="G57"/>
          <cell r="H57"/>
          <cell r="I57"/>
          <cell r="J57"/>
          <cell r="K57"/>
          <cell r="L57"/>
          <cell r="M57"/>
          <cell r="N57"/>
          <cell r="O57"/>
          <cell r="P57"/>
          <cell r="Q57" t="str">
            <v>(Lines 14 &amp; 52)</v>
          </cell>
          <cell r="R57" t="str">
            <v>DDDC</v>
          </cell>
          <cell r="S57">
            <v>104372</v>
          </cell>
          <cell r="T57"/>
          <cell r="U57"/>
          <cell r="V57"/>
          <cell r="W57"/>
          <cell r="X57"/>
          <cell r="Y57"/>
          <cell r="Z57"/>
          <cell r="AA57"/>
          <cell r="AB57"/>
          <cell r="AC57"/>
          <cell r="AD57" t="e">
            <v>#REF!</v>
          </cell>
          <cell r="AE57"/>
          <cell r="AF57"/>
          <cell r="AG57"/>
          <cell r="AH57"/>
          <cell r="AI57">
            <v>1429617</v>
          </cell>
          <cell r="AJ57"/>
          <cell r="AK57"/>
          <cell r="AL57"/>
          <cell r="AM57"/>
          <cell r="AN57"/>
          <cell r="AO57"/>
          <cell r="AP57"/>
          <cell r="AQ57"/>
          <cell r="AR57"/>
          <cell r="AS57"/>
          <cell r="AT57" t="e">
            <v>#REF!</v>
          </cell>
          <cell r="AU57"/>
          <cell r="AV57"/>
          <cell r="AW57"/>
          <cell r="AX57"/>
          <cell r="AY57">
            <v>57727</v>
          </cell>
          <cell r="AZ57"/>
          <cell r="BA57"/>
          <cell r="BB57"/>
          <cell r="BC57"/>
          <cell r="BD57"/>
          <cell r="BE57" t="e">
            <v>#REF!</v>
          </cell>
          <cell r="BF57"/>
          <cell r="BG57"/>
          <cell r="BH57"/>
          <cell r="BI57"/>
          <cell r="BJ57">
            <v>772345</v>
          </cell>
          <cell r="BK57"/>
          <cell r="BL57"/>
          <cell r="BM57"/>
          <cell r="BN57"/>
          <cell r="BO57"/>
          <cell r="BP57" t="e">
            <v>#REF!</v>
          </cell>
          <cell r="BQ57"/>
          <cell r="BR57"/>
          <cell r="BS57"/>
          <cell r="BT57"/>
          <cell r="BU57">
            <v>0</v>
          </cell>
          <cell r="BV57"/>
          <cell r="BW57"/>
          <cell r="BX57"/>
          <cell r="BY57"/>
          <cell r="BZ57"/>
          <cell r="CA57" t="e">
            <v>#REF!</v>
          </cell>
          <cell r="CB57"/>
          <cell r="CC57"/>
          <cell r="CD57"/>
          <cell r="CE57"/>
          <cell r="CF57">
            <v>0</v>
          </cell>
          <cell r="CG57"/>
          <cell r="CH57"/>
          <cell r="CI57"/>
          <cell r="CJ57"/>
          <cell r="CK57"/>
          <cell r="CL57"/>
          <cell r="CM57"/>
          <cell r="CN57"/>
          <cell r="CO57"/>
          <cell r="CP57"/>
          <cell r="CQ57" t="e">
            <v>#REF!</v>
          </cell>
          <cell r="CR57"/>
          <cell r="CS57"/>
          <cell r="CT57"/>
          <cell r="CU57"/>
          <cell r="CV57" t="str">
            <v>53</v>
          </cell>
          <cell r="CW57"/>
          <cell r="CX57"/>
          <cell r="CY57">
            <v>305303</v>
          </cell>
          <cell r="CZ57">
            <v>305305</v>
          </cell>
          <cell r="DA57">
            <v>305307</v>
          </cell>
          <cell r="DB57">
            <v>305309</v>
          </cell>
          <cell r="DC57">
            <v>305311</v>
          </cell>
          <cell r="DD57">
            <v>305313</v>
          </cell>
        </row>
        <row r="58">
          <cell r="B58" t="str">
            <v>54</v>
          </cell>
          <cell r="C58"/>
          <cell r="D58" t="str">
            <v>Dept. Operating Net Profit Or (LOSS)</v>
          </cell>
          <cell r="E58"/>
          <cell r="F58"/>
          <cell r="G58"/>
          <cell r="H58"/>
          <cell r="I58"/>
          <cell r="J58"/>
          <cell r="K58"/>
          <cell r="L58"/>
          <cell r="M58"/>
          <cell r="N58"/>
          <cell r="O58"/>
          <cell r="P58"/>
          <cell r="Q58" t="str">
            <v>(Line 2 less 53)</v>
          </cell>
          <cell r="R58"/>
          <cell r="S58">
            <v>46600</v>
          </cell>
          <cell r="T58"/>
          <cell r="U58"/>
          <cell r="V58"/>
          <cell r="W58"/>
          <cell r="X58"/>
          <cell r="Y58"/>
          <cell r="Z58"/>
          <cell r="AA58"/>
          <cell r="AB58"/>
          <cell r="AC58"/>
          <cell r="AD58" t="e">
            <v>#REF!</v>
          </cell>
          <cell r="AE58"/>
          <cell r="AF58"/>
          <cell r="AG58"/>
          <cell r="AH58"/>
          <cell r="AI58">
            <v>387521</v>
          </cell>
          <cell r="AJ58"/>
          <cell r="AK58"/>
          <cell r="AL58"/>
          <cell r="AM58"/>
          <cell r="AN58"/>
          <cell r="AO58"/>
          <cell r="AP58"/>
          <cell r="AQ58"/>
          <cell r="AR58"/>
          <cell r="AS58"/>
          <cell r="AT58" t="e">
            <v>#REF!</v>
          </cell>
          <cell r="AU58"/>
          <cell r="AV58"/>
          <cell r="AW58"/>
          <cell r="AX58"/>
          <cell r="AY58">
            <v>29886</v>
          </cell>
          <cell r="AZ58"/>
          <cell r="BA58"/>
          <cell r="BB58"/>
          <cell r="BC58"/>
          <cell r="BD58"/>
          <cell r="BE58" t="e">
            <v>#REF!</v>
          </cell>
          <cell r="BF58"/>
          <cell r="BG58"/>
          <cell r="BH58"/>
          <cell r="BI58"/>
          <cell r="BJ58">
            <v>151732</v>
          </cell>
          <cell r="BK58"/>
          <cell r="BL58"/>
          <cell r="BM58"/>
          <cell r="BN58"/>
          <cell r="BO58"/>
          <cell r="BP58" t="e">
            <v>#REF!</v>
          </cell>
          <cell r="BQ58"/>
          <cell r="BR58"/>
          <cell r="BS58"/>
          <cell r="BT58"/>
          <cell r="BU58">
            <v>0</v>
          </cell>
          <cell r="BV58"/>
          <cell r="BW58"/>
          <cell r="BX58"/>
          <cell r="BY58"/>
          <cell r="BZ58"/>
          <cell r="CA58" t="e">
            <v>#REF!</v>
          </cell>
          <cell r="CB58"/>
          <cell r="CC58"/>
          <cell r="CD58"/>
          <cell r="CE58"/>
          <cell r="CF58">
            <v>0</v>
          </cell>
          <cell r="CG58"/>
          <cell r="CH58"/>
          <cell r="CI58"/>
          <cell r="CJ58"/>
          <cell r="CK58"/>
          <cell r="CL58"/>
          <cell r="CM58"/>
          <cell r="CN58"/>
          <cell r="CO58"/>
          <cell r="CP58"/>
          <cell r="CQ58" t="e">
            <v>#REF!</v>
          </cell>
          <cell r="CR58"/>
          <cell r="CS58"/>
          <cell r="CT58"/>
          <cell r="CU58"/>
          <cell r="CV58" t="str">
            <v>54</v>
          </cell>
          <cell r="CW58"/>
          <cell r="CX58"/>
          <cell r="CY58">
            <v>305403</v>
          </cell>
          <cell r="CZ58">
            <v>305405</v>
          </cell>
          <cell r="DA58">
            <v>305407</v>
          </cell>
          <cell r="DB58">
            <v>305409</v>
          </cell>
          <cell r="DC58">
            <v>305411</v>
          </cell>
          <cell r="DD58">
            <v>305413</v>
          </cell>
        </row>
        <row r="59">
          <cell r="B59" t="str">
            <v>55</v>
          </cell>
          <cell r="C59"/>
          <cell r="D59" t="str">
            <v>Net Additions &amp; Deductions to Income</v>
          </cell>
          <cell r="E59"/>
          <cell r="F59"/>
          <cell r="G59"/>
          <cell r="H59"/>
          <cell r="I59"/>
          <cell r="J59"/>
          <cell r="K59"/>
          <cell r="L59"/>
          <cell r="M59"/>
          <cell r="N59"/>
          <cell r="O59"/>
          <cell r="P59"/>
          <cell r="Q59" t="str">
            <v>(Pg 3 line 71)</v>
          </cell>
          <cell r="R59" t="str">
            <v>TT31</v>
          </cell>
          <cell r="S59"/>
          <cell r="T59"/>
          <cell r="U59"/>
          <cell r="V59"/>
          <cell r="W59"/>
          <cell r="X59"/>
          <cell r="Y59"/>
          <cell r="Z59"/>
          <cell r="AA59"/>
          <cell r="AB59"/>
          <cell r="AC59"/>
          <cell r="AD59"/>
          <cell r="AE59"/>
          <cell r="AF59"/>
          <cell r="AG59"/>
          <cell r="AH59"/>
          <cell r="AI59"/>
          <cell r="AJ59"/>
          <cell r="AK59"/>
          <cell r="AL59"/>
          <cell r="AM59"/>
          <cell r="AN59"/>
          <cell r="AO59"/>
          <cell r="AP59"/>
          <cell r="AQ59"/>
          <cell r="AR59"/>
          <cell r="AS59"/>
          <cell r="AT59"/>
          <cell r="AU59"/>
          <cell r="AV59"/>
          <cell r="AW59"/>
          <cell r="AX59"/>
          <cell r="AY59"/>
          <cell r="AZ59"/>
          <cell r="BA59"/>
          <cell r="BB59"/>
          <cell r="BC59"/>
          <cell r="BD59"/>
          <cell r="BE59"/>
          <cell r="BF59"/>
          <cell r="BG59"/>
          <cell r="BH59"/>
          <cell r="BI59"/>
          <cell r="BJ59"/>
          <cell r="BK59"/>
          <cell r="BL59"/>
          <cell r="BM59"/>
          <cell r="BN59"/>
          <cell r="BO59"/>
          <cell r="BP59" t="e">
            <v>#REF!</v>
          </cell>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t="e">
            <v>#REF!</v>
          </cell>
          <cell r="CR59"/>
          <cell r="CS59"/>
          <cell r="CT59"/>
          <cell r="CU59"/>
          <cell r="CV59" t="str">
            <v>55</v>
          </cell>
          <cell r="CW59"/>
          <cell r="CX59"/>
          <cell r="CY59">
            <v>305503</v>
          </cell>
          <cell r="CZ59">
            <v>305505</v>
          </cell>
          <cell r="DA59">
            <v>305507</v>
          </cell>
          <cell r="DB59">
            <v>305509</v>
          </cell>
          <cell r="DC59">
            <v>305511</v>
          </cell>
          <cell r="DD59">
            <v>305513</v>
          </cell>
        </row>
        <row r="60">
          <cell r="B60" t="str">
            <v>56</v>
          </cell>
          <cell r="C60"/>
          <cell r="D60" t="str">
            <v>Documentary Fees</v>
          </cell>
          <cell r="E60"/>
          <cell r="F60"/>
          <cell r="G60"/>
          <cell r="H60"/>
          <cell r="I60"/>
          <cell r="J60"/>
          <cell r="K60"/>
          <cell r="L60"/>
          <cell r="M60"/>
          <cell r="N60"/>
          <cell r="O60"/>
          <cell r="P60"/>
          <cell r="Q60"/>
          <cell r="R60" t="str">
            <v>8030</v>
          </cell>
          <cell r="S60"/>
          <cell r="T60"/>
          <cell r="U60"/>
          <cell r="V60"/>
          <cell r="W60"/>
          <cell r="X60"/>
          <cell r="Y60"/>
          <cell r="Z60"/>
          <cell r="AA60"/>
          <cell r="AB60"/>
          <cell r="AC60"/>
          <cell r="AD60"/>
          <cell r="AE60"/>
          <cell r="AF60"/>
          <cell r="AG60"/>
          <cell r="AH60"/>
          <cell r="AI60"/>
          <cell r="AJ60"/>
          <cell r="AK60"/>
          <cell r="AL60"/>
          <cell r="AM60"/>
          <cell r="AN60"/>
          <cell r="AO60"/>
          <cell r="AP60"/>
          <cell r="AQ60"/>
          <cell r="AR60"/>
          <cell r="AS60"/>
          <cell r="AT60"/>
          <cell r="AU60"/>
          <cell r="AV60"/>
          <cell r="AW60"/>
          <cell r="AX60"/>
          <cell r="AY60"/>
          <cell r="AZ60"/>
          <cell r="BA60"/>
          <cell r="BB60"/>
          <cell r="BC60"/>
          <cell r="BD60"/>
          <cell r="BE60"/>
          <cell r="BF60"/>
          <cell r="BG60"/>
          <cell r="BH60"/>
          <cell r="BI60"/>
          <cell r="BJ60"/>
          <cell r="BK60"/>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t="e">
            <v>#REF!</v>
          </cell>
          <cell r="CR60"/>
          <cell r="CS60"/>
          <cell r="CT60"/>
          <cell r="CU60"/>
          <cell r="CV60" t="str">
            <v>56</v>
          </cell>
          <cell r="CW60"/>
          <cell r="CX60"/>
          <cell r="CY60">
            <v>305603</v>
          </cell>
          <cell r="CZ60">
            <v>305605</v>
          </cell>
          <cell r="DA60">
            <v>305607</v>
          </cell>
          <cell r="DB60">
            <v>305609</v>
          </cell>
          <cell r="DC60">
            <v>305611</v>
          </cell>
          <cell r="DD60">
            <v>305613</v>
          </cell>
        </row>
        <row r="61">
          <cell r="B61" t="str">
            <v>57</v>
          </cell>
          <cell r="C61"/>
          <cell r="D61" t="str">
            <v>Quality Growth Program and Nissan 10 Bonus</v>
          </cell>
          <cell r="E61"/>
          <cell r="F61"/>
          <cell r="G61"/>
          <cell r="H61"/>
          <cell r="I61"/>
          <cell r="J61"/>
          <cell r="K61"/>
          <cell r="L61"/>
          <cell r="M61"/>
          <cell r="N61"/>
          <cell r="O61"/>
          <cell r="P61"/>
          <cell r="Q61"/>
          <cell r="R61" t="str">
            <v>8075</v>
          </cell>
          <cell r="S61">
            <v>23000</v>
          </cell>
          <cell r="T61"/>
          <cell r="U61"/>
          <cell r="V61"/>
          <cell r="W61"/>
          <cell r="X61"/>
          <cell r="Y61"/>
          <cell r="Z61"/>
          <cell r="AA61"/>
          <cell r="AB61"/>
          <cell r="AC61"/>
          <cell r="AD61" t="e">
            <v>#REF!</v>
          </cell>
          <cell r="AE61"/>
          <cell r="AF61"/>
          <cell r="AG61"/>
          <cell r="AH61"/>
          <cell r="AI61">
            <v>129436</v>
          </cell>
          <cell r="AJ61"/>
          <cell r="AK61"/>
          <cell r="AL61"/>
          <cell r="AM61"/>
          <cell r="AN61"/>
          <cell r="AO61"/>
          <cell r="AP61"/>
          <cell r="AQ61"/>
          <cell r="AR61"/>
          <cell r="AS61"/>
          <cell r="AT61" t="e">
            <v>#REF!</v>
          </cell>
          <cell r="AU61"/>
          <cell r="AV61"/>
          <cell r="AW61"/>
          <cell r="AX61"/>
          <cell r="AY61">
            <v>0</v>
          </cell>
          <cell r="AZ61"/>
          <cell r="BA61"/>
          <cell r="BB61"/>
          <cell r="BC61"/>
          <cell r="BD61"/>
          <cell r="BE61" t="e">
            <v>#REF!</v>
          </cell>
          <cell r="BF61"/>
          <cell r="BG61"/>
          <cell r="BH61"/>
          <cell r="BI61"/>
          <cell r="BJ61">
            <v>0</v>
          </cell>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t="e">
            <v>#REF!</v>
          </cell>
          <cell r="CR61"/>
          <cell r="CS61"/>
          <cell r="CT61"/>
          <cell r="CU61"/>
          <cell r="CV61" t="str">
            <v>57</v>
          </cell>
          <cell r="CW61"/>
          <cell r="CX61"/>
          <cell r="CY61">
            <v>305703</v>
          </cell>
          <cell r="CZ61">
            <v>305705</v>
          </cell>
          <cell r="DA61">
            <v>305707</v>
          </cell>
          <cell r="DB61">
            <v>305709</v>
          </cell>
          <cell r="DC61">
            <v>305711</v>
          </cell>
          <cell r="DD61">
            <v>305713</v>
          </cell>
        </row>
        <row r="62">
          <cell r="B62" t="str">
            <v>58</v>
          </cell>
          <cell r="C62"/>
          <cell r="D62" t="str">
            <v>Sales Growth Program (SGP)</v>
          </cell>
          <cell r="E62"/>
          <cell r="F62"/>
          <cell r="G62"/>
          <cell r="H62"/>
          <cell r="I62"/>
          <cell r="J62"/>
          <cell r="K62"/>
          <cell r="L62"/>
          <cell r="M62"/>
          <cell r="N62"/>
          <cell r="O62"/>
          <cell r="P62"/>
          <cell r="Q62"/>
          <cell r="R62" t="str">
            <v>8077</v>
          </cell>
          <cell r="S62"/>
          <cell r="T62"/>
          <cell r="U62"/>
          <cell r="V62"/>
          <cell r="W62"/>
          <cell r="X62"/>
          <cell r="Y62"/>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AZ62"/>
          <cell r="BA62"/>
          <cell r="BB62"/>
          <cell r="BC62"/>
          <cell r="BD62"/>
          <cell r="BE62"/>
          <cell r="BF62"/>
          <cell r="BG62"/>
          <cell r="BH62"/>
          <cell r="BI62"/>
          <cell r="BJ62"/>
          <cell r="BK62"/>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t="e">
            <v>#REF!</v>
          </cell>
          <cell r="CR62"/>
          <cell r="CS62"/>
          <cell r="CT62"/>
          <cell r="CU62"/>
          <cell r="CV62" t="str">
            <v>58</v>
          </cell>
          <cell r="CW62"/>
          <cell r="CX62"/>
          <cell r="CY62">
            <v>305803</v>
          </cell>
          <cell r="CZ62">
            <v>305805</v>
          </cell>
          <cell r="DA62">
            <v>305807</v>
          </cell>
          <cell r="DB62">
            <v>305809</v>
          </cell>
          <cell r="DC62">
            <v>305811</v>
          </cell>
          <cell r="DD62">
            <v>305813</v>
          </cell>
        </row>
        <row r="63">
          <cell r="B63" t="str">
            <v>59</v>
          </cell>
          <cell r="C63"/>
          <cell r="D63" t="str">
            <v>Placeholder</v>
          </cell>
          <cell r="E63"/>
          <cell r="F63"/>
          <cell r="G63"/>
          <cell r="H63"/>
          <cell r="I63"/>
          <cell r="J63"/>
          <cell r="K63"/>
          <cell r="L63"/>
          <cell r="M63"/>
          <cell r="N63"/>
          <cell r="O63"/>
          <cell r="P63"/>
          <cell r="Q63"/>
          <cell r="R63" t="str">
            <v>8078</v>
          </cell>
          <cell r="S63"/>
          <cell r="T63"/>
          <cell r="U63"/>
          <cell r="V63"/>
          <cell r="W63"/>
          <cell r="X63"/>
          <cell r="Y63"/>
          <cell r="Z63"/>
          <cell r="AA63"/>
          <cell r="AB63"/>
          <cell r="AC63"/>
          <cell r="AD63"/>
          <cell r="AE63"/>
          <cell r="AF63"/>
          <cell r="AG63"/>
          <cell r="AH63"/>
          <cell r="AI63"/>
          <cell r="AJ63"/>
          <cell r="AK63"/>
          <cell r="AL63"/>
          <cell r="AM63"/>
          <cell r="AN63"/>
          <cell r="AO63"/>
          <cell r="AP63"/>
          <cell r="AQ63"/>
          <cell r="AR63"/>
          <cell r="AS63"/>
          <cell r="AT63"/>
          <cell r="AU63"/>
          <cell r="AV63"/>
          <cell r="AW63"/>
          <cell r="AX63"/>
          <cell r="AY63"/>
          <cell r="AZ63"/>
          <cell r="BA63"/>
          <cell r="BB63"/>
          <cell r="BC63"/>
          <cell r="BD63"/>
          <cell r="BE63"/>
          <cell r="BF63"/>
          <cell r="BG63"/>
          <cell r="BH63"/>
          <cell r="BI63"/>
          <cell r="BJ63"/>
          <cell r="BK63"/>
          <cell r="BL63"/>
          <cell r="BM63"/>
          <cell r="BN63"/>
          <cell r="BO63"/>
          <cell r="BP63"/>
          <cell r="BQ63"/>
          <cell r="BR63"/>
          <cell r="BS63"/>
          <cell r="BT63"/>
          <cell r="BU63"/>
          <cell r="BV63"/>
          <cell r="BW63"/>
          <cell r="BX63"/>
          <cell r="BY63"/>
          <cell r="BZ63"/>
          <cell r="CA63"/>
          <cell r="CB63"/>
          <cell r="CC63"/>
          <cell r="CD63"/>
          <cell r="CE63"/>
          <cell r="CF63"/>
          <cell r="CG63"/>
          <cell r="CH63"/>
          <cell r="CI63"/>
          <cell r="CJ63"/>
          <cell r="CK63"/>
          <cell r="CL63"/>
          <cell r="CM63"/>
          <cell r="CN63"/>
          <cell r="CO63"/>
          <cell r="CP63"/>
          <cell r="CQ63" t="e">
            <v>#REF!</v>
          </cell>
          <cell r="CR63"/>
          <cell r="CS63"/>
          <cell r="CT63"/>
          <cell r="CU63"/>
          <cell r="CV63" t="str">
            <v>59</v>
          </cell>
          <cell r="CW63"/>
          <cell r="CX63"/>
          <cell r="CY63">
            <v>305903</v>
          </cell>
          <cell r="CZ63">
            <v>305905</v>
          </cell>
          <cell r="DA63">
            <v>305907</v>
          </cell>
          <cell r="DB63">
            <v>305909</v>
          </cell>
          <cell r="DC63">
            <v>305911</v>
          </cell>
          <cell r="DD63">
            <v>305913</v>
          </cell>
        </row>
        <row r="64">
          <cell r="B64" t="str">
            <v>60</v>
          </cell>
          <cell r="C64"/>
          <cell r="D64" t="str">
            <v>Miscellaneous Factory Programs</v>
          </cell>
          <cell r="E64"/>
          <cell r="F64"/>
          <cell r="G64"/>
          <cell r="H64"/>
          <cell r="I64"/>
          <cell r="J64"/>
          <cell r="K64"/>
          <cell r="L64"/>
          <cell r="M64"/>
          <cell r="N64"/>
          <cell r="O64"/>
          <cell r="P64"/>
          <cell r="Q64"/>
          <cell r="R64" t="str">
            <v>8070</v>
          </cell>
          <cell r="S64">
            <v>0</v>
          </cell>
          <cell r="T64"/>
          <cell r="U64"/>
          <cell r="V64"/>
          <cell r="W64"/>
          <cell r="X64"/>
          <cell r="Y64"/>
          <cell r="Z64"/>
          <cell r="AA64"/>
          <cell r="AB64"/>
          <cell r="AC64"/>
          <cell r="AD64" t="e">
            <v>#REF!</v>
          </cell>
          <cell r="AE64"/>
          <cell r="AF64"/>
          <cell r="AG64"/>
          <cell r="AH64"/>
          <cell r="AI64">
            <v>0</v>
          </cell>
          <cell r="AJ64"/>
          <cell r="AK64"/>
          <cell r="AL64"/>
          <cell r="AM64"/>
          <cell r="AN64"/>
          <cell r="AO64"/>
          <cell r="AP64"/>
          <cell r="AQ64"/>
          <cell r="AR64"/>
          <cell r="AS64"/>
          <cell r="AT64" t="e">
            <v>#REF!</v>
          </cell>
          <cell r="AU64"/>
          <cell r="AV64"/>
          <cell r="AW64"/>
          <cell r="AX64"/>
          <cell r="AY64">
            <v>0</v>
          </cell>
          <cell r="AZ64"/>
          <cell r="BA64"/>
          <cell r="BB64"/>
          <cell r="BC64"/>
          <cell r="BD64"/>
          <cell r="BE64" t="e">
            <v>#REF!</v>
          </cell>
          <cell r="BF64"/>
          <cell r="BG64"/>
          <cell r="BH64"/>
          <cell r="BI64"/>
          <cell r="BJ64">
            <v>0</v>
          </cell>
          <cell r="BK64"/>
          <cell r="BL64"/>
          <cell r="BM64"/>
          <cell r="BN64"/>
          <cell r="BO64"/>
          <cell r="BP64" t="e">
            <v>#REF!</v>
          </cell>
          <cell r="BQ64"/>
          <cell r="BR64"/>
          <cell r="BS64"/>
          <cell r="BT64"/>
          <cell r="BU64">
            <v>0</v>
          </cell>
          <cell r="BV64"/>
          <cell r="BW64"/>
          <cell r="BX64"/>
          <cell r="BY64"/>
          <cell r="BZ64"/>
          <cell r="CA64" t="e">
            <v>#REF!</v>
          </cell>
          <cell r="CB64"/>
          <cell r="CC64"/>
          <cell r="CD64"/>
          <cell r="CE64"/>
          <cell r="CF64">
            <v>0</v>
          </cell>
          <cell r="CG64"/>
          <cell r="CH64"/>
          <cell r="CI64"/>
          <cell r="CJ64"/>
          <cell r="CK64"/>
          <cell r="CL64"/>
          <cell r="CM64"/>
          <cell r="CN64"/>
          <cell r="CO64"/>
          <cell r="CP64"/>
          <cell r="CQ64" t="e">
            <v>#REF!</v>
          </cell>
          <cell r="CR64"/>
          <cell r="CS64"/>
          <cell r="CT64"/>
          <cell r="CU64"/>
          <cell r="CV64" t="str">
            <v>60</v>
          </cell>
          <cell r="CW64"/>
          <cell r="CX64"/>
          <cell r="CY64">
            <v>306003</v>
          </cell>
          <cell r="CZ64">
            <v>306005</v>
          </cell>
          <cell r="DA64">
            <v>306007</v>
          </cell>
          <cell r="DB64">
            <v>306009</v>
          </cell>
          <cell r="DC64">
            <v>306011</v>
          </cell>
          <cell r="DD64">
            <v>306013</v>
          </cell>
        </row>
        <row r="65">
          <cell r="B65" t="str">
            <v>61</v>
          </cell>
          <cell r="C65"/>
          <cell r="D65" t="str">
            <v>NET PROFIT - before bonuses &amp; Inc. tax</v>
          </cell>
          <cell r="E65"/>
          <cell r="F65"/>
          <cell r="G65"/>
          <cell r="H65"/>
          <cell r="I65"/>
          <cell r="J65"/>
          <cell r="K65"/>
          <cell r="L65"/>
          <cell r="M65"/>
          <cell r="N65"/>
          <cell r="O65"/>
          <cell r="P65"/>
          <cell r="Q65" t="str">
            <v>(Lines 54 to 60)</v>
          </cell>
          <cell r="R65"/>
          <cell r="S65"/>
          <cell r="T65"/>
          <cell r="U65"/>
          <cell r="V65"/>
          <cell r="W65"/>
          <cell r="X65"/>
          <cell r="Y65"/>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AZ65"/>
          <cell r="BA65"/>
          <cell r="BB65"/>
          <cell r="BC65"/>
          <cell r="BD65"/>
          <cell r="BE65"/>
          <cell r="BF65"/>
          <cell r="BG65"/>
          <cell r="BH65"/>
          <cell r="BI65"/>
          <cell r="BJ65"/>
          <cell r="BK65"/>
          <cell r="BL65"/>
          <cell r="BM65"/>
          <cell r="BN65"/>
          <cell r="BO65"/>
          <cell r="BP65"/>
          <cell r="BQ65"/>
          <cell r="BR65"/>
          <cell r="BS65"/>
          <cell r="BT65"/>
          <cell r="BU65"/>
          <cell r="BV65"/>
          <cell r="BW65"/>
          <cell r="BX65"/>
          <cell r="BY65"/>
          <cell r="BZ65"/>
          <cell r="CA65"/>
          <cell r="CB65"/>
          <cell r="CC65"/>
          <cell r="CD65"/>
          <cell r="CE65"/>
          <cell r="CF65"/>
          <cell r="CG65"/>
          <cell r="CH65"/>
          <cell r="CI65"/>
          <cell r="CJ65"/>
          <cell r="CK65"/>
          <cell r="CL65"/>
          <cell r="CM65"/>
          <cell r="CN65"/>
          <cell r="CO65"/>
          <cell r="CP65"/>
          <cell r="CQ65" t="e">
            <v>#REF!</v>
          </cell>
          <cell r="CR65"/>
          <cell r="CS65"/>
          <cell r="CT65"/>
          <cell r="CU65"/>
          <cell r="CV65" t="str">
            <v>61</v>
          </cell>
          <cell r="CW65"/>
          <cell r="CX65"/>
          <cell r="CY65">
            <v>306103</v>
          </cell>
          <cell r="CZ65">
            <v>306105</v>
          </cell>
          <cell r="DA65">
            <v>306107</v>
          </cell>
          <cell r="DB65">
            <v>306109</v>
          </cell>
          <cell r="DC65">
            <v>306111</v>
          </cell>
          <cell r="DD65">
            <v>306113</v>
          </cell>
        </row>
        <row r="66">
          <cell r="B66" t="str">
            <v>62</v>
          </cell>
          <cell r="C66"/>
          <cell r="D66" t="str">
            <v>ADDITIONS TO INCOME</v>
          </cell>
          <cell r="E66"/>
          <cell r="F66"/>
          <cell r="G66"/>
          <cell r="H66"/>
          <cell r="I66"/>
          <cell r="J66"/>
          <cell r="K66"/>
          <cell r="L66"/>
          <cell r="M66"/>
          <cell r="N66"/>
          <cell r="O66"/>
          <cell r="P66"/>
          <cell r="Q66"/>
          <cell r="R66"/>
          <cell r="S66"/>
          <cell r="T66"/>
          <cell r="U66"/>
          <cell r="V66"/>
          <cell r="W66"/>
          <cell r="X66"/>
          <cell r="Y66"/>
          <cell r="Z66"/>
          <cell r="AA66"/>
          <cell r="AB66"/>
          <cell r="AC66"/>
          <cell r="AD66"/>
          <cell r="AE66"/>
          <cell r="AF66"/>
          <cell r="AG66"/>
          <cell r="AH66"/>
          <cell r="AI66"/>
          <cell r="AJ66"/>
          <cell r="AK66"/>
          <cell r="AL66"/>
          <cell r="AM66"/>
          <cell r="AN66"/>
          <cell r="AO66"/>
          <cell r="AP66"/>
          <cell r="AQ66" t="str">
            <v>DEDUCTIONS FROM INCOME</v>
          </cell>
          <cell r="AR66"/>
          <cell r="AS66"/>
          <cell r="AT66"/>
          <cell r="AU66"/>
          <cell r="AV66"/>
          <cell r="AW66"/>
          <cell r="AX66"/>
          <cell r="AY66"/>
          <cell r="AZ66"/>
          <cell r="BA66"/>
          <cell r="BB66"/>
          <cell r="BC66"/>
          <cell r="BD66"/>
          <cell r="BE66"/>
          <cell r="BF66"/>
          <cell r="BG66"/>
          <cell r="BH66"/>
          <cell r="BI66"/>
          <cell r="BJ66"/>
          <cell r="BK66"/>
          <cell r="BL66"/>
          <cell r="BM66"/>
          <cell r="BN66"/>
          <cell r="BO66"/>
          <cell r="BP66"/>
          <cell r="BQ66"/>
          <cell r="BR66"/>
          <cell r="BS66"/>
          <cell r="BT66"/>
          <cell r="BU66"/>
          <cell r="BV66"/>
          <cell r="BW66"/>
          <cell r="BX66"/>
          <cell r="BY66"/>
          <cell r="BZ66"/>
          <cell r="CA66"/>
          <cell r="CB66"/>
          <cell r="CC66"/>
          <cell r="CD66"/>
          <cell r="CE66"/>
          <cell r="CF66"/>
          <cell r="CG66"/>
          <cell r="CH66"/>
          <cell r="CI66"/>
          <cell r="CJ66"/>
          <cell r="CK66"/>
          <cell r="CL66"/>
          <cell r="CM66"/>
          <cell r="CN66"/>
          <cell r="CO66"/>
          <cell r="CP66"/>
          <cell r="CQ66"/>
          <cell r="CR66"/>
          <cell r="CS66"/>
          <cell r="CT66"/>
          <cell r="CU66"/>
          <cell r="CV66" t="str">
            <v>62</v>
          </cell>
          <cell r="CW66"/>
          <cell r="CX66"/>
          <cell r="CY66">
            <v>306203</v>
          </cell>
          <cell r="CZ66">
            <v>306205</v>
          </cell>
          <cell r="DA66">
            <v>306207</v>
          </cell>
          <cell r="DB66">
            <v>306209</v>
          </cell>
          <cell r="DC66">
            <v>306211</v>
          </cell>
          <cell r="DD66">
            <v>306213</v>
          </cell>
        </row>
        <row r="67">
          <cell r="B67" t="str">
            <v>63</v>
          </cell>
          <cell r="C67"/>
          <cell r="D67" t="str">
            <v>ACCOUNT</v>
          </cell>
          <cell r="E67"/>
          <cell r="F67"/>
          <cell r="G67"/>
          <cell r="H67"/>
          <cell r="I67"/>
          <cell r="J67"/>
          <cell r="K67"/>
          <cell r="L67"/>
          <cell r="M67"/>
          <cell r="N67"/>
          <cell r="O67"/>
          <cell r="P67"/>
          <cell r="Q67" t="str">
            <v>ACCT #</v>
          </cell>
          <cell r="R67" t="str">
            <v>Month</v>
          </cell>
          <cell r="S67"/>
          <cell r="T67"/>
          <cell r="U67"/>
          <cell r="V67"/>
          <cell r="W67"/>
          <cell r="X67"/>
          <cell r="Y67"/>
          <cell r="Z67"/>
          <cell r="AA67"/>
          <cell r="AB67" t="str">
            <v>Year to Date</v>
          </cell>
          <cell r="AC67"/>
          <cell r="AD67"/>
          <cell r="AE67"/>
          <cell r="AF67"/>
          <cell r="AG67"/>
          <cell r="AH67"/>
          <cell r="AI67"/>
          <cell r="AJ67"/>
          <cell r="AK67"/>
          <cell r="AL67" t="e">
            <v>#REF!</v>
          </cell>
          <cell r="AM67"/>
          <cell r="AN67"/>
          <cell r="AO67"/>
          <cell r="AP67"/>
          <cell r="AQ67" t="str">
            <v>ACCOUNT</v>
          </cell>
          <cell r="AR67"/>
          <cell r="AS67"/>
          <cell r="AT67"/>
          <cell r="AU67"/>
          <cell r="AV67"/>
          <cell r="AW67"/>
          <cell r="AX67"/>
          <cell r="AY67"/>
          <cell r="AZ67"/>
          <cell r="BA67"/>
          <cell r="BB67"/>
          <cell r="BC67"/>
          <cell r="BD67"/>
          <cell r="BE67"/>
          <cell r="BF67"/>
          <cell r="BG67"/>
          <cell r="BH67"/>
          <cell r="BI67"/>
          <cell r="BJ67"/>
          <cell r="BK67"/>
          <cell r="BL67"/>
          <cell r="BM67"/>
          <cell r="BN67"/>
          <cell r="BO67"/>
          <cell r="BP67"/>
          <cell r="BQ67"/>
          <cell r="BR67"/>
          <cell r="BS67"/>
          <cell r="BT67"/>
          <cell r="BU67" t="str">
            <v>ACCT#</v>
          </cell>
          <cell r="BV67"/>
          <cell r="BW67" t="str">
            <v>Month</v>
          </cell>
          <cell r="BX67"/>
          <cell r="BY67"/>
          <cell r="BZ67"/>
          <cell r="CA67"/>
          <cell r="CB67"/>
          <cell r="CC67"/>
          <cell r="CD67"/>
          <cell r="CE67"/>
          <cell r="CF67"/>
          <cell r="CG67"/>
          <cell r="CH67"/>
          <cell r="CI67"/>
          <cell r="CJ67"/>
          <cell r="CK67"/>
          <cell r="CL67" t="str">
            <v>Year to Date</v>
          </cell>
          <cell r="CM67"/>
          <cell r="CN67"/>
          <cell r="CO67"/>
          <cell r="CP67"/>
          <cell r="CQ67"/>
          <cell r="CR67"/>
          <cell r="CS67"/>
          <cell r="CT67"/>
          <cell r="CU67"/>
          <cell r="CV67" t="str">
            <v>63</v>
          </cell>
          <cell r="CW67"/>
          <cell r="CX67"/>
          <cell r="CY67">
            <v>306303</v>
          </cell>
          <cell r="CZ67">
            <v>306305</v>
          </cell>
          <cell r="DA67">
            <v>306307</v>
          </cell>
          <cell r="DB67">
            <v>306309</v>
          </cell>
          <cell r="DC67">
            <v>306311</v>
          </cell>
          <cell r="DD67">
            <v>306313</v>
          </cell>
        </row>
        <row r="68">
          <cell r="B68" t="str">
            <v>64</v>
          </cell>
          <cell r="C68"/>
          <cell r="D68" t="str">
            <v>Interest Earned / Cash Discounts</v>
          </cell>
          <cell r="E68"/>
          <cell r="F68"/>
          <cell r="G68"/>
          <cell r="H68"/>
          <cell r="I68"/>
          <cell r="J68"/>
          <cell r="K68"/>
          <cell r="L68"/>
          <cell r="M68"/>
          <cell r="N68"/>
          <cell r="O68"/>
          <cell r="P68"/>
          <cell r="Q68" t="str">
            <v>8010</v>
          </cell>
          <cell r="R68">
            <v>787</v>
          </cell>
          <cell r="S68"/>
          <cell r="T68"/>
          <cell r="U68"/>
          <cell r="V68"/>
          <cell r="W68" t="e">
            <v>#REF!</v>
          </cell>
          <cell r="X68"/>
          <cell r="Y68"/>
          <cell r="Z68"/>
          <cell r="AA68"/>
          <cell r="AB68">
            <v>10671</v>
          </cell>
          <cell r="AC68"/>
          <cell r="AD68"/>
          <cell r="AE68"/>
          <cell r="AF68"/>
          <cell r="AG68"/>
          <cell r="AH68"/>
          <cell r="AI68"/>
          <cell r="AJ68"/>
          <cell r="AK68"/>
          <cell r="AL68"/>
          <cell r="AM68"/>
          <cell r="AN68"/>
          <cell r="AO68"/>
          <cell r="AP68"/>
          <cell r="AQ68" t="str">
            <v>Casualty Losses</v>
          </cell>
          <cell r="AR68"/>
          <cell r="AS68"/>
          <cell r="AT68"/>
          <cell r="AU68"/>
          <cell r="AV68"/>
          <cell r="AW68"/>
          <cell r="AX68"/>
          <cell r="AY68"/>
          <cell r="AZ68"/>
          <cell r="BA68"/>
          <cell r="BB68"/>
          <cell r="BC68"/>
          <cell r="BD68"/>
          <cell r="BE68"/>
          <cell r="BF68"/>
          <cell r="BG68"/>
          <cell r="BH68"/>
          <cell r="BI68"/>
          <cell r="BJ68"/>
          <cell r="BK68"/>
          <cell r="BL68"/>
          <cell r="BM68"/>
          <cell r="BN68"/>
          <cell r="BO68">
            <v>8500</v>
          </cell>
          <cell r="BP68"/>
          <cell r="BQ68"/>
          <cell r="BR68"/>
          <cell r="BS68"/>
          <cell r="BT68"/>
          <cell r="BU68"/>
          <cell r="BV68"/>
          <cell r="BW68">
            <v>0</v>
          </cell>
          <cell r="BX68"/>
          <cell r="BY68"/>
          <cell r="BZ68"/>
          <cell r="CA68"/>
          <cell r="CB68"/>
          <cell r="CC68"/>
          <cell r="CD68"/>
          <cell r="CE68"/>
          <cell r="CF68"/>
          <cell r="CG68" t="e">
            <v>#REF!</v>
          </cell>
          <cell r="CH68"/>
          <cell r="CI68"/>
          <cell r="CJ68"/>
          <cell r="CK68"/>
          <cell r="CL68">
            <v>0</v>
          </cell>
          <cell r="CM68"/>
          <cell r="CN68"/>
          <cell r="CO68"/>
          <cell r="CP68"/>
          <cell r="CQ68"/>
          <cell r="CR68"/>
          <cell r="CS68"/>
          <cell r="CT68"/>
          <cell r="CU68"/>
          <cell r="CV68" t="str">
            <v>64</v>
          </cell>
          <cell r="CW68"/>
          <cell r="CX68"/>
          <cell r="CY68">
            <v>306403</v>
          </cell>
          <cell r="CZ68">
            <v>306405</v>
          </cell>
          <cell r="DA68">
            <v>306407</v>
          </cell>
          <cell r="DB68">
            <v>306409</v>
          </cell>
          <cell r="DC68">
            <v>306411</v>
          </cell>
          <cell r="DD68">
            <v>306413</v>
          </cell>
        </row>
        <row r="69">
          <cell r="B69" t="str">
            <v>65</v>
          </cell>
          <cell r="C69"/>
          <cell r="D69" t="str">
            <v>Gain on Disposal of Assests</v>
          </cell>
          <cell r="E69"/>
          <cell r="F69"/>
          <cell r="G69"/>
          <cell r="H69"/>
          <cell r="I69"/>
          <cell r="J69"/>
          <cell r="K69"/>
          <cell r="L69"/>
          <cell r="M69"/>
          <cell r="N69"/>
          <cell r="O69"/>
          <cell r="P69"/>
          <cell r="Q69" t="str">
            <v>8020</v>
          </cell>
          <cell r="R69">
            <v>0</v>
          </cell>
          <cell r="S69"/>
          <cell r="T69"/>
          <cell r="U69"/>
          <cell r="V69"/>
          <cell r="W69" t="e">
            <v>#REF!</v>
          </cell>
          <cell r="X69"/>
          <cell r="Y69"/>
          <cell r="Z69"/>
          <cell r="AA69"/>
          <cell r="AB69">
            <v>0</v>
          </cell>
          <cell r="AC69"/>
          <cell r="AD69"/>
          <cell r="AE69"/>
          <cell r="AF69"/>
          <cell r="AG69"/>
          <cell r="AH69"/>
          <cell r="AI69"/>
          <cell r="AJ69"/>
          <cell r="AK69"/>
          <cell r="AL69" t="e">
            <v>#REF!</v>
          </cell>
          <cell r="AM69"/>
          <cell r="AN69"/>
          <cell r="AO69"/>
          <cell r="AP69"/>
          <cell r="AQ69" t="str">
            <v>Interest Paid</v>
          </cell>
          <cell r="AR69"/>
          <cell r="AS69"/>
          <cell r="AT69"/>
          <cell r="AU69"/>
          <cell r="AV69"/>
          <cell r="AW69"/>
          <cell r="AX69"/>
          <cell r="AY69"/>
          <cell r="AZ69"/>
          <cell r="BA69"/>
          <cell r="BB69"/>
          <cell r="BC69"/>
          <cell r="BD69"/>
          <cell r="BE69"/>
          <cell r="BF69"/>
          <cell r="BG69"/>
          <cell r="BH69"/>
          <cell r="BI69"/>
          <cell r="BJ69"/>
          <cell r="BK69"/>
          <cell r="BL69"/>
          <cell r="BM69"/>
          <cell r="BN69"/>
          <cell r="BO69">
            <v>8510</v>
          </cell>
          <cell r="BP69"/>
          <cell r="BQ69"/>
          <cell r="BR69"/>
          <cell r="BS69"/>
          <cell r="BT69"/>
          <cell r="BU69"/>
          <cell r="BV69"/>
          <cell r="BW69">
            <v>1145</v>
          </cell>
          <cell r="BX69"/>
          <cell r="BY69"/>
          <cell r="BZ69"/>
          <cell r="CA69"/>
          <cell r="CB69"/>
          <cell r="CC69"/>
          <cell r="CD69"/>
          <cell r="CE69"/>
          <cell r="CF69"/>
          <cell r="CG69" t="e">
            <v>#REF!</v>
          </cell>
          <cell r="CH69"/>
          <cell r="CI69"/>
          <cell r="CJ69"/>
          <cell r="CK69"/>
          <cell r="CL69">
            <v>15713</v>
          </cell>
          <cell r="CM69"/>
          <cell r="CN69"/>
          <cell r="CO69"/>
          <cell r="CP69"/>
          <cell r="CQ69"/>
          <cell r="CR69"/>
          <cell r="CS69"/>
          <cell r="CT69"/>
          <cell r="CU69"/>
          <cell r="CV69" t="str">
            <v>65</v>
          </cell>
          <cell r="CW69"/>
          <cell r="CX69"/>
          <cell r="CY69">
            <v>306503</v>
          </cell>
          <cell r="CZ69">
            <v>306505</v>
          </cell>
          <cell r="DA69">
            <v>306507</v>
          </cell>
          <cell r="DB69">
            <v>306509</v>
          </cell>
          <cell r="DC69">
            <v>306511</v>
          </cell>
          <cell r="DD69">
            <v>306513</v>
          </cell>
        </row>
        <row r="70">
          <cell r="B70" t="str">
            <v>66</v>
          </cell>
          <cell r="C70"/>
          <cell r="D70" t="str">
            <v>Bad Debts Recovered</v>
          </cell>
          <cell r="E70"/>
          <cell r="F70"/>
          <cell r="G70"/>
          <cell r="H70"/>
          <cell r="I70"/>
          <cell r="J70"/>
          <cell r="K70"/>
          <cell r="L70"/>
          <cell r="M70"/>
          <cell r="N70"/>
          <cell r="O70"/>
          <cell r="P70"/>
          <cell r="Q70" t="str">
            <v>8040</v>
          </cell>
          <cell r="R70">
            <v>0</v>
          </cell>
          <cell r="S70"/>
          <cell r="T70"/>
          <cell r="U70"/>
          <cell r="V70"/>
          <cell r="W70" t="e">
            <v>#REF!</v>
          </cell>
          <cell r="X70"/>
          <cell r="Y70"/>
          <cell r="Z70"/>
          <cell r="AA70"/>
          <cell r="AB70">
            <v>0</v>
          </cell>
          <cell r="AC70"/>
          <cell r="AD70"/>
          <cell r="AE70"/>
          <cell r="AF70"/>
          <cell r="AG70"/>
          <cell r="AH70"/>
          <cell r="AI70"/>
          <cell r="AJ70"/>
          <cell r="AK70"/>
          <cell r="AL70" t="e">
            <v>#REF!</v>
          </cell>
          <cell r="AM70"/>
          <cell r="AN70"/>
          <cell r="AO70"/>
          <cell r="AP70"/>
          <cell r="AQ70" t="str">
            <v>Loss on Disposal of Assets</v>
          </cell>
          <cell r="AR70"/>
          <cell r="AS70"/>
          <cell r="AT70"/>
          <cell r="AU70"/>
          <cell r="AV70"/>
          <cell r="AW70"/>
          <cell r="AX70"/>
          <cell r="AY70"/>
          <cell r="AZ70"/>
          <cell r="BA70"/>
          <cell r="BB70"/>
          <cell r="BC70"/>
          <cell r="BD70"/>
          <cell r="BE70"/>
          <cell r="BF70"/>
          <cell r="BG70"/>
          <cell r="BH70"/>
          <cell r="BI70"/>
          <cell r="BJ70"/>
          <cell r="BK70"/>
          <cell r="BL70"/>
          <cell r="BM70"/>
          <cell r="BN70"/>
          <cell r="BO70">
            <v>8520</v>
          </cell>
          <cell r="BP70"/>
          <cell r="BQ70"/>
          <cell r="BR70"/>
          <cell r="BS70"/>
          <cell r="BT70"/>
          <cell r="BU70"/>
          <cell r="BV70"/>
          <cell r="BW70">
            <v>0</v>
          </cell>
          <cell r="BX70"/>
          <cell r="BY70"/>
          <cell r="BZ70"/>
          <cell r="CA70"/>
          <cell r="CB70"/>
          <cell r="CC70"/>
          <cell r="CD70"/>
          <cell r="CE70"/>
          <cell r="CF70"/>
          <cell r="CG70" t="e">
            <v>#REF!</v>
          </cell>
          <cell r="CH70"/>
          <cell r="CI70"/>
          <cell r="CJ70"/>
          <cell r="CK70"/>
          <cell r="CL70">
            <v>0</v>
          </cell>
          <cell r="CM70"/>
          <cell r="CN70"/>
          <cell r="CO70"/>
          <cell r="CP70"/>
          <cell r="CQ70" t="e">
            <v>#REF!</v>
          </cell>
          <cell r="CR70"/>
          <cell r="CS70"/>
          <cell r="CT70"/>
          <cell r="CU70"/>
          <cell r="CV70" t="str">
            <v>66</v>
          </cell>
          <cell r="CW70"/>
          <cell r="CX70"/>
          <cell r="CY70">
            <v>306603</v>
          </cell>
          <cell r="CZ70">
            <v>306605</v>
          </cell>
          <cell r="DA70">
            <v>306607</v>
          </cell>
          <cell r="DB70">
            <v>306609</v>
          </cell>
          <cell r="DC70">
            <v>306611</v>
          </cell>
          <cell r="DD70">
            <v>306613</v>
          </cell>
        </row>
        <row r="71">
          <cell r="B71" t="str">
            <v>67</v>
          </cell>
          <cell r="C71"/>
          <cell r="D71" t="str">
            <v>Rental / Service Loaner Vehicles Income</v>
          </cell>
          <cell r="E71"/>
          <cell r="F71"/>
          <cell r="G71"/>
          <cell r="H71"/>
          <cell r="I71"/>
          <cell r="J71"/>
          <cell r="K71"/>
          <cell r="L71"/>
          <cell r="M71"/>
          <cell r="N71"/>
          <cell r="O71"/>
          <cell r="P71"/>
          <cell r="Q71" t="str">
            <v>8090</v>
          </cell>
          <cell r="R71">
            <v>570</v>
          </cell>
          <cell r="S71"/>
          <cell r="T71"/>
          <cell r="U71"/>
          <cell r="V71"/>
          <cell r="W71" t="e">
            <v>#REF!</v>
          </cell>
          <cell r="X71"/>
          <cell r="Y71"/>
          <cell r="Z71"/>
          <cell r="AA71"/>
          <cell r="AB71">
            <v>16509</v>
          </cell>
          <cell r="AC71"/>
          <cell r="AD71"/>
          <cell r="AE71"/>
          <cell r="AF71"/>
          <cell r="AG71"/>
          <cell r="AH71"/>
          <cell r="AI71"/>
          <cell r="AJ71"/>
          <cell r="AK71"/>
          <cell r="AL71" t="e">
            <v>#REF!</v>
          </cell>
          <cell r="AM71"/>
          <cell r="AN71"/>
          <cell r="AO71"/>
          <cell r="AP71"/>
          <cell r="AQ71" t="str">
            <v>Credit Card Expense</v>
          </cell>
          <cell r="AR71"/>
          <cell r="AS71"/>
          <cell r="AT71"/>
          <cell r="AU71"/>
          <cell r="AV71"/>
          <cell r="AW71"/>
          <cell r="AX71"/>
          <cell r="AY71"/>
          <cell r="AZ71"/>
          <cell r="BA71"/>
          <cell r="BB71"/>
          <cell r="BC71"/>
          <cell r="BD71"/>
          <cell r="BE71"/>
          <cell r="BF71"/>
          <cell r="BG71"/>
          <cell r="BH71"/>
          <cell r="BI71"/>
          <cell r="BJ71"/>
          <cell r="BK71"/>
          <cell r="BL71"/>
          <cell r="BM71"/>
          <cell r="BN71"/>
          <cell r="BO71">
            <v>8530</v>
          </cell>
          <cell r="BP71"/>
          <cell r="BQ71"/>
          <cell r="BR71"/>
          <cell r="BS71"/>
          <cell r="BT71"/>
          <cell r="BU71"/>
          <cell r="BV71"/>
          <cell r="BW71">
            <v>4044</v>
          </cell>
          <cell r="BX71"/>
          <cell r="BY71"/>
          <cell r="BZ71"/>
          <cell r="CA71"/>
          <cell r="CB71"/>
          <cell r="CC71"/>
          <cell r="CD71"/>
          <cell r="CE71"/>
          <cell r="CF71"/>
          <cell r="CG71" t="e">
            <v>#REF!</v>
          </cell>
          <cell r="CH71"/>
          <cell r="CI71"/>
          <cell r="CJ71"/>
          <cell r="CK71"/>
          <cell r="CL71">
            <v>61514</v>
          </cell>
          <cell r="CM71"/>
          <cell r="CN71"/>
          <cell r="CO71"/>
          <cell r="CP71"/>
          <cell r="CQ71" t="e">
            <v>#REF!</v>
          </cell>
          <cell r="CR71"/>
          <cell r="CS71"/>
          <cell r="CT71"/>
          <cell r="CU71"/>
          <cell r="CV71" t="str">
            <v>67</v>
          </cell>
          <cell r="CW71"/>
          <cell r="CX71"/>
          <cell r="CY71">
            <v>306703</v>
          </cell>
          <cell r="CZ71">
            <v>306705</v>
          </cell>
          <cell r="DA71"/>
          <cell r="DB71"/>
          <cell r="DC71">
            <v>306711</v>
          </cell>
          <cell r="DD71">
            <v>306713</v>
          </cell>
        </row>
        <row r="72">
          <cell r="B72" t="str">
            <v>68</v>
          </cell>
          <cell r="C72"/>
          <cell r="D72" t="str">
            <v>Other Income</v>
          </cell>
          <cell r="E72"/>
          <cell r="F72"/>
          <cell r="G72"/>
          <cell r="H72"/>
          <cell r="I72"/>
          <cell r="J72"/>
          <cell r="K72"/>
          <cell r="L72"/>
          <cell r="M72"/>
          <cell r="N72"/>
          <cell r="O72"/>
          <cell r="P72"/>
          <cell r="Q72" t="str">
            <v>8050</v>
          </cell>
          <cell r="R72">
            <v>143161</v>
          </cell>
          <cell r="S72"/>
          <cell r="T72"/>
          <cell r="U72"/>
          <cell r="V72"/>
          <cell r="W72" t="e">
            <v>#REF!</v>
          </cell>
          <cell r="X72"/>
          <cell r="Y72"/>
          <cell r="Z72"/>
          <cell r="AA72"/>
          <cell r="AB72">
            <v>1225236</v>
          </cell>
          <cell r="AC72"/>
          <cell r="AD72"/>
          <cell r="AE72"/>
          <cell r="AF72"/>
          <cell r="AG72"/>
          <cell r="AH72"/>
          <cell r="AI72"/>
          <cell r="AJ72"/>
          <cell r="AK72"/>
          <cell r="AL72" t="e">
            <v>#REF!</v>
          </cell>
          <cell r="AM72"/>
          <cell r="AN72"/>
          <cell r="AO72"/>
          <cell r="AP72"/>
          <cell r="AQ72" t="str">
            <v>Rental / Service Loaner Vehicles Expense</v>
          </cell>
          <cell r="AR72"/>
          <cell r="AS72"/>
          <cell r="AT72"/>
          <cell r="AU72"/>
          <cell r="AV72"/>
          <cell r="AW72"/>
          <cell r="AX72"/>
          <cell r="AY72"/>
          <cell r="AZ72"/>
          <cell r="BA72"/>
          <cell r="BB72"/>
          <cell r="BC72"/>
          <cell r="BD72"/>
          <cell r="BE72"/>
          <cell r="BF72"/>
          <cell r="BG72"/>
          <cell r="BH72"/>
          <cell r="BI72"/>
          <cell r="BJ72"/>
          <cell r="BK72"/>
          <cell r="BL72"/>
          <cell r="BM72"/>
          <cell r="BN72"/>
          <cell r="BO72">
            <v>8590</v>
          </cell>
          <cell r="BP72"/>
          <cell r="BQ72"/>
          <cell r="BR72"/>
          <cell r="BS72"/>
          <cell r="BT72"/>
          <cell r="BU72"/>
          <cell r="BV72"/>
          <cell r="BW72">
            <v>13598</v>
          </cell>
          <cell r="BX72"/>
          <cell r="BY72"/>
          <cell r="BZ72"/>
          <cell r="CA72"/>
          <cell r="CB72"/>
          <cell r="CC72"/>
          <cell r="CD72"/>
          <cell r="CE72"/>
          <cell r="CF72"/>
          <cell r="CG72" t="e">
            <v>#REF!</v>
          </cell>
          <cell r="CH72"/>
          <cell r="CI72"/>
          <cell r="CJ72"/>
          <cell r="CK72"/>
          <cell r="CL72">
            <v>109611</v>
          </cell>
          <cell r="CM72"/>
          <cell r="CN72"/>
          <cell r="CO72"/>
          <cell r="CP72"/>
          <cell r="CQ72" t="e">
            <v>#REF!</v>
          </cell>
          <cell r="CR72"/>
          <cell r="CS72"/>
          <cell r="CT72"/>
          <cell r="CU72"/>
          <cell r="CV72" t="str">
            <v>68</v>
          </cell>
          <cell r="CW72"/>
          <cell r="CX72"/>
          <cell r="CY72">
            <v>306803</v>
          </cell>
          <cell r="CZ72">
            <v>306805</v>
          </cell>
          <cell r="DA72"/>
          <cell r="DB72"/>
          <cell r="DC72">
            <v>306811</v>
          </cell>
          <cell r="DD72">
            <v>306813</v>
          </cell>
        </row>
        <row r="73">
          <cell r="B73" t="str">
            <v>69</v>
          </cell>
          <cell r="C73"/>
          <cell r="D73" t="str">
            <v>Other Makes Net Profit</v>
          </cell>
          <cell r="E73"/>
          <cell r="F73"/>
          <cell r="G73"/>
          <cell r="H73"/>
          <cell r="I73"/>
          <cell r="J73"/>
          <cell r="K73"/>
          <cell r="L73"/>
          <cell r="M73"/>
          <cell r="N73"/>
          <cell r="O73"/>
          <cell r="P73"/>
          <cell r="Q73" t="str">
            <v>8200</v>
          </cell>
          <cell r="R73">
            <v>0</v>
          </cell>
          <cell r="S73"/>
          <cell r="T73"/>
          <cell r="U73"/>
          <cell r="V73"/>
          <cell r="W73" t="e">
            <v>#REF!</v>
          </cell>
          <cell r="X73"/>
          <cell r="Y73"/>
          <cell r="Z73"/>
          <cell r="AA73"/>
          <cell r="AB73">
            <v>0</v>
          </cell>
          <cell r="AC73"/>
          <cell r="AD73"/>
          <cell r="AE73"/>
          <cell r="AF73"/>
          <cell r="AG73"/>
          <cell r="AH73"/>
          <cell r="AI73"/>
          <cell r="AJ73"/>
          <cell r="AK73"/>
          <cell r="AL73" t="e">
            <v>#REF!</v>
          </cell>
          <cell r="AM73"/>
          <cell r="AN73"/>
          <cell r="AO73"/>
          <cell r="AP73"/>
          <cell r="AQ73" t="str">
            <v>Other Deductions</v>
          </cell>
          <cell r="AR73"/>
          <cell r="AS73"/>
          <cell r="AT73"/>
          <cell r="AU73"/>
          <cell r="AV73"/>
          <cell r="AW73"/>
          <cell r="AX73"/>
          <cell r="AY73"/>
          <cell r="AZ73"/>
          <cell r="BA73"/>
          <cell r="BB73"/>
          <cell r="BC73"/>
          <cell r="BD73"/>
          <cell r="BE73"/>
          <cell r="BF73"/>
          <cell r="BG73"/>
          <cell r="BH73"/>
          <cell r="BI73"/>
          <cell r="BJ73"/>
          <cell r="BK73"/>
          <cell r="BL73"/>
          <cell r="BM73"/>
          <cell r="BN73"/>
          <cell r="BO73">
            <v>8550</v>
          </cell>
          <cell r="BP73"/>
          <cell r="BQ73"/>
          <cell r="BR73"/>
          <cell r="BS73"/>
          <cell r="BT73"/>
          <cell r="BU73"/>
          <cell r="BV73"/>
          <cell r="BW73">
            <v>-7</v>
          </cell>
          <cell r="BX73"/>
          <cell r="BY73"/>
          <cell r="BZ73"/>
          <cell r="CA73"/>
          <cell r="CB73"/>
          <cell r="CC73"/>
          <cell r="CD73"/>
          <cell r="CE73"/>
          <cell r="CF73"/>
          <cell r="CG73" t="e">
            <v>#REF!</v>
          </cell>
          <cell r="CH73"/>
          <cell r="CI73"/>
          <cell r="CJ73"/>
          <cell r="CK73"/>
          <cell r="CL73">
            <v>20</v>
          </cell>
          <cell r="CM73"/>
          <cell r="CN73"/>
          <cell r="CO73"/>
          <cell r="CP73"/>
          <cell r="CQ73" t="e">
            <v>#REF!</v>
          </cell>
          <cell r="CR73"/>
          <cell r="CS73"/>
          <cell r="CT73"/>
          <cell r="CU73"/>
          <cell r="CV73" t="str">
            <v>69</v>
          </cell>
          <cell r="CW73"/>
          <cell r="CX73"/>
          <cell r="CY73">
            <v>306903</v>
          </cell>
          <cell r="CZ73">
            <v>306905</v>
          </cell>
          <cell r="DC73">
            <v>306911</v>
          </cell>
          <cell r="DD73">
            <v>306913</v>
          </cell>
        </row>
        <row r="74">
          <cell r="B74" t="str">
            <v>70</v>
          </cell>
          <cell r="C74"/>
          <cell r="D74" t="str">
            <v>TOTAL</v>
          </cell>
          <cell r="E74"/>
          <cell r="F74"/>
          <cell r="G74"/>
          <cell r="H74"/>
          <cell r="I74"/>
          <cell r="J74"/>
          <cell r="K74"/>
          <cell r="L74"/>
          <cell r="M74"/>
          <cell r="N74"/>
          <cell r="O74"/>
          <cell r="P74" t="str">
            <v xml:space="preserve">(Lines 64 to 69) </v>
          </cell>
          <cell r="Q74" t="str">
            <v>ADAD</v>
          </cell>
          <cell r="R74">
            <v>144518</v>
          </cell>
          <cell r="S74"/>
          <cell r="T74"/>
          <cell r="U74"/>
          <cell r="V74"/>
          <cell r="W74"/>
          <cell r="X74"/>
          <cell r="Y74"/>
          <cell r="Z74"/>
          <cell r="AA74"/>
          <cell r="AB74">
            <v>1252416</v>
          </cell>
          <cell r="AC74"/>
          <cell r="AD74"/>
          <cell r="AE74"/>
          <cell r="AF74"/>
          <cell r="AG74"/>
          <cell r="AH74"/>
          <cell r="AI74"/>
          <cell r="AJ74"/>
          <cell r="AK74"/>
          <cell r="AL74" t="e">
            <v>#REF!</v>
          </cell>
          <cell r="AM74"/>
          <cell r="AN74"/>
          <cell r="AO74"/>
          <cell r="AP74"/>
          <cell r="AQ74" t="str">
            <v xml:space="preserve">TOTAL </v>
          </cell>
          <cell r="AR74"/>
          <cell r="AS74"/>
          <cell r="AT74"/>
          <cell r="AU74"/>
          <cell r="AV74"/>
          <cell r="AW74"/>
          <cell r="AX74"/>
          <cell r="AY74"/>
          <cell r="AZ74"/>
          <cell r="BA74"/>
          <cell r="BB74"/>
          <cell r="BC74"/>
          <cell r="BD74"/>
          <cell r="BE74"/>
          <cell r="BF74"/>
          <cell r="BG74"/>
          <cell r="BH74"/>
          <cell r="BI74"/>
          <cell r="BJ74"/>
          <cell r="BK74"/>
          <cell r="BL74"/>
          <cell r="BM74"/>
          <cell r="BN74" t="str">
            <v xml:space="preserve">(Lines 64 to 69) </v>
          </cell>
          <cell r="BO74"/>
          <cell r="BP74"/>
          <cell r="BQ74"/>
          <cell r="BR74"/>
          <cell r="BS74"/>
          <cell r="BT74"/>
          <cell r="BU74"/>
          <cell r="BV74"/>
          <cell r="BW74">
            <v>18780</v>
          </cell>
          <cell r="BX74"/>
          <cell r="BY74"/>
          <cell r="BZ74"/>
          <cell r="CA74"/>
          <cell r="CB74"/>
          <cell r="CC74"/>
          <cell r="CD74"/>
          <cell r="CE74"/>
          <cell r="CF74"/>
          <cell r="CG74" t="e">
            <v>#REF!</v>
          </cell>
          <cell r="CH74"/>
          <cell r="CI74"/>
          <cell r="CJ74"/>
          <cell r="CK74"/>
          <cell r="CL74">
            <v>186858</v>
          </cell>
          <cell r="CM74"/>
          <cell r="CN74"/>
          <cell r="CO74"/>
          <cell r="CP74"/>
          <cell r="CQ74" t="e">
            <v>#REF!</v>
          </cell>
          <cell r="CR74"/>
          <cell r="CS74"/>
          <cell r="CT74"/>
          <cell r="CU74"/>
          <cell r="CV74" t="str">
            <v>70</v>
          </cell>
          <cell r="CW74"/>
          <cell r="CX74"/>
          <cell r="CY74">
            <v>307003</v>
          </cell>
          <cell r="CZ74">
            <v>307005</v>
          </cell>
          <cell r="DC74">
            <v>307011</v>
          </cell>
          <cell r="DD74">
            <v>307013</v>
          </cell>
        </row>
        <row r="75">
          <cell r="B75" t="str">
            <v>71</v>
          </cell>
          <cell r="C75"/>
          <cell r="D75"/>
          <cell r="E75"/>
          <cell r="F75"/>
          <cell r="G75"/>
          <cell r="H75"/>
          <cell r="I75"/>
          <cell r="J75"/>
          <cell r="K75"/>
          <cell r="L75"/>
          <cell r="M75"/>
          <cell r="N75"/>
          <cell r="O75"/>
          <cell r="P75"/>
          <cell r="Q75"/>
          <cell r="R75"/>
          <cell r="S75"/>
          <cell r="T75"/>
          <cell r="U75"/>
          <cell r="V75"/>
          <cell r="W75"/>
          <cell r="X75"/>
          <cell r="Y75"/>
          <cell r="Z75"/>
          <cell r="AA75"/>
          <cell r="AB75"/>
          <cell r="AC75"/>
          <cell r="AD75"/>
          <cell r="AE75"/>
          <cell r="AF75"/>
          <cell r="AG75"/>
          <cell r="AH75"/>
          <cell r="AI75"/>
          <cell r="AJ75"/>
          <cell r="AK75"/>
          <cell r="AL75" t="e">
            <v>#REF!</v>
          </cell>
          <cell r="AM75"/>
          <cell r="AN75"/>
          <cell r="AO75"/>
          <cell r="AP75"/>
          <cell r="AQ75" t="str">
            <v>Net Additions or Deductions</v>
          </cell>
          <cell r="AR75"/>
          <cell r="AS75"/>
          <cell r="AT75"/>
          <cell r="AU75"/>
          <cell r="AV75"/>
          <cell r="AW75"/>
          <cell r="AX75"/>
          <cell r="AY75"/>
          <cell r="AZ75"/>
          <cell r="BA75"/>
          <cell r="BB75"/>
          <cell r="BC75"/>
          <cell r="BD75"/>
          <cell r="BE75"/>
          <cell r="BF75"/>
          <cell r="BG75"/>
          <cell r="BH75"/>
          <cell r="BI75"/>
          <cell r="BJ75"/>
          <cell r="BK75"/>
          <cell r="BL75"/>
          <cell r="BM75"/>
          <cell r="BN75" t="str">
            <v>(L70 Adds Less L70 Deds)</v>
          </cell>
          <cell r="BO75" t="str">
            <v>TT31</v>
          </cell>
          <cell r="BP75"/>
          <cell r="BQ75"/>
          <cell r="BR75"/>
          <cell r="BS75"/>
          <cell r="BT75"/>
          <cell r="BU75"/>
          <cell r="BV75"/>
          <cell r="BW75">
            <v>125738</v>
          </cell>
          <cell r="BX75"/>
          <cell r="BY75"/>
          <cell r="BZ75"/>
          <cell r="CA75"/>
          <cell r="CB75"/>
          <cell r="CC75"/>
          <cell r="CD75"/>
          <cell r="CE75"/>
          <cell r="CF75"/>
          <cell r="CG75" t="e">
            <v>#REF!</v>
          </cell>
          <cell r="CH75"/>
          <cell r="CI75"/>
          <cell r="CJ75"/>
          <cell r="CK75"/>
          <cell r="CL75">
            <v>1065558</v>
          </cell>
          <cell r="CM75"/>
          <cell r="CN75"/>
          <cell r="CO75"/>
          <cell r="CP75"/>
          <cell r="CQ75" t="e">
            <v>#REF!</v>
          </cell>
          <cell r="CR75"/>
          <cell r="CS75"/>
          <cell r="CT75"/>
          <cell r="CU75"/>
          <cell r="CV75" t="str">
            <v>71</v>
          </cell>
          <cell r="CW75"/>
          <cell r="CX75"/>
          <cell r="CY75">
            <v>307103</v>
          </cell>
          <cell r="CZ75">
            <v>307105</v>
          </cell>
          <cell r="DC75">
            <v>307111</v>
          </cell>
          <cell r="DD75">
            <v>307113</v>
          </cell>
        </row>
        <row r="76">
          <cell r="B76"/>
          <cell r="C76"/>
          <cell r="D76"/>
          <cell r="E76"/>
          <cell r="F76"/>
          <cell r="G76"/>
          <cell r="H76"/>
          <cell r="I76"/>
          <cell r="J76"/>
          <cell r="K76"/>
          <cell r="L76"/>
          <cell r="M76"/>
          <cell r="N76"/>
          <cell r="O76"/>
          <cell r="P76"/>
          <cell r="Q76"/>
          <cell r="R76"/>
          <cell r="S76"/>
          <cell r="T76"/>
          <cell r="U76"/>
          <cell r="V76"/>
          <cell r="W76"/>
          <cell r="X76"/>
          <cell r="Y76"/>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cell r="BE76"/>
          <cell r="BF76"/>
          <cell r="BG76"/>
          <cell r="BH76"/>
          <cell r="BI76"/>
          <cell r="BJ76"/>
          <cell r="BK76"/>
          <cell r="BL76"/>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v>307403</v>
          </cell>
          <cell r="CZ76">
            <v>307405</v>
          </cell>
          <cell r="DC76">
            <v>307411</v>
          </cell>
          <cell r="DD76">
            <v>307413</v>
          </cell>
        </row>
      </sheetData>
      <sheetData sheetId="3" refreshError="1">
        <row r="1">
          <cell r="B1"/>
          <cell r="C1"/>
          <cell r="D1"/>
          <cell r="E1"/>
          <cell r="F1"/>
          <cell r="G1"/>
          <cell r="H1" t="str">
            <v>NEW VEHICLE DEPARTMENTAL SALES GROSS PROFIT</v>
          </cell>
          <cell r="I1"/>
          <cell r="J1"/>
          <cell r="K1"/>
          <cell r="L1"/>
          <cell r="M1"/>
          <cell r="N1"/>
          <cell r="O1"/>
        </row>
        <row r="2">
          <cell r="B2" t="str">
            <v>Page 4              Current Month: (Month)</v>
          </cell>
          <cell r="C2"/>
          <cell r="D2"/>
          <cell r="E2"/>
          <cell r="F2"/>
          <cell r="G2"/>
          <cell r="H2"/>
          <cell r="I2"/>
          <cell r="J2" t="str">
            <v>Year To Date: (Year)</v>
          </cell>
          <cell r="K2"/>
          <cell r="L2"/>
          <cell r="M2"/>
          <cell r="N2"/>
          <cell r="O2"/>
        </row>
        <row r="3">
          <cell r="B3" t="str">
            <v>UNITS</v>
          </cell>
          <cell r="C3" t="str">
            <v>SALES</v>
          </cell>
          <cell r="D3" t="str">
            <v>GROSS</v>
          </cell>
          <cell r="E3" t="str">
            <v>Inccentive</v>
          </cell>
          <cell r="F3" t="str">
            <v>GROSS</v>
          </cell>
          <cell r="G3" t="str">
            <v>Acct.</v>
          </cell>
          <cell r="H3" t="str">
            <v>ACCOUNT NAME</v>
          </cell>
          <cell r="I3"/>
          <cell r="J3" t="str">
            <v>UNITS</v>
          </cell>
          <cell r="K3" t="str">
            <v>SALES</v>
          </cell>
          <cell r="L3" t="str">
            <v xml:space="preserve">GROSS </v>
          </cell>
          <cell r="M3" t="str">
            <v>Inccentive</v>
          </cell>
          <cell r="N3" t="str">
            <v>GROSS</v>
          </cell>
          <cell r="O3" t="str">
            <v>LINE</v>
          </cell>
        </row>
        <row r="4">
          <cell r="B4"/>
          <cell r="C4"/>
          <cell r="D4"/>
          <cell r="E4" t="str">
            <v>Inc in GP</v>
          </cell>
          <cell r="F4" t="str">
            <v>PER UNIT</v>
          </cell>
          <cell r="G4" t="str">
            <v>No.</v>
          </cell>
          <cell r="H4"/>
          <cell r="I4"/>
          <cell r="J4"/>
          <cell r="K4"/>
          <cell r="L4"/>
          <cell r="M4" t="str">
            <v>Inc in GP</v>
          </cell>
          <cell r="N4" t="str">
            <v>PER UNIT</v>
          </cell>
          <cell r="O4" t="str">
            <v>NO</v>
          </cell>
        </row>
        <row r="5">
          <cell r="B5">
            <v>6</v>
          </cell>
          <cell r="C5">
            <v>103653</v>
          </cell>
          <cell r="D5">
            <v>-1712</v>
          </cell>
          <cell r="E5">
            <v>0</v>
          </cell>
          <cell r="F5">
            <v>-285</v>
          </cell>
          <cell r="G5">
            <v>4042</v>
          </cell>
          <cell r="H5" t="str">
            <v>Versa Note / Hatch - Retail</v>
          </cell>
          <cell r="I5"/>
          <cell r="J5">
            <v>51</v>
          </cell>
          <cell r="K5">
            <v>876694</v>
          </cell>
          <cell r="L5">
            <v>-20048</v>
          </cell>
          <cell r="M5">
            <v>0</v>
          </cell>
          <cell r="N5">
            <v>-393</v>
          </cell>
          <cell r="O5" t="str">
            <v>1</v>
          </cell>
        </row>
        <row r="6">
          <cell r="B6">
            <v>13</v>
          </cell>
          <cell r="C6">
            <v>208921</v>
          </cell>
          <cell r="D6">
            <v>-1338</v>
          </cell>
          <cell r="E6">
            <v>0</v>
          </cell>
          <cell r="F6">
            <v>-103</v>
          </cell>
          <cell r="G6">
            <v>4052</v>
          </cell>
          <cell r="H6" t="str">
            <v>Versa Sedan - Retail</v>
          </cell>
          <cell r="I6"/>
          <cell r="J6">
            <v>139</v>
          </cell>
          <cell r="K6">
            <v>2151792</v>
          </cell>
          <cell r="L6">
            <v>-65516</v>
          </cell>
          <cell r="M6">
            <v>0</v>
          </cell>
          <cell r="N6">
            <v>-471</v>
          </cell>
          <cell r="O6" t="str">
            <v>2</v>
          </cell>
        </row>
        <row r="7">
          <cell r="B7">
            <v>41</v>
          </cell>
          <cell r="C7">
            <v>793964</v>
          </cell>
          <cell r="D7">
            <v>-27801</v>
          </cell>
          <cell r="E7">
            <v>0</v>
          </cell>
          <cell r="F7">
            <v>-678</v>
          </cell>
          <cell r="G7">
            <v>4000</v>
          </cell>
          <cell r="H7" t="str">
            <v>Sentra - Retail</v>
          </cell>
          <cell r="I7"/>
          <cell r="J7">
            <v>510</v>
          </cell>
          <cell r="K7">
            <v>9564547</v>
          </cell>
          <cell r="L7">
            <v>-288631</v>
          </cell>
          <cell r="M7">
            <v>0</v>
          </cell>
          <cell r="N7">
            <v>-566</v>
          </cell>
          <cell r="O7" t="str">
            <v>3</v>
          </cell>
        </row>
        <row r="8">
          <cell r="B8">
            <v>29</v>
          </cell>
          <cell r="C8">
            <v>746500</v>
          </cell>
          <cell r="D8">
            <v>-2733</v>
          </cell>
          <cell r="E8">
            <v>0</v>
          </cell>
          <cell r="F8">
            <v>-94</v>
          </cell>
          <cell r="G8">
            <v>4070</v>
          </cell>
          <cell r="H8" t="str">
            <v>Altima 4 Cyl - Retail</v>
          </cell>
          <cell r="I8"/>
          <cell r="J8">
            <v>520</v>
          </cell>
          <cell r="K8">
            <v>12772775</v>
          </cell>
          <cell r="L8">
            <v>-206737</v>
          </cell>
          <cell r="M8">
            <v>0</v>
          </cell>
          <cell r="N8">
            <v>-398</v>
          </cell>
          <cell r="O8" t="str">
            <v>4</v>
          </cell>
        </row>
        <row r="9">
          <cell r="B9">
            <v>2</v>
          </cell>
          <cell r="C9">
            <v>58043</v>
          </cell>
          <cell r="D9">
            <v>1379</v>
          </cell>
          <cell r="E9">
            <v>0</v>
          </cell>
          <cell r="F9">
            <v>690</v>
          </cell>
          <cell r="G9">
            <v>4170</v>
          </cell>
          <cell r="H9" t="str">
            <v>Altima 6 Cyl - Retail</v>
          </cell>
          <cell r="I9"/>
          <cell r="J9">
            <v>14</v>
          </cell>
          <cell r="K9">
            <v>424694</v>
          </cell>
          <cell r="L9">
            <v>-1831</v>
          </cell>
          <cell r="M9">
            <v>0</v>
          </cell>
          <cell r="N9">
            <v>-131</v>
          </cell>
          <cell r="O9" t="str">
            <v>5</v>
          </cell>
        </row>
        <row r="10">
          <cell r="B10">
            <v>3</v>
          </cell>
          <cell r="C10">
            <v>110001</v>
          </cell>
          <cell r="D10">
            <v>4066</v>
          </cell>
          <cell r="E10">
            <v>0</v>
          </cell>
          <cell r="F10">
            <v>1355</v>
          </cell>
          <cell r="G10">
            <v>4050</v>
          </cell>
          <cell r="H10" t="str">
            <v>Maxima - Retail</v>
          </cell>
          <cell r="I10"/>
          <cell r="J10">
            <v>60</v>
          </cell>
          <cell r="K10">
            <v>2166061</v>
          </cell>
          <cell r="L10">
            <v>-3556</v>
          </cell>
          <cell r="M10">
            <v>0</v>
          </cell>
          <cell r="N10">
            <v>-59</v>
          </cell>
          <cell r="O10" t="str">
            <v>6</v>
          </cell>
        </row>
        <row r="11">
          <cell r="B11">
            <v>1</v>
          </cell>
          <cell r="C11">
            <v>30340</v>
          </cell>
          <cell r="D11">
            <v>-598</v>
          </cell>
          <cell r="E11">
            <v>0</v>
          </cell>
          <cell r="F11">
            <v>-598</v>
          </cell>
          <cell r="G11">
            <v>4010</v>
          </cell>
          <cell r="H11" t="str">
            <v>Z Coupe - Retail</v>
          </cell>
          <cell r="I11"/>
          <cell r="J11">
            <v>6</v>
          </cell>
          <cell r="K11">
            <v>246416</v>
          </cell>
          <cell r="L11">
            <v>6051</v>
          </cell>
          <cell r="M11">
            <v>0</v>
          </cell>
          <cell r="N11">
            <v>1009</v>
          </cell>
          <cell r="O11" t="str">
            <v>7</v>
          </cell>
        </row>
        <row r="12">
          <cell r="B12">
            <v>0</v>
          </cell>
          <cell r="C12">
            <v>0</v>
          </cell>
          <cell r="D12">
            <v>0</v>
          </cell>
          <cell r="E12">
            <v>0</v>
          </cell>
          <cell r="F12">
            <v>0</v>
          </cell>
          <cell r="G12">
            <v>4012</v>
          </cell>
          <cell r="H12" t="str">
            <v>Z Roadster - Retail</v>
          </cell>
          <cell r="I12"/>
          <cell r="J12">
            <v>0</v>
          </cell>
          <cell r="K12">
            <v>0</v>
          </cell>
          <cell r="L12">
            <v>0</v>
          </cell>
          <cell r="M12">
            <v>0</v>
          </cell>
          <cell r="N12">
            <v>0</v>
          </cell>
          <cell r="O12" t="str">
            <v>8</v>
          </cell>
        </row>
        <row r="13">
          <cell r="B13">
            <v>0</v>
          </cell>
          <cell r="C13">
            <v>0</v>
          </cell>
          <cell r="D13">
            <v>0</v>
          </cell>
          <cell r="E13">
            <v>0</v>
          </cell>
          <cell r="F13">
            <v>0</v>
          </cell>
          <cell r="G13">
            <v>4002</v>
          </cell>
          <cell r="H13" t="str">
            <v>GT-R - Retail</v>
          </cell>
          <cell r="I13"/>
          <cell r="J13">
            <v>1</v>
          </cell>
          <cell r="K13">
            <v>97300</v>
          </cell>
          <cell r="L13">
            <v>557</v>
          </cell>
          <cell r="M13">
            <v>0</v>
          </cell>
          <cell r="N13">
            <v>557</v>
          </cell>
          <cell r="O13" t="str">
            <v>9</v>
          </cell>
        </row>
        <row r="14">
          <cell r="B14">
            <v>0</v>
          </cell>
          <cell r="C14">
            <v>0</v>
          </cell>
          <cell r="D14">
            <v>0</v>
          </cell>
          <cell r="E14">
            <v>0</v>
          </cell>
          <cell r="F14">
            <v>0</v>
          </cell>
          <cell r="G14">
            <v>4011</v>
          </cell>
          <cell r="H14" t="str">
            <v>LEAF Electric Vehicle - Retail</v>
          </cell>
          <cell r="I14"/>
          <cell r="J14">
            <v>0</v>
          </cell>
          <cell r="K14">
            <v>0</v>
          </cell>
          <cell r="L14">
            <v>0</v>
          </cell>
          <cell r="M14">
            <v>0</v>
          </cell>
          <cell r="N14">
            <v>0</v>
          </cell>
          <cell r="O14" t="str">
            <v>10</v>
          </cell>
        </row>
        <row r="15">
          <cell r="B15">
            <v>0</v>
          </cell>
          <cell r="C15">
            <v>0</v>
          </cell>
          <cell r="D15">
            <v>0</v>
          </cell>
          <cell r="E15">
            <v>0</v>
          </cell>
          <cell r="F15">
            <v>0</v>
          </cell>
          <cell r="G15">
            <v>4024</v>
          </cell>
          <cell r="H15" t="str">
            <v>Pathfinder HEV - Retail</v>
          </cell>
          <cell r="I15"/>
          <cell r="J15">
            <v>0</v>
          </cell>
          <cell r="K15">
            <v>0</v>
          </cell>
          <cell r="L15">
            <v>0</v>
          </cell>
          <cell r="M15">
            <v>0</v>
          </cell>
          <cell r="N15">
            <v>0</v>
          </cell>
          <cell r="O15" t="str">
            <v>11</v>
          </cell>
        </row>
        <row r="16">
          <cell r="B16">
            <v>7</v>
          </cell>
          <cell r="C16">
            <v>259057</v>
          </cell>
          <cell r="D16">
            <v>4291</v>
          </cell>
          <cell r="E16">
            <v>0</v>
          </cell>
          <cell r="F16">
            <v>613</v>
          </cell>
          <cell r="G16">
            <v>4022</v>
          </cell>
          <cell r="H16" t="str">
            <v>Pathfinder - Retail</v>
          </cell>
          <cell r="I16"/>
          <cell r="J16">
            <v>93</v>
          </cell>
          <cell r="K16">
            <v>3226784</v>
          </cell>
          <cell r="L16">
            <v>4263</v>
          </cell>
          <cell r="M16">
            <v>0</v>
          </cell>
          <cell r="N16">
            <v>46</v>
          </cell>
          <cell r="O16" t="str">
            <v>12</v>
          </cell>
        </row>
        <row r="17">
          <cell r="B17">
            <v>0</v>
          </cell>
          <cell r="C17">
            <v>0</v>
          </cell>
          <cell r="D17">
            <v>0</v>
          </cell>
          <cell r="E17">
            <v>0</v>
          </cell>
          <cell r="F17">
            <v>0</v>
          </cell>
          <cell r="G17">
            <v>4034</v>
          </cell>
          <cell r="H17" t="str">
            <v>JUKE - Retail</v>
          </cell>
          <cell r="I17"/>
          <cell r="J17">
            <v>23</v>
          </cell>
          <cell r="K17">
            <v>548310</v>
          </cell>
          <cell r="L17">
            <v>-12085</v>
          </cell>
          <cell r="M17">
            <v>0</v>
          </cell>
          <cell r="N17">
            <v>-525</v>
          </cell>
          <cell r="O17" t="str">
            <v>13</v>
          </cell>
        </row>
        <row r="18">
          <cell r="B18">
            <v>0</v>
          </cell>
          <cell r="C18">
            <v>0</v>
          </cell>
          <cell r="D18">
            <v>0</v>
          </cell>
          <cell r="E18">
            <v>0</v>
          </cell>
          <cell r="F18">
            <v>0</v>
          </cell>
          <cell r="G18">
            <v>4130</v>
          </cell>
          <cell r="H18" t="str">
            <v>Quest - Retail</v>
          </cell>
          <cell r="I18"/>
          <cell r="J18">
            <v>13</v>
          </cell>
          <cell r="K18">
            <v>391716</v>
          </cell>
          <cell r="L18">
            <v>-6811</v>
          </cell>
          <cell r="M18">
            <v>0</v>
          </cell>
          <cell r="N18">
            <v>-524</v>
          </cell>
          <cell r="O18" t="str">
            <v>14</v>
          </cell>
        </row>
        <row r="19">
          <cell r="B19">
            <v>0</v>
          </cell>
          <cell r="C19">
            <v>0</v>
          </cell>
          <cell r="D19">
            <v>0</v>
          </cell>
          <cell r="E19">
            <v>0</v>
          </cell>
          <cell r="F19">
            <v>0</v>
          </cell>
          <cell r="G19">
            <v>4142</v>
          </cell>
          <cell r="H19" t="str">
            <v>Xterra - Retail</v>
          </cell>
          <cell r="I19"/>
          <cell r="J19">
            <v>0</v>
          </cell>
          <cell r="K19">
            <v>0</v>
          </cell>
          <cell r="L19">
            <v>0</v>
          </cell>
          <cell r="M19">
            <v>0</v>
          </cell>
          <cell r="N19">
            <v>0</v>
          </cell>
          <cell r="O19" t="str">
            <v>15</v>
          </cell>
        </row>
        <row r="20">
          <cell r="B20">
            <v>45</v>
          </cell>
          <cell r="C20">
            <v>1153420</v>
          </cell>
          <cell r="D20">
            <v>-27425</v>
          </cell>
          <cell r="E20">
            <v>0</v>
          </cell>
          <cell r="F20">
            <v>-609</v>
          </cell>
          <cell r="G20">
            <v>4112</v>
          </cell>
          <cell r="H20" t="str">
            <v>Rogue - Retail</v>
          </cell>
          <cell r="I20"/>
          <cell r="J20">
            <v>311</v>
          </cell>
          <cell r="K20">
            <v>8108001</v>
          </cell>
          <cell r="L20">
            <v>-93328</v>
          </cell>
          <cell r="M20">
            <v>0</v>
          </cell>
          <cell r="N20">
            <v>-300</v>
          </cell>
          <cell r="O20" t="str">
            <v>16</v>
          </cell>
        </row>
        <row r="21">
          <cell r="B21">
            <v>0</v>
          </cell>
          <cell r="C21">
            <v>0</v>
          </cell>
          <cell r="D21">
            <v>0</v>
          </cell>
          <cell r="E21">
            <v>0</v>
          </cell>
          <cell r="F21">
            <v>0</v>
          </cell>
          <cell r="G21">
            <v>4026</v>
          </cell>
          <cell r="H21" t="str">
            <v>Rogue Select - Retail</v>
          </cell>
          <cell r="I21"/>
          <cell r="J21">
            <v>1</v>
          </cell>
          <cell r="K21">
            <v>26706</v>
          </cell>
          <cell r="L21">
            <v>3245</v>
          </cell>
          <cell r="M21">
            <v>0</v>
          </cell>
          <cell r="N21">
            <v>3245</v>
          </cell>
          <cell r="O21" t="str">
            <v>17</v>
          </cell>
        </row>
        <row r="22">
          <cell r="B22">
            <v>0</v>
          </cell>
          <cell r="C22">
            <v>0</v>
          </cell>
          <cell r="D22">
            <v>0</v>
          </cell>
          <cell r="E22">
            <v>0</v>
          </cell>
          <cell r="F22">
            <v>0</v>
          </cell>
          <cell r="G22">
            <v>4113</v>
          </cell>
          <cell r="H22" t="str">
            <v>Rogue HEV - Retail</v>
          </cell>
          <cell r="I22"/>
          <cell r="J22">
            <v>0</v>
          </cell>
          <cell r="K22">
            <v>0</v>
          </cell>
          <cell r="L22">
            <v>0</v>
          </cell>
          <cell r="M22">
            <v>0</v>
          </cell>
          <cell r="N22">
            <v>0</v>
          </cell>
          <cell r="O22" t="str">
            <v>18</v>
          </cell>
        </row>
        <row r="23">
          <cell r="B23">
            <v>9</v>
          </cell>
          <cell r="C23">
            <v>350995</v>
          </cell>
          <cell r="D23">
            <v>4423</v>
          </cell>
          <cell r="E23">
            <v>0</v>
          </cell>
          <cell r="F23">
            <v>491</v>
          </cell>
          <cell r="G23">
            <v>4092</v>
          </cell>
          <cell r="H23" t="str">
            <v>Murano - Retail</v>
          </cell>
          <cell r="I23"/>
          <cell r="J23">
            <v>67</v>
          </cell>
          <cell r="K23">
            <v>2551682</v>
          </cell>
          <cell r="L23">
            <v>7087</v>
          </cell>
          <cell r="M23">
            <v>0</v>
          </cell>
          <cell r="N23">
            <v>106</v>
          </cell>
          <cell r="O23" t="str">
            <v>19</v>
          </cell>
        </row>
        <row r="24">
          <cell r="B24">
            <v>0</v>
          </cell>
          <cell r="C24">
            <v>0</v>
          </cell>
          <cell r="D24">
            <v>0</v>
          </cell>
          <cell r="E24">
            <v>0</v>
          </cell>
          <cell r="F24">
            <v>0</v>
          </cell>
          <cell r="G24">
            <v>4122</v>
          </cell>
          <cell r="H24" t="str">
            <v>Murano HEV - Retail</v>
          </cell>
          <cell r="I24"/>
          <cell r="J24">
            <v>0</v>
          </cell>
          <cell r="K24">
            <v>0</v>
          </cell>
          <cell r="L24">
            <v>0</v>
          </cell>
          <cell r="M24">
            <v>0</v>
          </cell>
          <cell r="N24">
            <v>0</v>
          </cell>
          <cell r="O24" t="str">
            <v>20</v>
          </cell>
        </row>
        <row r="25">
          <cell r="B25">
            <v>4</v>
          </cell>
          <cell r="C25">
            <v>229290</v>
          </cell>
          <cell r="D25">
            <v>1321</v>
          </cell>
          <cell r="E25">
            <v>0</v>
          </cell>
          <cell r="F25">
            <v>330</v>
          </cell>
          <cell r="G25">
            <v>4032</v>
          </cell>
          <cell r="H25" t="str">
            <v>Armada - Retail</v>
          </cell>
          <cell r="I25"/>
          <cell r="J25">
            <v>14</v>
          </cell>
          <cell r="K25">
            <v>702378</v>
          </cell>
          <cell r="L25">
            <v>-1878</v>
          </cell>
          <cell r="M25">
            <v>0</v>
          </cell>
          <cell r="N25">
            <v>-134</v>
          </cell>
          <cell r="O25" t="str">
            <v>21</v>
          </cell>
        </row>
        <row r="26">
          <cell r="B26">
            <v>1</v>
          </cell>
          <cell r="C26">
            <v>20598</v>
          </cell>
          <cell r="D26">
            <v>-2018</v>
          </cell>
          <cell r="E26">
            <v>0</v>
          </cell>
          <cell r="F26">
            <v>-2018</v>
          </cell>
          <cell r="G26">
            <v>4082</v>
          </cell>
          <cell r="H26" t="str">
            <v>Frontier King Cab - Retail</v>
          </cell>
          <cell r="I26"/>
          <cell r="J26">
            <v>35</v>
          </cell>
          <cell r="K26">
            <v>804303</v>
          </cell>
          <cell r="L26">
            <v>-16237</v>
          </cell>
          <cell r="M26">
            <v>0</v>
          </cell>
          <cell r="N26">
            <v>-464</v>
          </cell>
          <cell r="O26" t="str">
            <v>22</v>
          </cell>
        </row>
        <row r="27">
          <cell r="B27">
            <v>6</v>
          </cell>
          <cell r="C27">
            <v>186442</v>
          </cell>
          <cell r="D27">
            <v>1197</v>
          </cell>
          <cell r="E27">
            <v>0</v>
          </cell>
          <cell r="F27">
            <v>200</v>
          </cell>
          <cell r="G27">
            <v>4182</v>
          </cell>
          <cell r="H27" t="str">
            <v>Frontier Crew Cab - Retail</v>
          </cell>
          <cell r="I27"/>
          <cell r="J27">
            <v>83</v>
          </cell>
          <cell r="K27">
            <v>2378412</v>
          </cell>
          <cell r="L27">
            <v>-16363</v>
          </cell>
          <cell r="M27">
            <v>0</v>
          </cell>
          <cell r="N27">
            <v>-197</v>
          </cell>
          <cell r="O27" t="str">
            <v>23</v>
          </cell>
        </row>
        <row r="28">
          <cell r="B28">
            <v>0</v>
          </cell>
          <cell r="C28">
            <v>0</v>
          </cell>
          <cell r="D28">
            <v>0</v>
          </cell>
          <cell r="E28">
            <v>0</v>
          </cell>
          <cell r="F28">
            <v>0</v>
          </cell>
          <cell r="G28">
            <v>4150</v>
          </cell>
          <cell r="H28" t="str">
            <v>Titan King Cab - Retail</v>
          </cell>
          <cell r="I28"/>
          <cell r="J28">
            <v>2</v>
          </cell>
          <cell r="K28">
            <v>65328</v>
          </cell>
          <cell r="L28">
            <v>-1419</v>
          </cell>
          <cell r="M28">
            <v>0</v>
          </cell>
          <cell r="N28">
            <v>-710</v>
          </cell>
          <cell r="O28" t="str">
            <v>24</v>
          </cell>
        </row>
        <row r="29">
          <cell r="B29">
            <v>4</v>
          </cell>
          <cell r="C29">
            <v>179075</v>
          </cell>
          <cell r="D29">
            <v>5859</v>
          </cell>
          <cell r="E29">
            <v>0</v>
          </cell>
          <cell r="F29">
            <v>1465</v>
          </cell>
          <cell r="G29">
            <v>4152</v>
          </cell>
          <cell r="H29" t="str">
            <v>Titan Crew Cab - Retail</v>
          </cell>
          <cell r="I29"/>
          <cell r="J29">
            <v>9</v>
          </cell>
          <cell r="K29">
            <v>390943</v>
          </cell>
          <cell r="L29">
            <v>9383</v>
          </cell>
          <cell r="M29">
            <v>0</v>
          </cell>
          <cell r="N29">
            <v>1043</v>
          </cell>
          <cell r="O29" t="str">
            <v>25</v>
          </cell>
        </row>
        <row r="30">
          <cell r="B30">
            <v>2</v>
          </cell>
          <cell r="C30">
            <v>74055</v>
          </cell>
          <cell r="D30">
            <v>5693</v>
          </cell>
          <cell r="E30">
            <v>0</v>
          </cell>
          <cell r="F30">
            <v>2847</v>
          </cell>
          <cell r="G30">
            <v>4140</v>
          </cell>
          <cell r="H30" t="str">
            <v>Titan Single Cab - Retail</v>
          </cell>
          <cell r="I30"/>
          <cell r="J30">
            <v>2</v>
          </cell>
          <cell r="K30">
            <v>74055</v>
          </cell>
          <cell r="L30">
            <v>5693</v>
          </cell>
          <cell r="M30">
            <v>0</v>
          </cell>
          <cell r="N30">
            <v>2847</v>
          </cell>
          <cell r="O30" t="str">
            <v>26</v>
          </cell>
        </row>
        <row r="31">
          <cell r="B31">
            <v>0</v>
          </cell>
          <cell r="C31">
            <v>0</v>
          </cell>
          <cell r="D31">
            <v>0</v>
          </cell>
          <cell r="E31">
            <v>0</v>
          </cell>
          <cell r="F31">
            <v>0</v>
          </cell>
          <cell r="G31">
            <v>4156</v>
          </cell>
          <cell r="H31" t="str">
            <v>Titan XD King Cab - Retail</v>
          </cell>
          <cell r="I31"/>
          <cell r="J31">
            <v>0</v>
          </cell>
          <cell r="K31">
            <v>0</v>
          </cell>
          <cell r="L31">
            <v>0</v>
          </cell>
          <cell r="M31">
            <v>0</v>
          </cell>
          <cell r="N31">
            <v>0</v>
          </cell>
          <cell r="O31" t="str">
            <v>27</v>
          </cell>
        </row>
        <row r="32">
          <cell r="B32">
            <v>2</v>
          </cell>
          <cell r="C32">
            <v>92040</v>
          </cell>
          <cell r="D32">
            <v>-3299</v>
          </cell>
          <cell r="E32">
            <v>0</v>
          </cell>
          <cell r="F32">
            <v>-1650</v>
          </cell>
          <cell r="G32">
            <v>4158</v>
          </cell>
          <cell r="H32" t="str">
            <v>Titan XD Crew Cab - Retail</v>
          </cell>
          <cell r="I32"/>
          <cell r="J32">
            <v>18</v>
          </cell>
          <cell r="K32">
            <v>921704</v>
          </cell>
          <cell r="L32">
            <v>9714</v>
          </cell>
          <cell r="M32">
            <v>0</v>
          </cell>
          <cell r="N32">
            <v>540</v>
          </cell>
          <cell r="O32" t="str">
            <v>28</v>
          </cell>
        </row>
        <row r="33">
          <cell r="B33">
            <v>0</v>
          </cell>
          <cell r="C33">
            <v>0</v>
          </cell>
          <cell r="D33">
            <v>0</v>
          </cell>
          <cell r="E33">
            <v>0</v>
          </cell>
          <cell r="F33">
            <v>0</v>
          </cell>
          <cell r="G33">
            <v>4148</v>
          </cell>
          <cell r="H33" t="str">
            <v>Titan XD Single Cab - Retail</v>
          </cell>
          <cell r="I33"/>
          <cell r="J33">
            <v>0</v>
          </cell>
          <cell r="K33">
            <v>0</v>
          </cell>
          <cell r="L33">
            <v>0</v>
          </cell>
          <cell r="M33">
            <v>0</v>
          </cell>
          <cell r="N33">
            <v>0</v>
          </cell>
          <cell r="O33" t="str">
            <v>29</v>
          </cell>
        </row>
        <row r="34">
          <cell r="B34">
            <v>0</v>
          </cell>
          <cell r="C34">
            <v>0</v>
          </cell>
          <cell r="D34">
            <v>0</v>
          </cell>
          <cell r="E34">
            <v>0</v>
          </cell>
          <cell r="F34">
            <v>0</v>
          </cell>
          <cell r="G34">
            <v>4060</v>
          </cell>
          <cell r="H34" t="str">
            <v>Non-Current Models - Retail</v>
          </cell>
          <cell r="I34"/>
          <cell r="J34">
            <v>0</v>
          </cell>
          <cell r="K34">
            <v>0</v>
          </cell>
          <cell r="L34">
            <v>0</v>
          </cell>
          <cell r="M34">
            <v>0</v>
          </cell>
          <cell r="N34">
            <v>0</v>
          </cell>
          <cell r="O34" t="str">
            <v>30</v>
          </cell>
        </row>
        <row r="35">
          <cell r="B35">
            <v>175</v>
          </cell>
          <cell r="C35">
            <v>4596394</v>
          </cell>
          <cell r="D35">
            <v>-38695</v>
          </cell>
          <cell r="E35">
            <v>0</v>
          </cell>
          <cell r="F35">
            <v>-221</v>
          </cell>
          <cell r="G35" t="str">
            <v>SUBTOTAL NISSAN VEHICLE - RETAIL</v>
          </cell>
          <cell r="H35"/>
          <cell r="I35" t="str">
            <v xml:space="preserve">(Lines 1 to 30) </v>
          </cell>
          <cell r="J35">
            <v>1972</v>
          </cell>
          <cell r="K35">
            <v>48490601</v>
          </cell>
          <cell r="L35">
            <v>-688447</v>
          </cell>
          <cell r="M35">
            <v>0</v>
          </cell>
          <cell r="N35">
            <v>-349</v>
          </cell>
          <cell r="O35" t="str">
            <v>31</v>
          </cell>
        </row>
        <row r="36">
          <cell r="B36">
            <v>0</v>
          </cell>
          <cell r="C36">
            <v>0</v>
          </cell>
          <cell r="D36">
            <v>0</v>
          </cell>
          <cell r="E36">
            <v>0</v>
          </cell>
          <cell r="F36">
            <v>0</v>
          </cell>
          <cell r="G36">
            <v>4047</v>
          </cell>
          <cell r="H36" t="str">
            <v>Versa Note / Hatch - Lease</v>
          </cell>
          <cell r="I36"/>
          <cell r="J36">
            <v>0</v>
          </cell>
          <cell r="K36">
            <v>0</v>
          </cell>
          <cell r="L36">
            <v>0</v>
          </cell>
          <cell r="M36">
            <v>0</v>
          </cell>
          <cell r="N36">
            <v>0</v>
          </cell>
          <cell r="O36" t="str">
            <v>32</v>
          </cell>
        </row>
        <row r="37">
          <cell r="B37">
            <v>0</v>
          </cell>
          <cell r="C37">
            <v>0</v>
          </cell>
          <cell r="D37">
            <v>0</v>
          </cell>
          <cell r="E37">
            <v>0</v>
          </cell>
          <cell r="F37">
            <v>0</v>
          </cell>
          <cell r="G37">
            <v>4057</v>
          </cell>
          <cell r="H37" t="str">
            <v>Versa Sedan - Lease</v>
          </cell>
          <cell r="I37"/>
          <cell r="J37">
            <v>0</v>
          </cell>
          <cell r="K37">
            <v>0</v>
          </cell>
          <cell r="L37">
            <v>0</v>
          </cell>
          <cell r="M37">
            <v>0</v>
          </cell>
          <cell r="N37">
            <v>0</v>
          </cell>
          <cell r="O37" t="str">
            <v>33</v>
          </cell>
        </row>
        <row r="38">
          <cell r="B38">
            <v>1</v>
          </cell>
          <cell r="C38">
            <v>18092</v>
          </cell>
          <cell r="D38">
            <v>-1227</v>
          </cell>
          <cell r="E38">
            <v>0</v>
          </cell>
          <cell r="F38">
            <v>-1227</v>
          </cell>
          <cell r="G38">
            <v>4005</v>
          </cell>
          <cell r="H38" t="str">
            <v>Sentra - Lease</v>
          </cell>
          <cell r="I38"/>
          <cell r="J38">
            <v>16</v>
          </cell>
          <cell r="K38">
            <v>302944</v>
          </cell>
          <cell r="L38">
            <v>-13606</v>
          </cell>
          <cell r="M38">
            <v>0</v>
          </cell>
          <cell r="N38">
            <v>-850</v>
          </cell>
          <cell r="O38" t="str">
            <v>34</v>
          </cell>
        </row>
        <row r="39">
          <cell r="B39">
            <v>2</v>
          </cell>
          <cell r="C39">
            <v>48919</v>
          </cell>
          <cell r="D39">
            <v>447</v>
          </cell>
          <cell r="E39">
            <v>0</v>
          </cell>
          <cell r="F39">
            <v>224</v>
          </cell>
          <cell r="G39">
            <v>4075</v>
          </cell>
          <cell r="H39" t="str">
            <v>Altima 4 Cyl - Lease</v>
          </cell>
          <cell r="I39"/>
          <cell r="J39">
            <v>25</v>
          </cell>
          <cell r="K39">
            <v>661856</v>
          </cell>
          <cell r="L39">
            <v>-7689</v>
          </cell>
          <cell r="M39">
            <v>0</v>
          </cell>
          <cell r="N39">
            <v>-308</v>
          </cell>
          <cell r="O39" t="str">
            <v>35</v>
          </cell>
        </row>
        <row r="40">
          <cell r="B40">
            <v>0</v>
          </cell>
          <cell r="C40">
            <v>0</v>
          </cell>
          <cell r="D40">
            <v>0</v>
          </cell>
          <cell r="E40">
            <v>0</v>
          </cell>
          <cell r="F40">
            <v>0</v>
          </cell>
          <cell r="G40">
            <v>4175</v>
          </cell>
          <cell r="H40" t="str">
            <v>Altima 6 Cyl - Lease</v>
          </cell>
          <cell r="I40"/>
          <cell r="J40">
            <v>2</v>
          </cell>
          <cell r="K40">
            <v>56512</v>
          </cell>
          <cell r="L40">
            <v>-2739</v>
          </cell>
          <cell r="M40">
            <v>0</v>
          </cell>
          <cell r="N40">
            <v>-1370</v>
          </cell>
          <cell r="O40" t="str">
            <v>36</v>
          </cell>
        </row>
        <row r="41">
          <cell r="B41">
            <v>1</v>
          </cell>
          <cell r="C41">
            <v>34025</v>
          </cell>
          <cell r="D41">
            <v>-3234</v>
          </cell>
          <cell r="E41">
            <v>0</v>
          </cell>
          <cell r="F41">
            <v>-3234</v>
          </cell>
          <cell r="G41">
            <v>4055</v>
          </cell>
          <cell r="H41" t="str">
            <v>Maxima - Lease</v>
          </cell>
          <cell r="I41"/>
          <cell r="J41">
            <v>18</v>
          </cell>
          <cell r="K41">
            <v>636510</v>
          </cell>
          <cell r="L41">
            <v>-14299</v>
          </cell>
          <cell r="M41">
            <v>0</v>
          </cell>
          <cell r="N41">
            <v>-794</v>
          </cell>
          <cell r="O41" t="str">
            <v>37</v>
          </cell>
        </row>
        <row r="42">
          <cell r="B42">
            <v>0</v>
          </cell>
          <cell r="C42">
            <v>0</v>
          </cell>
          <cell r="D42">
            <v>0</v>
          </cell>
          <cell r="E42">
            <v>0</v>
          </cell>
          <cell r="F42">
            <v>0</v>
          </cell>
          <cell r="G42">
            <v>4015</v>
          </cell>
          <cell r="H42" t="str">
            <v>Z Coupe - Lease</v>
          </cell>
          <cell r="I42"/>
          <cell r="J42">
            <v>0</v>
          </cell>
          <cell r="K42">
            <v>0</v>
          </cell>
          <cell r="L42">
            <v>0</v>
          </cell>
          <cell r="M42">
            <v>0</v>
          </cell>
          <cell r="N42">
            <v>0</v>
          </cell>
          <cell r="O42" t="str">
            <v>38</v>
          </cell>
        </row>
        <row r="43">
          <cell r="B43">
            <v>0</v>
          </cell>
          <cell r="C43">
            <v>0</v>
          </cell>
          <cell r="D43">
            <v>0</v>
          </cell>
          <cell r="E43">
            <v>0</v>
          </cell>
          <cell r="F43">
            <v>0</v>
          </cell>
          <cell r="G43">
            <v>4017</v>
          </cell>
          <cell r="H43" t="str">
            <v>Z Roadster - Lease</v>
          </cell>
          <cell r="I43"/>
          <cell r="J43">
            <v>0</v>
          </cell>
          <cell r="K43">
            <v>0</v>
          </cell>
          <cell r="L43">
            <v>0</v>
          </cell>
          <cell r="M43">
            <v>0</v>
          </cell>
          <cell r="N43">
            <v>0</v>
          </cell>
          <cell r="O43" t="str">
            <v>39</v>
          </cell>
        </row>
        <row r="44">
          <cell r="B44">
            <v>0</v>
          </cell>
          <cell r="C44">
            <v>0</v>
          </cell>
          <cell r="D44">
            <v>0</v>
          </cell>
          <cell r="E44">
            <v>0</v>
          </cell>
          <cell r="F44">
            <v>0</v>
          </cell>
          <cell r="G44">
            <v>4007</v>
          </cell>
          <cell r="H44" t="str">
            <v>GT-R - Lease</v>
          </cell>
          <cell r="I44"/>
          <cell r="J44">
            <v>0</v>
          </cell>
          <cell r="K44">
            <v>0</v>
          </cell>
          <cell r="L44">
            <v>0</v>
          </cell>
          <cell r="M44">
            <v>0</v>
          </cell>
          <cell r="N44">
            <v>0</v>
          </cell>
          <cell r="O44" t="str">
            <v>40</v>
          </cell>
        </row>
        <row r="45">
          <cell r="B45">
            <v>0</v>
          </cell>
          <cell r="C45">
            <v>0</v>
          </cell>
          <cell r="D45">
            <v>0</v>
          </cell>
          <cell r="E45">
            <v>0</v>
          </cell>
          <cell r="F45">
            <v>0</v>
          </cell>
          <cell r="G45">
            <v>4013</v>
          </cell>
          <cell r="H45" t="str">
            <v>LEAF Electric Vehicle - Lease</v>
          </cell>
          <cell r="I45"/>
          <cell r="J45">
            <v>1</v>
          </cell>
          <cell r="K45">
            <v>29998</v>
          </cell>
          <cell r="L45">
            <v>-2463</v>
          </cell>
          <cell r="M45">
            <v>0</v>
          </cell>
          <cell r="N45">
            <v>-2463</v>
          </cell>
          <cell r="O45" t="str">
            <v>41</v>
          </cell>
        </row>
        <row r="46">
          <cell r="B46">
            <v>0</v>
          </cell>
          <cell r="C46">
            <v>0</v>
          </cell>
          <cell r="D46">
            <v>0</v>
          </cell>
          <cell r="E46">
            <v>0</v>
          </cell>
          <cell r="F46">
            <v>0</v>
          </cell>
          <cell r="G46">
            <v>4025</v>
          </cell>
          <cell r="H46" t="str">
            <v>Pathfinder HEV - Lease</v>
          </cell>
          <cell r="I46"/>
          <cell r="J46">
            <v>0</v>
          </cell>
          <cell r="K46">
            <v>0</v>
          </cell>
          <cell r="L46">
            <v>0</v>
          </cell>
          <cell r="M46">
            <v>0</v>
          </cell>
          <cell r="N46">
            <v>0</v>
          </cell>
          <cell r="O46" t="str">
            <v>42</v>
          </cell>
        </row>
        <row r="47">
          <cell r="B47">
            <v>0</v>
          </cell>
          <cell r="C47">
            <v>0</v>
          </cell>
          <cell r="D47">
            <v>0</v>
          </cell>
          <cell r="E47">
            <v>0</v>
          </cell>
          <cell r="F47">
            <v>0</v>
          </cell>
          <cell r="G47">
            <v>4027</v>
          </cell>
          <cell r="H47" t="str">
            <v>Pathfinder - Lease</v>
          </cell>
          <cell r="I47"/>
          <cell r="J47">
            <v>3</v>
          </cell>
          <cell r="K47">
            <v>108977</v>
          </cell>
          <cell r="L47">
            <v>-6682</v>
          </cell>
          <cell r="M47">
            <v>0</v>
          </cell>
          <cell r="N47">
            <v>-2227</v>
          </cell>
          <cell r="O47" t="str">
            <v>43</v>
          </cell>
        </row>
        <row r="48">
          <cell r="B48">
            <v>0</v>
          </cell>
          <cell r="C48">
            <v>0</v>
          </cell>
          <cell r="D48">
            <v>0</v>
          </cell>
          <cell r="E48">
            <v>0</v>
          </cell>
          <cell r="F48">
            <v>0</v>
          </cell>
          <cell r="G48">
            <v>4039</v>
          </cell>
          <cell r="H48" t="str">
            <v>JUKE - Lease</v>
          </cell>
          <cell r="I48"/>
          <cell r="J48">
            <v>0</v>
          </cell>
          <cell r="K48">
            <v>0</v>
          </cell>
          <cell r="L48">
            <v>0</v>
          </cell>
          <cell r="M48">
            <v>0</v>
          </cell>
          <cell r="N48">
            <v>0</v>
          </cell>
          <cell r="O48" t="str">
            <v>44</v>
          </cell>
        </row>
        <row r="49">
          <cell r="B49">
            <v>0</v>
          </cell>
          <cell r="C49">
            <v>0</v>
          </cell>
          <cell r="D49">
            <v>0</v>
          </cell>
          <cell r="E49">
            <v>0</v>
          </cell>
          <cell r="F49">
            <v>0</v>
          </cell>
          <cell r="G49">
            <v>4135</v>
          </cell>
          <cell r="H49" t="str">
            <v>Quest - Lease</v>
          </cell>
          <cell r="I49"/>
          <cell r="J49">
            <v>0</v>
          </cell>
          <cell r="K49">
            <v>0</v>
          </cell>
          <cell r="L49">
            <v>0</v>
          </cell>
          <cell r="M49">
            <v>0</v>
          </cell>
          <cell r="N49">
            <v>0</v>
          </cell>
          <cell r="O49" t="str">
            <v>45</v>
          </cell>
        </row>
        <row r="50">
          <cell r="B50">
            <v>0</v>
          </cell>
          <cell r="C50">
            <v>0</v>
          </cell>
          <cell r="D50">
            <v>0</v>
          </cell>
          <cell r="E50">
            <v>0</v>
          </cell>
          <cell r="F50">
            <v>0</v>
          </cell>
          <cell r="G50">
            <v>4147</v>
          </cell>
          <cell r="H50" t="str">
            <v>Xterra - Lease</v>
          </cell>
          <cell r="I50"/>
          <cell r="J50">
            <v>0</v>
          </cell>
          <cell r="K50">
            <v>0</v>
          </cell>
          <cell r="L50">
            <v>0</v>
          </cell>
          <cell r="M50">
            <v>0</v>
          </cell>
          <cell r="N50">
            <v>0</v>
          </cell>
          <cell r="O50" t="str">
            <v>46</v>
          </cell>
        </row>
        <row r="51">
          <cell r="B51">
            <v>3</v>
          </cell>
          <cell r="C51">
            <v>82538</v>
          </cell>
          <cell r="D51">
            <v>-5024</v>
          </cell>
          <cell r="E51">
            <v>0</v>
          </cell>
          <cell r="F51">
            <v>-1675</v>
          </cell>
          <cell r="G51">
            <v>4117</v>
          </cell>
          <cell r="H51" t="str">
            <v>Rogue - Lease</v>
          </cell>
          <cell r="I51"/>
          <cell r="J51">
            <v>19</v>
          </cell>
          <cell r="K51">
            <v>537572</v>
          </cell>
          <cell r="L51">
            <v>1129</v>
          </cell>
          <cell r="M51">
            <v>0</v>
          </cell>
          <cell r="N51">
            <v>59</v>
          </cell>
          <cell r="O51" t="str">
            <v>47</v>
          </cell>
        </row>
        <row r="52">
          <cell r="B52">
            <v>0</v>
          </cell>
          <cell r="C52">
            <v>0</v>
          </cell>
          <cell r="D52">
            <v>0</v>
          </cell>
          <cell r="E52">
            <v>0</v>
          </cell>
          <cell r="F52">
            <v>0</v>
          </cell>
          <cell r="G52">
            <v>4028</v>
          </cell>
          <cell r="H52" t="str">
            <v>Rogue Select - Lease</v>
          </cell>
          <cell r="I52"/>
          <cell r="J52">
            <v>0</v>
          </cell>
          <cell r="K52">
            <v>0</v>
          </cell>
          <cell r="L52">
            <v>0</v>
          </cell>
          <cell r="M52">
            <v>0</v>
          </cell>
          <cell r="N52">
            <v>0</v>
          </cell>
          <cell r="O52" t="str">
            <v>48</v>
          </cell>
        </row>
        <row r="53">
          <cell r="B53">
            <v>0</v>
          </cell>
          <cell r="C53">
            <v>0</v>
          </cell>
          <cell r="D53">
            <v>0</v>
          </cell>
          <cell r="E53">
            <v>0</v>
          </cell>
          <cell r="F53">
            <v>0</v>
          </cell>
          <cell r="G53">
            <v>4114</v>
          </cell>
          <cell r="H53" t="str">
            <v xml:space="preserve">Rogue HEV - Lease </v>
          </cell>
          <cell r="I53"/>
          <cell r="J53">
            <v>0</v>
          </cell>
          <cell r="K53">
            <v>0</v>
          </cell>
          <cell r="L53">
            <v>0</v>
          </cell>
          <cell r="M53">
            <v>0</v>
          </cell>
          <cell r="N53">
            <v>0</v>
          </cell>
          <cell r="O53" t="str">
            <v>49</v>
          </cell>
        </row>
        <row r="54">
          <cell r="B54">
            <v>1</v>
          </cell>
          <cell r="C54">
            <v>38773</v>
          </cell>
          <cell r="D54">
            <v>-2029</v>
          </cell>
          <cell r="E54">
            <v>0</v>
          </cell>
          <cell r="F54">
            <v>-2029</v>
          </cell>
          <cell r="G54">
            <v>4097</v>
          </cell>
          <cell r="H54" t="str">
            <v>Murano - Lease</v>
          </cell>
          <cell r="I54"/>
          <cell r="J54">
            <v>9</v>
          </cell>
          <cell r="K54">
            <v>351479</v>
          </cell>
          <cell r="L54">
            <v>-2495</v>
          </cell>
          <cell r="M54">
            <v>0</v>
          </cell>
          <cell r="N54">
            <v>-277</v>
          </cell>
          <cell r="O54" t="str">
            <v>50</v>
          </cell>
        </row>
        <row r="55">
          <cell r="B55">
            <v>0</v>
          </cell>
          <cell r="C55">
            <v>0</v>
          </cell>
          <cell r="D55">
            <v>0</v>
          </cell>
          <cell r="E55">
            <v>0</v>
          </cell>
          <cell r="F55">
            <v>0</v>
          </cell>
          <cell r="G55">
            <v>4127</v>
          </cell>
          <cell r="H55" t="str">
            <v>Murano HEV - Lease</v>
          </cell>
          <cell r="I55"/>
          <cell r="J55">
            <v>0</v>
          </cell>
          <cell r="K55">
            <v>0</v>
          </cell>
          <cell r="L55">
            <v>0</v>
          </cell>
          <cell r="M55">
            <v>0</v>
          </cell>
          <cell r="N55">
            <v>0</v>
          </cell>
          <cell r="O55" t="str">
            <v>51</v>
          </cell>
        </row>
        <row r="56">
          <cell r="B56">
            <v>0</v>
          </cell>
          <cell r="C56">
            <v>0</v>
          </cell>
          <cell r="D56">
            <v>0</v>
          </cell>
          <cell r="E56">
            <v>0</v>
          </cell>
          <cell r="F56">
            <v>0</v>
          </cell>
          <cell r="G56">
            <v>4037</v>
          </cell>
          <cell r="H56" t="str">
            <v>Armada - Lease</v>
          </cell>
          <cell r="I56"/>
          <cell r="J56">
            <v>0</v>
          </cell>
          <cell r="K56">
            <v>0</v>
          </cell>
          <cell r="L56">
            <v>0</v>
          </cell>
          <cell r="M56">
            <v>0</v>
          </cell>
          <cell r="N56">
            <v>0</v>
          </cell>
          <cell r="O56" t="str">
            <v>52</v>
          </cell>
        </row>
        <row r="57">
          <cell r="B57">
            <v>0</v>
          </cell>
          <cell r="C57">
            <v>0</v>
          </cell>
          <cell r="D57">
            <v>0</v>
          </cell>
          <cell r="E57">
            <v>0</v>
          </cell>
          <cell r="F57">
            <v>0</v>
          </cell>
          <cell r="G57">
            <v>4087</v>
          </cell>
          <cell r="H57" t="str">
            <v>Frontier King Cab - Lease</v>
          </cell>
          <cell r="I57"/>
          <cell r="J57">
            <v>0</v>
          </cell>
          <cell r="K57">
            <v>0</v>
          </cell>
          <cell r="L57">
            <v>0</v>
          </cell>
          <cell r="M57">
            <v>0</v>
          </cell>
          <cell r="N57">
            <v>0</v>
          </cell>
          <cell r="O57" t="str">
            <v>53</v>
          </cell>
        </row>
        <row r="58">
          <cell r="B58">
            <v>0</v>
          </cell>
          <cell r="C58">
            <v>0</v>
          </cell>
          <cell r="D58">
            <v>0</v>
          </cell>
          <cell r="E58">
            <v>0</v>
          </cell>
          <cell r="F58">
            <v>0</v>
          </cell>
          <cell r="G58">
            <v>4187</v>
          </cell>
          <cell r="H58" t="str">
            <v>Frontier Crew Cab - Lease</v>
          </cell>
          <cell r="I58"/>
          <cell r="J58">
            <v>1</v>
          </cell>
          <cell r="K58">
            <v>24730</v>
          </cell>
          <cell r="L58">
            <v>-1870</v>
          </cell>
          <cell r="M58">
            <v>0</v>
          </cell>
          <cell r="N58">
            <v>-1870</v>
          </cell>
          <cell r="O58" t="str">
            <v>54</v>
          </cell>
        </row>
        <row r="59">
          <cell r="B59">
            <v>0</v>
          </cell>
          <cell r="C59">
            <v>0</v>
          </cell>
          <cell r="D59">
            <v>0</v>
          </cell>
          <cell r="E59">
            <v>0</v>
          </cell>
          <cell r="F59">
            <v>0</v>
          </cell>
          <cell r="G59">
            <v>4155</v>
          </cell>
          <cell r="H59" t="str">
            <v>Titan King Cab - Lease</v>
          </cell>
          <cell r="I59"/>
          <cell r="J59">
            <v>0</v>
          </cell>
          <cell r="K59">
            <v>0</v>
          </cell>
          <cell r="L59">
            <v>0</v>
          </cell>
          <cell r="M59">
            <v>0</v>
          </cell>
          <cell r="N59">
            <v>0</v>
          </cell>
          <cell r="O59" t="str">
            <v>55</v>
          </cell>
        </row>
        <row r="60">
          <cell r="B60">
            <v>0</v>
          </cell>
          <cell r="C60">
            <v>0</v>
          </cell>
          <cell r="D60">
            <v>0</v>
          </cell>
          <cell r="E60">
            <v>0</v>
          </cell>
          <cell r="F60">
            <v>0</v>
          </cell>
          <cell r="G60">
            <v>4157</v>
          </cell>
          <cell r="H60" t="str">
            <v>Titan Crew Cab - Lease</v>
          </cell>
          <cell r="I60"/>
          <cell r="J60">
            <v>1</v>
          </cell>
          <cell r="K60">
            <v>42777</v>
          </cell>
          <cell r="L60">
            <v>-80</v>
          </cell>
          <cell r="M60">
            <v>0</v>
          </cell>
          <cell r="N60">
            <v>-80</v>
          </cell>
          <cell r="O60" t="str">
            <v>56</v>
          </cell>
        </row>
        <row r="61">
          <cell r="B61">
            <v>0</v>
          </cell>
          <cell r="C61">
            <v>0</v>
          </cell>
          <cell r="D61">
            <v>0</v>
          </cell>
          <cell r="E61">
            <v>0</v>
          </cell>
          <cell r="F61">
            <v>0</v>
          </cell>
          <cell r="G61">
            <v>4141</v>
          </cell>
          <cell r="H61" t="str">
            <v>Titan Single Cab- Lease</v>
          </cell>
          <cell r="I61"/>
          <cell r="J61">
            <v>0</v>
          </cell>
          <cell r="K61">
            <v>0</v>
          </cell>
          <cell r="L61">
            <v>0</v>
          </cell>
          <cell r="M61">
            <v>0</v>
          </cell>
          <cell r="N61">
            <v>0</v>
          </cell>
          <cell r="O61" t="str">
            <v>57</v>
          </cell>
        </row>
        <row r="62">
          <cell r="B62">
            <v>0</v>
          </cell>
          <cell r="C62">
            <v>0</v>
          </cell>
          <cell r="D62">
            <v>0</v>
          </cell>
          <cell r="E62">
            <v>0</v>
          </cell>
          <cell r="F62">
            <v>0</v>
          </cell>
          <cell r="G62">
            <v>4143</v>
          </cell>
          <cell r="H62" t="str">
            <v>Titan XD King Cab - Lease</v>
          </cell>
          <cell r="I62"/>
          <cell r="J62">
            <v>0</v>
          </cell>
          <cell r="K62">
            <v>0</v>
          </cell>
          <cell r="L62">
            <v>0</v>
          </cell>
          <cell r="M62">
            <v>0</v>
          </cell>
          <cell r="N62">
            <v>0</v>
          </cell>
          <cell r="O62" t="str">
            <v>58</v>
          </cell>
        </row>
        <row r="63">
          <cell r="B63">
            <v>0</v>
          </cell>
          <cell r="C63">
            <v>0</v>
          </cell>
          <cell r="D63">
            <v>0</v>
          </cell>
          <cell r="E63">
            <v>0</v>
          </cell>
          <cell r="F63">
            <v>0</v>
          </cell>
          <cell r="G63">
            <v>4151</v>
          </cell>
          <cell r="H63" t="str">
            <v>Titan XD Crew Cab - Lease</v>
          </cell>
          <cell r="I63"/>
          <cell r="J63">
            <v>0</v>
          </cell>
          <cell r="K63">
            <v>0</v>
          </cell>
          <cell r="L63">
            <v>0</v>
          </cell>
          <cell r="M63">
            <v>0</v>
          </cell>
          <cell r="N63">
            <v>0</v>
          </cell>
          <cell r="O63" t="str">
            <v>59</v>
          </cell>
        </row>
        <row r="64">
          <cell r="B64">
            <v>0</v>
          </cell>
          <cell r="C64">
            <v>0</v>
          </cell>
          <cell r="D64">
            <v>0</v>
          </cell>
          <cell r="E64">
            <v>0</v>
          </cell>
          <cell r="F64">
            <v>0</v>
          </cell>
          <cell r="G64">
            <v>4149</v>
          </cell>
          <cell r="H64" t="str">
            <v>Titan XD Single Cab - Lease</v>
          </cell>
          <cell r="I64"/>
          <cell r="J64">
            <v>0</v>
          </cell>
          <cell r="K64">
            <v>0</v>
          </cell>
          <cell r="L64">
            <v>0</v>
          </cell>
          <cell r="M64">
            <v>0</v>
          </cell>
          <cell r="N64">
            <v>0</v>
          </cell>
          <cell r="O64" t="str">
            <v>60</v>
          </cell>
        </row>
        <row r="65">
          <cell r="B65">
            <v>0</v>
          </cell>
          <cell r="C65">
            <v>0</v>
          </cell>
          <cell r="D65">
            <v>0</v>
          </cell>
          <cell r="E65">
            <v>0</v>
          </cell>
          <cell r="F65">
            <v>0</v>
          </cell>
          <cell r="G65">
            <v>4065</v>
          </cell>
          <cell r="H65" t="str">
            <v>Non-Current Models - Lease</v>
          </cell>
          <cell r="I65"/>
          <cell r="J65">
            <v>0</v>
          </cell>
          <cell r="K65">
            <v>0</v>
          </cell>
          <cell r="L65">
            <v>0</v>
          </cell>
          <cell r="M65">
            <v>0</v>
          </cell>
          <cell r="N65">
            <v>0</v>
          </cell>
          <cell r="O65" t="str">
            <v>61</v>
          </cell>
        </row>
        <row r="66">
          <cell r="B66">
            <v>8</v>
          </cell>
          <cell r="C66">
            <v>222347</v>
          </cell>
          <cell r="D66">
            <v>-11067</v>
          </cell>
          <cell r="E66">
            <v>0</v>
          </cell>
          <cell r="F66">
            <v>-1383</v>
          </cell>
          <cell r="G66" t="str">
            <v>SUBTOTAL NISSAN VEHICLE - LEASE</v>
          </cell>
          <cell r="H66"/>
          <cell r="I66" t="str">
            <v>(Lines 32 to 61)</v>
          </cell>
          <cell r="J66">
            <v>95</v>
          </cell>
          <cell r="K66">
            <v>2753355</v>
          </cell>
          <cell r="L66">
            <v>-50794</v>
          </cell>
          <cell r="M66">
            <v>0</v>
          </cell>
          <cell r="N66">
            <v>-535</v>
          </cell>
          <cell r="O66" t="str">
            <v>62</v>
          </cell>
        </row>
        <row r="67">
          <cell r="B67">
            <v>183</v>
          </cell>
          <cell r="C67">
            <v>4818741</v>
          </cell>
          <cell r="D67">
            <v>-49762</v>
          </cell>
          <cell r="E67">
            <v>0</v>
          </cell>
          <cell r="F67">
            <v>-272</v>
          </cell>
          <cell r="G67" t="str">
            <v>TOTAL NISSAN RETAIL &amp; LEASE VEHICLES</v>
          </cell>
          <cell r="H67"/>
          <cell r="I67" t="str">
            <v>(Lines 31 &amp; 62)</v>
          </cell>
          <cell r="J67">
            <v>2067</v>
          </cell>
          <cell r="K67">
            <v>51243956</v>
          </cell>
          <cell r="L67">
            <v>-739241</v>
          </cell>
          <cell r="M67">
            <v>0</v>
          </cell>
          <cell r="N67">
            <v>-358</v>
          </cell>
          <cell r="O67" t="str">
            <v>63</v>
          </cell>
        </row>
        <row r="68">
          <cell r="B68">
            <v>0</v>
          </cell>
          <cell r="C68">
            <v>0</v>
          </cell>
          <cell r="D68">
            <v>0</v>
          </cell>
          <cell r="E68"/>
          <cell r="F68">
            <v>0</v>
          </cell>
          <cell r="G68">
            <v>4100</v>
          </cell>
          <cell r="H68" t="str">
            <v>Nissan - Fleet Cars &amp; Trucks</v>
          </cell>
          <cell r="I68"/>
          <cell r="J68">
            <v>0</v>
          </cell>
          <cell r="K68">
            <v>0</v>
          </cell>
          <cell r="L68">
            <v>0</v>
          </cell>
          <cell r="M68"/>
          <cell r="N68">
            <v>0</v>
          </cell>
          <cell r="O68" t="str">
            <v>64</v>
          </cell>
        </row>
        <row r="69">
          <cell r="B69">
            <v>183</v>
          </cell>
          <cell r="C69">
            <v>4818741</v>
          </cell>
          <cell r="D69">
            <v>-49762</v>
          </cell>
          <cell r="E69">
            <v>0</v>
          </cell>
          <cell r="F69">
            <v>-272</v>
          </cell>
          <cell r="G69" t="str">
            <v>TOTAL NISSAN RETL/LEASE/FLEET VEHICLES</v>
          </cell>
          <cell r="H69"/>
          <cell r="I69" t="str">
            <v>(Lines 63 &amp; 64)</v>
          </cell>
          <cell r="J69">
            <v>2067</v>
          </cell>
          <cell r="K69">
            <v>51243956</v>
          </cell>
          <cell r="L69">
            <v>-739241</v>
          </cell>
          <cell r="M69">
            <v>0</v>
          </cell>
          <cell r="N69">
            <v>-358</v>
          </cell>
          <cell r="O69" t="str">
            <v>65</v>
          </cell>
        </row>
        <row r="70">
          <cell r="B70">
            <v>0</v>
          </cell>
          <cell r="C70">
            <v>0</v>
          </cell>
          <cell r="D70">
            <v>0</v>
          </cell>
          <cell r="E70">
            <v>0</v>
          </cell>
          <cell r="F70">
            <v>0</v>
          </cell>
          <cell r="G70">
            <v>4154</v>
          </cell>
          <cell r="H70" t="str">
            <v>NV Standard Roof - Retail</v>
          </cell>
          <cell r="I70"/>
          <cell r="J70">
            <v>0</v>
          </cell>
          <cell r="K70">
            <v>0</v>
          </cell>
          <cell r="L70">
            <v>0</v>
          </cell>
          <cell r="M70">
            <v>0</v>
          </cell>
          <cell r="N70">
            <v>0</v>
          </cell>
          <cell r="O70" t="str">
            <v>66</v>
          </cell>
        </row>
        <row r="71">
          <cell r="B71">
            <v>3</v>
          </cell>
          <cell r="C71">
            <v>100394</v>
          </cell>
          <cell r="D71">
            <v>2178</v>
          </cell>
          <cell r="E71">
            <v>0</v>
          </cell>
          <cell r="F71">
            <v>726</v>
          </cell>
          <cell r="G71">
            <v>4164</v>
          </cell>
          <cell r="H71" t="str">
            <v>NV High Roof - Retail</v>
          </cell>
          <cell r="I71"/>
          <cell r="J71">
            <v>5</v>
          </cell>
          <cell r="K71">
            <v>165439</v>
          </cell>
          <cell r="L71">
            <v>4102</v>
          </cell>
          <cell r="M71">
            <v>0</v>
          </cell>
          <cell r="N71">
            <v>820</v>
          </cell>
          <cell r="O71" t="str">
            <v>67</v>
          </cell>
        </row>
        <row r="72">
          <cell r="B72">
            <v>0</v>
          </cell>
          <cell r="C72">
            <v>0</v>
          </cell>
          <cell r="D72">
            <v>0</v>
          </cell>
          <cell r="E72">
            <v>0</v>
          </cell>
          <cell r="F72">
            <v>0</v>
          </cell>
          <cell r="G72">
            <v>4166</v>
          </cell>
          <cell r="H72" t="str">
            <v>NV Passenger - Retail</v>
          </cell>
          <cell r="I72"/>
          <cell r="J72">
            <v>0</v>
          </cell>
          <cell r="K72">
            <v>0</v>
          </cell>
          <cell r="L72">
            <v>0</v>
          </cell>
          <cell r="M72">
            <v>0</v>
          </cell>
          <cell r="N72">
            <v>0</v>
          </cell>
          <cell r="O72" t="str">
            <v>68</v>
          </cell>
        </row>
        <row r="73">
          <cell r="B73">
            <v>0</v>
          </cell>
          <cell r="C73">
            <v>0</v>
          </cell>
          <cell r="D73">
            <v>0</v>
          </cell>
          <cell r="E73">
            <v>0</v>
          </cell>
          <cell r="F73">
            <v>0</v>
          </cell>
          <cell r="G73">
            <v>4168</v>
          </cell>
          <cell r="H73" t="str">
            <v>NV200 - Retail</v>
          </cell>
          <cell r="I73"/>
          <cell r="J73">
            <v>8</v>
          </cell>
          <cell r="K73">
            <v>180138</v>
          </cell>
          <cell r="L73">
            <v>-6720</v>
          </cell>
          <cell r="M73">
            <v>0</v>
          </cell>
          <cell r="N73">
            <v>-840</v>
          </cell>
          <cell r="O73" t="str">
            <v>69</v>
          </cell>
        </row>
        <row r="74">
          <cell r="B74">
            <v>0</v>
          </cell>
          <cell r="C74">
            <v>0</v>
          </cell>
          <cell r="D74">
            <v>0</v>
          </cell>
          <cell r="E74">
            <v>0</v>
          </cell>
          <cell r="F74">
            <v>0</v>
          </cell>
          <cell r="G74">
            <v>4174</v>
          </cell>
          <cell r="H74" t="str">
            <v>NV200 Taxi - Retail</v>
          </cell>
          <cell r="I74"/>
          <cell r="J74">
            <v>0</v>
          </cell>
          <cell r="K74">
            <v>0</v>
          </cell>
          <cell r="L74">
            <v>0</v>
          </cell>
          <cell r="M74">
            <v>0</v>
          </cell>
          <cell r="N74">
            <v>0</v>
          </cell>
          <cell r="O74" t="str">
            <v>70</v>
          </cell>
        </row>
        <row r="75">
          <cell r="B75">
            <v>3</v>
          </cell>
          <cell r="C75">
            <v>100394</v>
          </cell>
          <cell r="D75">
            <v>2178</v>
          </cell>
          <cell r="E75">
            <v>0</v>
          </cell>
          <cell r="F75">
            <v>726</v>
          </cell>
          <cell r="G75" t="str">
            <v>SUBTOTAL NISSAN NCV VEHICLES - RETAIL</v>
          </cell>
          <cell r="H75"/>
          <cell r="I75" t="str">
            <v>(Lines 66 to 70)</v>
          </cell>
          <cell r="J75">
            <v>13</v>
          </cell>
          <cell r="K75">
            <v>345577</v>
          </cell>
          <cell r="L75">
            <v>-2618</v>
          </cell>
          <cell r="M75">
            <v>0</v>
          </cell>
          <cell r="N75">
            <v>-201</v>
          </cell>
          <cell r="O75" t="str">
            <v>71</v>
          </cell>
        </row>
        <row r="76">
          <cell r="B76">
            <v>0</v>
          </cell>
          <cell r="C76">
            <v>0</v>
          </cell>
          <cell r="D76">
            <v>0</v>
          </cell>
          <cell r="E76">
            <v>0</v>
          </cell>
          <cell r="F76">
            <v>0</v>
          </cell>
          <cell r="G76">
            <v>4159</v>
          </cell>
          <cell r="H76" t="str">
            <v>NV Standard Roof - Lease</v>
          </cell>
          <cell r="I76"/>
          <cell r="J76">
            <v>0</v>
          </cell>
          <cell r="K76">
            <v>0</v>
          </cell>
          <cell r="L76">
            <v>0</v>
          </cell>
          <cell r="M76">
            <v>0</v>
          </cell>
          <cell r="N76">
            <v>0</v>
          </cell>
          <cell r="O76" t="str">
            <v>72</v>
          </cell>
        </row>
        <row r="77">
          <cell r="B77">
            <v>0</v>
          </cell>
          <cell r="C77">
            <v>0</v>
          </cell>
          <cell r="D77">
            <v>0</v>
          </cell>
          <cell r="E77">
            <v>0</v>
          </cell>
          <cell r="F77">
            <v>0</v>
          </cell>
          <cell r="G77">
            <v>4169</v>
          </cell>
          <cell r="H77" t="str">
            <v>NV High Roof - Lease</v>
          </cell>
          <cell r="I77"/>
          <cell r="J77">
            <v>0</v>
          </cell>
          <cell r="K77">
            <v>0</v>
          </cell>
          <cell r="L77">
            <v>0</v>
          </cell>
          <cell r="M77">
            <v>0</v>
          </cell>
          <cell r="N77">
            <v>0</v>
          </cell>
          <cell r="O77" t="str">
            <v>73</v>
          </cell>
        </row>
        <row r="78">
          <cell r="B78">
            <v>0</v>
          </cell>
          <cell r="C78">
            <v>0</v>
          </cell>
          <cell r="D78">
            <v>0</v>
          </cell>
          <cell r="E78">
            <v>0</v>
          </cell>
          <cell r="F78">
            <v>0</v>
          </cell>
          <cell r="G78">
            <v>4165</v>
          </cell>
          <cell r="H78" t="str">
            <v>NV Passenger - Lease</v>
          </cell>
          <cell r="I78"/>
          <cell r="J78">
            <v>0</v>
          </cell>
          <cell r="K78">
            <v>0</v>
          </cell>
          <cell r="L78">
            <v>0</v>
          </cell>
          <cell r="M78">
            <v>0</v>
          </cell>
          <cell r="N78">
            <v>0</v>
          </cell>
          <cell r="O78" t="str">
            <v>74</v>
          </cell>
        </row>
        <row r="79">
          <cell r="B79">
            <v>0</v>
          </cell>
          <cell r="C79">
            <v>0</v>
          </cell>
          <cell r="D79">
            <v>0</v>
          </cell>
          <cell r="E79">
            <v>0</v>
          </cell>
          <cell r="F79">
            <v>0</v>
          </cell>
          <cell r="G79">
            <v>4167</v>
          </cell>
          <cell r="H79" t="str">
            <v>NV200 - Lease</v>
          </cell>
          <cell r="I79"/>
          <cell r="J79">
            <v>0</v>
          </cell>
          <cell r="K79">
            <v>0</v>
          </cell>
          <cell r="L79">
            <v>0</v>
          </cell>
          <cell r="M79">
            <v>0</v>
          </cell>
          <cell r="N79">
            <v>0</v>
          </cell>
          <cell r="O79" t="str">
            <v>75</v>
          </cell>
        </row>
        <row r="80">
          <cell r="B80">
            <v>0</v>
          </cell>
          <cell r="C80">
            <v>0</v>
          </cell>
          <cell r="D80">
            <v>0</v>
          </cell>
          <cell r="E80">
            <v>0</v>
          </cell>
          <cell r="F80">
            <v>0</v>
          </cell>
          <cell r="G80">
            <v>4179</v>
          </cell>
          <cell r="H80" t="str">
            <v>NV200 Taxi - Lease</v>
          </cell>
          <cell r="I80"/>
          <cell r="J80">
            <v>0</v>
          </cell>
          <cell r="K80">
            <v>0</v>
          </cell>
          <cell r="L80">
            <v>0</v>
          </cell>
          <cell r="M80">
            <v>0</v>
          </cell>
          <cell r="N80">
            <v>0</v>
          </cell>
          <cell r="O80" t="str">
            <v>76</v>
          </cell>
        </row>
        <row r="81">
          <cell r="B81">
            <v>0</v>
          </cell>
          <cell r="C81">
            <v>0</v>
          </cell>
          <cell r="D81">
            <v>0</v>
          </cell>
          <cell r="E81">
            <v>0</v>
          </cell>
          <cell r="F81">
            <v>0</v>
          </cell>
          <cell r="G81" t="str">
            <v>SUBTOTAL NISSAN NCV VEHICLES - LEASE</v>
          </cell>
          <cell r="H81"/>
          <cell r="I81" t="str">
            <v>(Lines 72 to 76)</v>
          </cell>
          <cell r="J81">
            <v>0</v>
          </cell>
          <cell r="K81">
            <v>0</v>
          </cell>
          <cell r="L81">
            <v>0</v>
          </cell>
          <cell r="M81">
            <v>0</v>
          </cell>
          <cell r="N81">
            <v>0</v>
          </cell>
          <cell r="O81" t="str">
            <v>77</v>
          </cell>
        </row>
        <row r="82">
          <cell r="B82">
            <v>3</v>
          </cell>
          <cell r="C82">
            <v>100394</v>
          </cell>
          <cell r="D82">
            <v>2178</v>
          </cell>
          <cell r="E82">
            <v>0</v>
          </cell>
          <cell r="F82">
            <v>726</v>
          </cell>
          <cell r="G82" t="str">
            <v>TOTAL NCV RETAIL / LEASE VEHICLES</v>
          </cell>
          <cell r="H82"/>
          <cell r="I82" t="str">
            <v>(Lines 71 &amp; 77)</v>
          </cell>
          <cell r="J82">
            <v>13</v>
          </cell>
          <cell r="K82">
            <v>345577</v>
          </cell>
          <cell r="L82">
            <v>-2618</v>
          </cell>
          <cell r="M82">
            <v>0</v>
          </cell>
          <cell r="N82">
            <v>-201</v>
          </cell>
          <cell r="O82" t="str">
            <v>78</v>
          </cell>
        </row>
        <row r="83">
          <cell r="B83">
            <v>0</v>
          </cell>
          <cell r="C83">
            <v>0</v>
          </cell>
          <cell r="D83">
            <v>0</v>
          </cell>
          <cell r="E83"/>
          <cell r="F83">
            <v>0</v>
          </cell>
          <cell r="G83">
            <v>4105</v>
          </cell>
          <cell r="H83" t="str">
            <v>NCV - Fleet Vehicle</v>
          </cell>
          <cell r="I83"/>
          <cell r="J83">
            <v>0</v>
          </cell>
          <cell r="K83">
            <v>0</v>
          </cell>
          <cell r="L83">
            <v>0</v>
          </cell>
          <cell r="M83"/>
          <cell r="N83">
            <v>0</v>
          </cell>
          <cell r="O83" t="str">
            <v>79</v>
          </cell>
        </row>
        <row r="84">
          <cell r="B84">
            <v>3</v>
          </cell>
          <cell r="C84">
            <v>100394</v>
          </cell>
          <cell r="D84">
            <v>2178</v>
          </cell>
          <cell r="E84">
            <v>0</v>
          </cell>
          <cell r="F84">
            <v>726</v>
          </cell>
          <cell r="G84" t="str">
            <v>TOTAL NCV RETAIL / LEASE / FLEET VEHICLES</v>
          </cell>
          <cell r="H84"/>
          <cell r="I84" t="str">
            <v>(Lines 78 &amp; 79)</v>
          </cell>
          <cell r="J84">
            <v>13</v>
          </cell>
          <cell r="K84">
            <v>345577</v>
          </cell>
          <cell r="L84">
            <v>-2618</v>
          </cell>
          <cell r="M84">
            <v>0</v>
          </cell>
          <cell r="N84">
            <v>-201</v>
          </cell>
          <cell r="O84" t="str">
            <v>80</v>
          </cell>
        </row>
        <row r="85">
          <cell r="B85">
            <v>186</v>
          </cell>
          <cell r="C85">
            <v>4919135</v>
          </cell>
          <cell r="D85">
            <v>-47584</v>
          </cell>
          <cell r="E85">
            <v>0</v>
          </cell>
          <cell r="F85">
            <v>-256</v>
          </cell>
          <cell r="G85" t="str">
            <v>TOTAL ALL NISSAN NEW VEHICLES</v>
          </cell>
          <cell r="H85"/>
          <cell r="I85" t="str">
            <v>(Lines 65 &amp; 80)</v>
          </cell>
          <cell r="J85">
            <v>2080</v>
          </cell>
          <cell r="K85">
            <v>51589533</v>
          </cell>
          <cell r="L85">
            <v>-741859</v>
          </cell>
          <cell r="M85">
            <v>0</v>
          </cell>
          <cell r="N85">
            <v>-357</v>
          </cell>
          <cell r="O85" t="str">
            <v>81</v>
          </cell>
        </row>
      </sheetData>
      <sheetData sheetId="4" refreshError="1">
        <row r="1">
          <cell r="B1" t="str">
            <v>NEW (CONT'D), USED VEHICLES SALES AND GROSS PROFIT</v>
          </cell>
          <cell r="C1"/>
          <cell r="D1"/>
          <cell r="E1"/>
          <cell r="F1"/>
          <cell r="G1"/>
          <cell r="H1"/>
          <cell r="I1"/>
          <cell r="J1"/>
          <cell r="K1"/>
          <cell r="L1"/>
          <cell r="M1"/>
          <cell r="N1"/>
          <cell r="O1"/>
        </row>
        <row r="2">
          <cell r="B2" t="str">
            <v>Page 5                    Current Month: (Month)</v>
          </cell>
          <cell r="C2"/>
          <cell r="D2"/>
          <cell r="E2"/>
          <cell r="F2"/>
          <cell r="G2"/>
          <cell r="H2"/>
          <cell r="I2"/>
          <cell r="J2"/>
          <cell r="K2" t="str">
            <v>Year to Date: (Year)</v>
          </cell>
          <cell r="L2"/>
          <cell r="M2"/>
          <cell r="N2"/>
          <cell r="O2"/>
        </row>
        <row r="3">
          <cell r="B3" t="str">
            <v>LINE NO</v>
          </cell>
          <cell r="C3" t="str">
            <v>UNITS</v>
          </cell>
          <cell r="D3" t="str">
            <v>SALES</v>
          </cell>
          <cell r="E3" t="str">
            <v>GROSS PROFIT</v>
          </cell>
          <cell r="F3" t="str">
            <v>GROSS PER UNIT</v>
          </cell>
          <cell r="G3" t="str">
            <v>ACCT. NO.</v>
          </cell>
          <cell r="H3" t="str">
            <v>ACCOUNT NAME</v>
          </cell>
          <cell r="I3"/>
          <cell r="J3"/>
          <cell r="K3" t="str">
            <v>UNITS</v>
          </cell>
          <cell r="L3" t="str">
            <v>SALES</v>
          </cell>
          <cell r="M3" t="str">
            <v>GROSS PROFIT</v>
          </cell>
          <cell r="N3" t="str">
            <v>GROSS PER UNIT</v>
          </cell>
          <cell r="O3" t="str">
            <v>LINE NO</v>
          </cell>
        </row>
        <row r="4">
          <cell r="B4"/>
          <cell r="C4"/>
          <cell r="D4"/>
          <cell r="E4"/>
          <cell r="F4"/>
          <cell r="G4"/>
          <cell r="H4"/>
          <cell r="I4"/>
          <cell r="J4"/>
          <cell r="K4"/>
          <cell r="L4"/>
          <cell r="M4"/>
          <cell r="N4"/>
          <cell r="O4"/>
        </row>
        <row r="5">
          <cell r="B5" t="str">
            <v>1</v>
          </cell>
          <cell r="C5">
            <v>0</v>
          </cell>
          <cell r="D5">
            <v>0</v>
          </cell>
          <cell r="E5">
            <v>0</v>
          </cell>
          <cell r="F5">
            <v>0</v>
          </cell>
          <cell r="G5">
            <v>4200</v>
          </cell>
          <cell r="H5" t="str">
            <v>Other Makes Vehicles</v>
          </cell>
          <cell r="I5"/>
          <cell r="J5"/>
          <cell r="K5">
            <v>0</v>
          </cell>
          <cell r="L5">
            <v>0</v>
          </cell>
          <cell r="M5">
            <v>0</v>
          </cell>
          <cell r="N5">
            <v>0</v>
          </cell>
          <cell r="O5" t="str">
            <v>1</v>
          </cell>
        </row>
        <row r="6">
          <cell r="B6" t="str">
            <v>2</v>
          </cell>
          <cell r="C6"/>
          <cell r="D6"/>
          <cell r="E6">
            <v>0</v>
          </cell>
          <cell r="F6"/>
          <cell r="G6">
            <v>6300</v>
          </cell>
          <cell r="H6" t="str">
            <v>Incentive Earnings - Other Makes</v>
          </cell>
          <cell r="I6"/>
          <cell r="J6"/>
          <cell r="K6"/>
          <cell r="L6"/>
          <cell r="M6">
            <v>0</v>
          </cell>
          <cell r="N6"/>
          <cell r="O6" t="str">
            <v>2</v>
          </cell>
        </row>
        <row r="7">
          <cell r="B7" t="str">
            <v>3</v>
          </cell>
          <cell r="C7">
            <v>0</v>
          </cell>
          <cell r="D7">
            <v>0</v>
          </cell>
          <cell r="E7">
            <v>0</v>
          </cell>
          <cell r="F7">
            <v>0</v>
          </cell>
          <cell r="G7">
            <v>4205</v>
          </cell>
          <cell r="H7" t="str">
            <v>Other Makes Fleet Cars and Trucks</v>
          </cell>
          <cell r="I7"/>
          <cell r="J7"/>
          <cell r="K7">
            <v>0</v>
          </cell>
          <cell r="L7">
            <v>0</v>
          </cell>
          <cell r="M7">
            <v>0</v>
          </cell>
          <cell r="N7">
            <v>0</v>
          </cell>
          <cell r="O7" t="str">
            <v>3</v>
          </cell>
        </row>
        <row r="8">
          <cell r="B8" t="str">
            <v>4</v>
          </cell>
          <cell r="C8">
            <v>0</v>
          </cell>
          <cell r="D8">
            <v>0</v>
          </cell>
          <cell r="E8">
            <v>0</v>
          </cell>
          <cell r="F8">
            <v>0</v>
          </cell>
          <cell r="G8" t="str">
            <v>TOTAL OTHER MAKES - NEW</v>
          </cell>
          <cell r="H8"/>
          <cell r="I8"/>
          <cell r="J8" t="str">
            <v>(Lines 1 to 3)</v>
          </cell>
          <cell r="K8">
            <v>0</v>
          </cell>
          <cell r="L8">
            <v>0</v>
          </cell>
          <cell r="M8">
            <v>0</v>
          </cell>
          <cell r="N8">
            <v>0</v>
          </cell>
          <cell r="O8" t="str">
            <v>4</v>
          </cell>
        </row>
        <row r="9">
          <cell r="B9" t="str">
            <v>5</v>
          </cell>
          <cell r="C9">
            <v>162</v>
          </cell>
          <cell r="D9"/>
          <cell r="E9">
            <v>152530</v>
          </cell>
          <cell r="F9">
            <v>942</v>
          </cell>
          <cell r="G9">
            <v>6310</v>
          </cell>
          <cell r="H9" t="str">
            <v>Finance Reserve Inc. - New Nissan Veh</v>
          </cell>
          <cell r="I9"/>
          <cell r="J9"/>
          <cell r="K9">
            <v>1806</v>
          </cell>
          <cell r="L9"/>
          <cell r="M9">
            <v>1430558</v>
          </cell>
          <cell r="N9">
            <v>792</v>
          </cell>
          <cell r="O9" t="str">
            <v>5</v>
          </cell>
        </row>
        <row r="10">
          <cell r="B10" t="str">
            <v>6</v>
          </cell>
          <cell r="C10">
            <v>84</v>
          </cell>
          <cell r="D10">
            <v>190807</v>
          </cell>
          <cell r="E10">
            <v>92064</v>
          </cell>
          <cell r="F10">
            <v>1096</v>
          </cell>
          <cell r="G10">
            <v>4280</v>
          </cell>
          <cell r="H10" t="str">
            <v>Security+Plus Svc. Contracts Sls. - New Nissan Veh</v>
          </cell>
          <cell r="I10"/>
          <cell r="J10"/>
          <cell r="K10">
            <v>1036</v>
          </cell>
          <cell r="L10">
            <v>2218673</v>
          </cell>
          <cell r="M10">
            <v>1267333</v>
          </cell>
          <cell r="N10">
            <v>1223</v>
          </cell>
          <cell r="O10" t="str">
            <v>6</v>
          </cell>
        </row>
        <row r="11">
          <cell r="B11" t="str">
            <v>7</v>
          </cell>
          <cell r="C11">
            <v>0</v>
          </cell>
          <cell r="D11">
            <v>0</v>
          </cell>
          <cell r="E11">
            <v>0</v>
          </cell>
          <cell r="F11">
            <v>0</v>
          </cell>
          <cell r="G11">
            <v>4285</v>
          </cell>
          <cell r="H11" t="str">
            <v>Other Svc. Contract Sls. - New Nissan Veh.</v>
          </cell>
          <cell r="I11"/>
          <cell r="J11"/>
          <cell r="K11">
            <v>12</v>
          </cell>
          <cell r="L11">
            <v>6568</v>
          </cell>
          <cell r="M11">
            <v>1820</v>
          </cell>
          <cell r="N11">
            <v>152</v>
          </cell>
          <cell r="O11" t="str">
            <v>7</v>
          </cell>
        </row>
        <row r="12">
          <cell r="B12" t="str">
            <v>8</v>
          </cell>
          <cell r="C12">
            <v>123</v>
          </cell>
          <cell r="D12">
            <v>97659</v>
          </cell>
          <cell r="E12">
            <v>48915</v>
          </cell>
          <cell r="F12">
            <v>398</v>
          </cell>
          <cell r="G12">
            <v>4260</v>
          </cell>
          <cell r="H12" t="str">
            <v>GAP Sales - New Nissan Veh.</v>
          </cell>
          <cell r="I12"/>
          <cell r="J12"/>
          <cell r="K12">
            <v>1410</v>
          </cell>
          <cell r="L12">
            <v>1091443</v>
          </cell>
          <cell r="M12">
            <v>601230</v>
          </cell>
          <cell r="N12">
            <v>426</v>
          </cell>
          <cell r="O12" t="str">
            <v>8</v>
          </cell>
        </row>
        <row r="13">
          <cell r="B13" t="str">
            <v>9</v>
          </cell>
          <cell r="C13">
            <v>22</v>
          </cell>
          <cell r="D13">
            <v>26236</v>
          </cell>
          <cell r="E13">
            <v>14348</v>
          </cell>
          <cell r="F13">
            <v>652</v>
          </cell>
          <cell r="G13">
            <v>4230</v>
          </cell>
          <cell r="H13" t="str">
            <v>Maintenance Contract Sales - New Nissan Veh.</v>
          </cell>
          <cell r="I13"/>
          <cell r="J13"/>
          <cell r="K13">
            <v>141</v>
          </cell>
          <cell r="L13">
            <v>133387</v>
          </cell>
          <cell r="M13">
            <v>71237</v>
          </cell>
          <cell r="N13">
            <v>505</v>
          </cell>
          <cell r="O13" t="str">
            <v>9</v>
          </cell>
        </row>
        <row r="14">
          <cell r="B14" t="str">
            <v>10</v>
          </cell>
          <cell r="C14">
            <v>208</v>
          </cell>
          <cell r="D14">
            <v>66577</v>
          </cell>
          <cell r="E14">
            <v>41378</v>
          </cell>
          <cell r="F14">
            <v>199</v>
          </cell>
          <cell r="G14">
            <v>4210</v>
          </cell>
          <cell r="H14" t="str">
            <v>All Other F &amp; I Products - New Nissan Veh.</v>
          </cell>
          <cell r="I14"/>
          <cell r="J14"/>
          <cell r="K14">
            <v>2588</v>
          </cell>
          <cell r="L14">
            <v>799613</v>
          </cell>
          <cell r="M14">
            <v>482173</v>
          </cell>
          <cell r="N14">
            <v>186</v>
          </cell>
          <cell r="O14" t="str">
            <v>10</v>
          </cell>
        </row>
        <row r="15">
          <cell r="B15" t="str">
            <v>11</v>
          </cell>
          <cell r="C15"/>
          <cell r="D15"/>
          <cell r="E15">
            <v>51416</v>
          </cell>
          <cell r="F15"/>
          <cell r="G15">
            <v>6340</v>
          </cell>
          <cell r="H15" t="str">
            <v>LESS Fin., Ins. &amp; Svc. Cont. Adj. - New Nissan Veh.</v>
          </cell>
          <cell r="I15"/>
          <cell r="J15"/>
          <cell r="K15"/>
          <cell r="L15"/>
          <cell r="M15">
            <v>560012</v>
          </cell>
          <cell r="N15"/>
          <cell r="O15" t="str">
            <v>11</v>
          </cell>
        </row>
        <row r="16">
          <cell r="B16" t="str">
            <v>12</v>
          </cell>
          <cell r="C16">
            <v>599</v>
          </cell>
          <cell r="D16">
            <v>381279</v>
          </cell>
          <cell r="E16">
            <v>297819</v>
          </cell>
          <cell r="F16">
            <v>1627</v>
          </cell>
          <cell r="G16" t="str">
            <v>SUBTOTAL F &amp; I / SVC. CONT. INC. - NEW NISSAN</v>
          </cell>
          <cell r="H16"/>
          <cell r="I16"/>
          <cell r="J16" t="str">
            <v>(Lines 5 to 11)</v>
          </cell>
          <cell r="K16">
            <v>6993</v>
          </cell>
          <cell r="L16">
            <v>4249684</v>
          </cell>
          <cell r="M16">
            <v>3294339</v>
          </cell>
          <cell r="N16">
            <v>1594</v>
          </cell>
          <cell r="O16" t="str">
            <v>12</v>
          </cell>
        </row>
        <row r="17">
          <cell r="B17" t="str">
            <v>13</v>
          </cell>
          <cell r="C17">
            <v>0</v>
          </cell>
          <cell r="D17"/>
          <cell r="E17">
            <v>0</v>
          </cell>
          <cell r="F17">
            <v>0</v>
          </cell>
          <cell r="G17">
            <v>6317</v>
          </cell>
          <cell r="H17" t="str">
            <v>Finance Reserve Inc. - NCV Veh.</v>
          </cell>
          <cell r="I17"/>
          <cell r="J17"/>
          <cell r="K17">
            <v>0</v>
          </cell>
          <cell r="L17"/>
          <cell r="M17">
            <v>0</v>
          </cell>
          <cell r="N17">
            <v>0</v>
          </cell>
          <cell r="O17" t="str">
            <v>13</v>
          </cell>
        </row>
        <row r="18">
          <cell r="B18" t="str">
            <v>14</v>
          </cell>
          <cell r="C18">
            <v>0</v>
          </cell>
          <cell r="D18">
            <v>0</v>
          </cell>
          <cell r="E18">
            <v>0</v>
          </cell>
          <cell r="F18">
            <v>0</v>
          </cell>
          <cell r="G18">
            <v>4287</v>
          </cell>
          <cell r="H18" t="str">
            <v>Security+Plus Svc. Cont. Sls. - NCV Veh.</v>
          </cell>
          <cell r="I18"/>
          <cell r="J18"/>
          <cell r="K18">
            <v>0</v>
          </cell>
          <cell r="L18">
            <v>0</v>
          </cell>
          <cell r="M18">
            <v>0</v>
          </cell>
          <cell r="N18">
            <v>0</v>
          </cell>
          <cell r="O18" t="str">
            <v>14</v>
          </cell>
        </row>
        <row r="19">
          <cell r="B19" t="str">
            <v>15</v>
          </cell>
          <cell r="C19">
            <v>0</v>
          </cell>
          <cell r="D19">
            <v>0</v>
          </cell>
          <cell r="E19">
            <v>0</v>
          </cell>
          <cell r="F19">
            <v>0</v>
          </cell>
          <cell r="G19">
            <v>4289</v>
          </cell>
          <cell r="H19" t="str">
            <v>Other Svc. Contract Sls. - NCV Veh.</v>
          </cell>
          <cell r="I19"/>
          <cell r="J19"/>
          <cell r="K19">
            <v>0</v>
          </cell>
          <cell r="L19">
            <v>0</v>
          </cell>
          <cell r="M19">
            <v>0</v>
          </cell>
          <cell r="N19">
            <v>0</v>
          </cell>
          <cell r="O19" t="str">
            <v>15</v>
          </cell>
        </row>
        <row r="20">
          <cell r="B20" t="str">
            <v>16</v>
          </cell>
          <cell r="C20">
            <v>0</v>
          </cell>
          <cell r="D20">
            <v>0</v>
          </cell>
          <cell r="E20">
            <v>0</v>
          </cell>
          <cell r="F20">
            <v>0</v>
          </cell>
          <cell r="G20">
            <v>4267</v>
          </cell>
          <cell r="H20" t="str">
            <v>GAP Sales - NCV Vehicles</v>
          </cell>
          <cell r="I20"/>
          <cell r="J20"/>
          <cell r="K20">
            <v>0</v>
          </cell>
          <cell r="L20">
            <v>0</v>
          </cell>
          <cell r="M20">
            <v>0</v>
          </cell>
          <cell r="N20">
            <v>0</v>
          </cell>
          <cell r="O20" t="str">
            <v>16</v>
          </cell>
        </row>
        <row r="21">
          <cell r="B21" t="str">
            <v>17</v>
          </cell>
          <cell r="C21">
            <v>0</v>
          </cell>
          <cell r="D21">
            <v>0</v>
          </cell>
          <cell r="E21">
            <v>0</v>
          </cell>
          <cell r="F21">
            <v>0</v>
          </cell>
          <cell r="G21">
            <v>4237</v>
          </cell>
          <cell r="H21" t="str">
            <v>Maintenance Contract Sales - NCV Veh.</v>
          </cell>
          <cell r="I21"/>
          <cell r="J21"/>
          <cell r="K21">
            <v>0</v>
          </cell>
          <cell r="L21">
            <v>0</v>
          </cell>
          <cell r="M21">
            <v>0</v>
          </cell>
          <cell r="N21">
            <v>0</v>
          </cell>
          <cell r="O21" t="str">
            <v>17</v>
          </cell>
        </row>
        <row r="22">
          <cell r="B22" t="str">
            <v>18</v>
          </cell>
          <cell r="C22">
            <v>0</v>
          </cell>
          <cell r="D22">
            <v>0</v>
          </cell>
          <cell r="E22">
            <v>0</v>
          </cell>
          <cell r="F22">
            <v>0</v>
          </cell>
          <cell r="G22">
            <v>4217</v>
          </cell>
          <cell r="H22" t="str">
            <v>All Other F &amp; I Products - NCV Veh.</v>
          </cell>
          <cell r="I22"/>
          <cell r="J22"/>
          <cell r="K22">
            <v>0</v>
          </cell>
          <cell r="L22">
            <v>0</v>
          </cell>
          <cell r="M22">
            <v>0</v>
          </cell>
          <cell r="N22">
            <v>0</v>
          </cell>
          <cell r="O22" t="str">
            <v>18</v>
          </cell>
        </row>
        <row r="23">
          <cell r="B23" t="str">
            <v>19</v>
          </cell>
          <cell r="C23"/>
          <cell r="D23"/>
          <cell r="E23">
            <v>0</v>
          </cell>
          <cell r="F23"/>
          <cell r="G23">
            <v>6347</v>
          </cell>
          <cell r="H23" t="str">
            <v>LESS Fin., Ins. &amp; Svc. Cont. Adj. - NCV</v>
          </cell>
          <cell r="I23"/>
          <cell r="J23"/>
          <cell r="K23"/>
          <cell r="L23"/>
          <cell r="M23">
            <v>0</v>
          </cell>
          <cell r="N23"/>
          <cell r="O23" t="str">
            <v>19</v>
          </cell>
        </row>
        <row r="24">
          <cell r="B24" t="str">
            <v>20</v>
          </cell>
          <cell r="C24">
            <v>0</v>
          </cell>
          <cell r="D24">
            <v>0</v>
          </cell>
          <cell r="E24">
            <v>0</v>
          </cell>
          <cell r="F24">
            <v>0</v>
          </cell>
          <cell r="G24" t="str">
            <v>SUBTOTAL F &amp; I / SVC. CONT. INC. - NCV VEHICLES</v>
          </cell>
          <cell r="H24"/>
          <cell r="I24"/>
          <cell r="J24" t="str">
            <v>(Lines 13 to 19)</v>
          </cell>
          <cell r="K24">
            <v>0</v>
          </cell>
          <cell r="L24">
            <v>0</v>
          </cell>
          <cell r="M24">
            <v>0</v>
          </cell>
          <cell r="N24">
            <v>0</v>
          </cell>
          <cell r="O24" t="str">
            <v>20</v>
          </cell>
        </row>
        <row r="25">
          <cell r="B25" t="str">
            <v>21</v>
          </cell>
          <cell r="C25">
            <v>0</v>
          </cell>
          <cell r="D25"/>
          <cell r="E25">
            <v>0</v>
          </cell>
          <cell r="F25">
            <v>0</v>
          </cell>
          <cell r="G25">
            <v>6330</v>
          </cell>
          <cell r="H25" t="str">
            <v>Finance Reserve Inc. - New Other Makes Veh.</v>
          </cell>
          <cell r="I25"/>
          <cell r="J25"/>
          <cell r="K25">
            <v>0</v>
          </cell>
          <cell r="L25"/>
          <cell r="M25">
            <v>0</v>
          </cell>
          <cell r="N25">
            <v>0</v>
          </cell>
          <cell r="O25" t="str">
            <v>21</v>
          </cell>
        </row>
        <row r="26">
          <cell r="B26" t="str">
            <v>22</v>
          </cell>
          <cell r="C26">
            <v>0</v>
          </cell>
          <cell r="D26">
            <v>0</v>
          </cell>
          <cell r="E26">
            <v>0</v>
          </cell>
          <cell r="F26">
            <v>0</v>
          </cell>
          <cell r="G26">
            <v>4290</v>
          </cell>
          <cell r="H26" t="str">
            <v>Other Service Contract Sls. - New Other Makes Veh.</v>
          </cell>
          <cell r="I26"/>
          <cell r="J26"/>
          <cell r="K26">
            <v>0</v>
          </cell>
          <cell r="L26">
            <v>0</v>
          </cell>
          <cell r="M26">
            <v>0</v>
          </cell>
          <cell r="N26">
            <v>0</v>
          </cell>
          <cell r="O26" t="str">
            <v>22</v>
          </cell>
        </row>
        <row r="27">
          <cell r="B27" t="str">
            <v>23</v>
          </cell>
          <cell r="C27">
            <v>0</v>
          </cell>
          <cell r="D27">
            <v>0</v>
          </cell>
          <cell r="E27">
            <v>0</v>
          </cell>
          <cell r="F27">
            <v>0</v>
          </cell>
          <cell r="G27">
            <v>4270</v>
          </cell>
          <cell r="H27" t="str">
            <v>GAP Sales - New Other Makes Veh.</v>
          </cell>
          <cell r="I27"/>
          <cell r="J27"/>
          <cell r="K27">
            <v>0</v>
          </cell>
          <cell r="L27">
            <v>0</v>
          </cell>
          <cell r="M27">
            <v>0</v>
          </cell>
          <cell r="N27">
            <v>0</v>
          </cell>
          <cell r="O27" t="str">
            <v>23</v>
          </cell>
        </row>
        <row r="28">
          <cell r="B28" t="str">
            <v>24</v>
          </cell>
          <cell r="C28">
            <v>0</v>
          </cell>
          <cell r="D28">
            <v>0</v>
          </cell>
          <cell r="E28">
            <v>0</v>
          </cell>
          <cell r="F28">
            <v>0</v>
          </cell>
          <cell r="G28">
            <v>4235</v>
          </cell>
          <cell r="H28" t="str">
            <v>Maintenance Contract Sales - New Other Makes Veh.</v>
          </cell>
          <cell r="I28"/>
          <cell r="J28"/>
          <cell r="K28">
            <v>0</v>
          </cell>
          <cell r="L28">
            <v>0</v>
          </cell>
          <cell r="M28">
            <v>0</v>
          </cell>
          <cell r="N28">
            <v>0</v>
          </cell>
          <cell r="O28" t="str">
            <v>24</v>
          </cell>
        </row>
        <row r="29">
          <cell r="B29" t="str">
            <v>25</v>
          </cell>
          <cell r="C29">
            <v>0</v>
          </cell>
          <cell r="D29">
            <v>0</v>
          </cell>
          <cell r="E29">
            <v>0</v>
          </cell>
          <cell r="F29">
            <v>0</v>
          </cell>
          <cell r="G29">
            <v>4250</v>
          </cell>
          <cell r="H29" t="str">
            <v>All Other F &amp; I Products - New Other Makes Veh.</v>
          </cell>
          <cell r="I29"/>
          <cell r="J29"/>
          <cell r="K29">
            <v>0</v>
          </cell>
          <cell r="L29">
            <v>0</v>
          </cell>
          <cell r="M29">
            <v>0</v>
          </cell>
          <cell r="N29">
            <v>0</v>
          </cell>
          <cell r="O29" t="str">
            <v>25</v>
          </cell>
        </row>
        <row r="30">
          <cell r="B30" t="str">
            <v>26</v>
          </cell>
          <cell r="C30"/>
          <cell r="D30"/>
          <cell r="E30">
            <v>0</v>
          </cell>
          <cell r="F30"/>
          <cell r="G30">
            <v>6345</v>
          </cell>
          <cell r="H30" t="str">
            <v>LESS Fin., Ins. &amp; Svc. Cont. Adj. - New Other Makes Veh.</v>
          </cell>
          <cell r="I30"/>
          <cell r="J30"/>
          <cell r="K30"/>
          <cell r="L30"/>
          <cell r="M30">
            <v>0</v>
          </cell>
          <cell r="N30"/>
          <cell r="O30" t="str">
            <v>26</v>
          </cell>
        </row>
        <row r="31">
          <cell r="B31" t="str">
            <v>27</v>
          </cell>
          <cell r="C31">
            <v>0</v>
          </cell>
          <cell r="D31">
            <v>0</v>
          </cell>
          <cell r="E31">
            <v>0</v>
          </cell>
          <cell r="F31">
            <v>0</v>
          </cell>
          <cell r="G31" t="str">
            <v>SUBTOTAL F &amp; I / SVC. CONT INC. - NEW OTHER MAKES VEH</v>
          </cell>
          <cell r="H31"/>
          <cell r="I31"/>
          <cell r="J31" t="str">
            <v>(Lines 21 to 26)</v>
          </cell>
          <cell r="K31">
            <v>0</v>
          </cell>
          <cell r="L31">
            <v>0</v>
          </cell>
          <cell r="M31">
            <v>0</v>
          </cell>
          <cell r="N31">
            <v>0</v>
          </cell>
          <cell r="O31" t="str">
            <v>27</v>
          </cell>
        </row>
        <row r="32">
          <cell r="B32" t="str">
            <v>28</v>
          </cell>
          <cell r="C32">
            <v>599</v>
          </cell>
          <cell r="D32">
            <v>381279</v>
          </cell>
          <cell r="E32">
            <v>297819</v>
          </cell>
          <cell r="F32">
            <v>1627</v>
          </cell>
          <cell r="G32" t="str">
            <v>TOTAL F &amp; I / SVC. CONT. INC. - NEW</v>
          </cell>
          <cell r="H32"/>
          <cell r="I32"/>
          <cell r="J32" t="str">
            <v>(Lines 12, 20 &amp; 27)</v>
          </cell>
          <cell r="K32">
            <v>6993</v>
          </cell>
          <cell r="L32">
            <v>4249684</v>
          </cell>
          <cell r="M32">
            <v>3294339</v>
          </cell>
          <cell r="N32">
            <v>1594</v>
          </cell>
          <cell r="O32" t="str">
            <v>28</v>
          </cell>
        </row>
        <row r="33">
          <cell r="B33" t="str">
            <v>29</v>
          </cell>
          <cell r="C33"/>
          <cell r="D33"/>
          <cell r="E33">
            <v>1681</v>
          </cell>
          <cell r="F33"/>
          <cell r="G33">
            <v>6320</v>
          </cell>
          <cell r="H33" t="str">
            <v>LESS Repo Losses - New</v>
          </cell>
          <cell r="I33"/>
          <cell r="J33"/>
          <cell r="K33"/>
          <cell r="L33"/>
          <cell r="M33">
            <v>39570</v>
          </cell>
          <cell r="N33"/>
          <cell r="O33" t="str">
            <v>29</v>
          </cell>
        </row>
        <row r="34">
          <cell r="B34" t="str">
            <v>30</v>
          </cell>
          <cell r="C34"/>
          <cell r="D34"/>
          <cell r="E34">
            <v>-6549</v>
          </cell>
          <cell r="F34"/>
          <cell r="G34">
            <v>6350</v>
          </cell>
          <cell r="H34" t="str">
            <v>Dealer trades</v>
          </cell>
          <cell r="I34"/>
          <cell r="J34"/>
          <cell r="K34"/>
          <cell r="L34"/>
          <cell r="M34">
            <v>-59440</v>
          </cell>
          <cell r="N34"/>
          <cell r="O34" t="str">
            <v>30</v>
          </cell>
        </row>
        <row r="35">
          <cell r="B35" t="str">
            <v>31</v>
          </cell>
          <cell r="C35">
            <v>186</v>
          </cell>
          <cell r="D35">
            <v>5300414</v>
          </cell>
          <cell r="E35">
            <v>255103</v>
          </cell>
          <cell r="F35">
            <v>1372</v>
          </cell>
          <cell r="G35" t="str">
            <v>TT40</v>
          </cell>
          <cell r="H35" t="str">
            <v>TOTAL NEW VEHICLE DEPT.</v>
          </cell>
          <cell r="I35"/>
          <cell r="J35" t="str">
            <v>(Pg 4 L81 Plus Pg 5 L4, 28 -30)</v>
          </cell>
          <cell r="K35">
            <v>2080</v>
          </cell>
          <cell r="L35">
            <v>55839217</v>
          </cell>
          <cell r="M35">
            <v>2572350</v>
          </cell>
          <cell r="N35">
            <v>1237</v>
          </cell>
          <cell r="O35" t="str">
            <v>31</v>
          </cell>
        </row>
        <row r="36">
          <cell r="B36">
            <v>32</v>
          </cell>
          <cell r="C36"/>
          <cell r="D36"/>
          <cell r="E36"/>
          <cell r="F36"/>
          <cell r="G36"/>
          <cell r="H36"/>
          <cell r="I36"/>
          <cell r="J36"/>
          <cell r="K36"/>
          <cell r="L36"/>
          <cell r="M36"/>
          <cell r="N36"/>
          <cell r="O36">
            <v>32</v>
          </cell>
        </row>
        <row r="37">
          <cell r="B37">
            <v>33</v>
          </cell>
          <cell r="C37" t="str">
            <v>UNITS</v>
          </cell>
          <cell r="D37" t="str">
            <v>SALES</v>
          </cell>
          <cell r="E37" t="str">
            <v>GROSS PROFIT</v>
          </cell>
          <cell r="F37" t="str">
            <v>GROSS PER UNIT</v>
          </cell>
          <cell r="G37" t="str">
            <v>ACCT. NO.</v>
          </cell>
          <cell r="H37" t="str">
            <v>ACCOUNT NAME</v>
          </cell>
          <cell r="I37"/>
          <cell r="J37"/>
          <cell r="K37" t="str">
            <v>UNITS</v>
          </cell>
          <cell r="L37" t="str">
            <v>SALES</v>
          </cell>
          <cell r="M37" t="str">
            <v>GROSS PROFIT</v>
          </cell>
          <cell r="N37" t="str">
            <v>GROSS PER UNIT</v>
          </cell>
          <cell r="O37">
            <v>33</v>
          </cell>
        </row>
        <row r="38">
          <cell r="B38"/>
          <cell r="C38"/>
          <cell r="D38"/>
          <cell r="E38"/>
          <cell r="F38"/>
          <cell r="G38"/>
          <cell r="H38"/>
          <cell r="I38"/>
          <cell r="J38"/>
          <cell r="K38"/>
          <cell r="L38"/>
          <cell r="M38"/>
          <cell r="N38"/>
          <cell r="O38"/>
        </row>
        <row r="39">
          <cell r="B39" t="str">
            <v>34</v>
          </cell>
          <cell r="C39" t="str">
            <v>USED VEHICLE DEPARTMENT (B)</v>
          </cell>
          <cell r="D39"/>
          <cell r="E39"/>
          <cell r="F39"/>
          <cell r="G39"/>
          <cell r="H39"/>
          <cell r="I39"/>
          <cell r="J39"/>
          <cell r="K39"/>
          <cell r="L39"/>
          <cell r="M39"/>
          <cell r="N39"/>
          <cell r="O39" t="str">
            <v>34</v>
          </cell>
        </row>
        <row r="40">
          <cell r="B40" t="str">
            <v>35</v>
          </cell>
          <cell r="C40">
            <v>24</v>
          </cell>
          <cell r="D40">
            <v>391975</v>
          </cell>
          <cell r="E40">
            <v>44293</v>
          </cell>
          <cell r="F40">
            <v>1846</v>
          </cell>
          <cell r="G40">
            <v>4400</v>
          </cell>
          <cell r="H40" t="str">
            <v>Used Vehicles - Nissan - Retail</v>
          </cell>
          <cell r="I40"/>
          <cell r="J40"/>
          <cell r="K40">
            <v>470</v>
          </cell>
          <cell r="L40">
            <v>7497562</v>
          </cell>
          <cell r="M40">
            <v>915280</v>
          </cell>
          <cell r="N40">
            <v>1947</v>
          </cell>
          <cell r="O40" t="str">
            <v>35</v>
          </cell>
        </row>
        <row r="41">
          <cell r="B41" t="str">
            <v>36</v>
          </cell>
          <cell r="C41"/>
          <cell r="D41"/>
          <cell r="E41">
            <v>19814</v>
          </cell>
          <cell r="F41">
            <v>826</v>
          </cell>
          <cell r="G41" t="str">
            <v>6400R</v>
          </cell>
          <cell r="H41" t="str">
            <v>LESS Reconditioning Nissan - Retail</v>
          </cell>
          <cell r="I41"/>
          <cell r="J41"/>
          <cell r="K41"/>
          <cell r="L41"/>
          <cell r="M41">
            <v>356787</v>
          </cell>
          <cell r="N41">
            <v>759</v>
          </cell>
          <cell r="O41" t="str">
            <v>36</v>
          </cell>
        </row>
        <row r="42">
          <cell r="B42" t="str">
            <v>37</v>
          </cell>
          <cell r="C42">
            <v>26</v>
          </cell>
          <cell r="D42">
            <v>429710</v>
          </cell>
          <cell r="E42">
            <v>56860</v>
          </cell>
          <cell r="F42">
            <v>2187</v>
          </cell>
          <cell r="G42">
            <v>4405</v>
          </cell>
          <cell r="H42" t="str">
            <v>Used Vehicles - Nissan Certified Retail</v>
          </cell>
          <cell r="I42"/>
          <cell r="J42"/>
          <cell r="K42">
            <v>212</v>
          </cell>
          <cell r="L42">
            <v>3870494</v>
          </cell>
          <cell r="M42">
            <v>478354</v>
          </cell>
          <cell r="N42">
            <v>2256</v>
          </cell>
          <cell r="O42" t="str">
            <v>37</v>
          </cell>
        </row>
        <row r="43">
          <cell r="B43" t="str">
            <v>38</v>
          </cell>
          <cell r="C43"/>
          <cell r="D43"/>
          <cell r="E43">
            <v>25760</v>
          </cell>
          <cell r="F43">
            <v>991</v>
          </cell>
          <cell r="G43" t="str">
            <v>6405R</v>
          </cell>
          <cell r="H43" t="str">
            <v>LESS Reconditioning - Nissan Certified Retail</v>
          </cell>
          <cell r="I43"/>
          <cell r="J43"/>
          <cell r="K43"/>
          <cell r="L43"/>
          <cell r="M43">
            <v>182380</v>
          </cell>
          <cell r="N43">
            <v>860</v>
          </cell>
          <cell r="O43" t="str">
            <v>38</v>
          </cell>
        </row>
        <row r="44">
          <cell r="B44" t="str">
            <v>39</v>
          </cell>
          <cell r="C44">
            <v>39</v>
          </cell>
          <cell r="D44">
            <v>739322</v>
          </cell>
          <cell r="E44">
            <v>65016</v>
          </cell>
          <cell r="F44">
            <v>1667</v>
          </cell>
          <cell r="G44">
            <v>4410</v>
          </cell>
          <cell r="H44" t="str">
            <v>Used Vehicles - Other Makes - Retail</v>
          </cell>
          <cell r="I44"/>
          <cell r="J44"/>
          <cell r="K44">
            <v>412</v>
          </cell>
          <cell r="L44">
            <v>7459566</v>
          </cell>
          <cell r="M44">
            <v>792097</v>
          </cell>
          <cell r="N44">
            <v>1923</v>
          </cell>
          <cell r="O44" t="str">
            <v>39</v>
          </cell>
        </row>
        <row r="45">
          <cell r="B45" t="str">
            <v>40</v>
          </cell>
          <cell r="C45"/>
          <cell r="D45"/>
          <cell r="E45">
            <v>31072</v>
          </cell>
          <cell r="F45">
            <v>797</v>
          </cell>
          <cell r="G45" t="str">
            <v>6410R</v>
          </cell>
          <cell r="H45" t="str">
            <v>LESS Reconditioning Other Makes - Retail</v>
          </cell>
          <cell r="I45"/>
          <cell r="J45"/>
          <cell r="K45"/>
          <cell r="L45"/>
          <cell r="M45">
            <v>317058</v>
          </cell>
          <cell r="N45">
            <v>770</v>
          </cell>
          <cell r="O45" t="str">
            <v>40</v>
          </cell>
        </row>
        <row r="46">
          <cell r="B46" t="str">
            <v>41</v>
          </cell>
          <cell r="C46">
            <v>82</v>
          </cell>
          <cell r="D46">
            <v>523963</v>
          </cell>
          <cell r="E46">
            <v>-18889</v>
          </cell>
          <cell r="F46">
            <v>-230</v>
          </cell>
          <cell r="G46">
            <v>4420</v>
          </cell>
          <cell r="H46" t="str">
            <v>Used Vehicles - Wholesale</v>
          </cell>
          <cell r="I46"/>
          <cell r="J46"/>
          <cell r="K46">
            <v>943</v>
          </cell>
          <cell r="L46">
            <v>4746579</v>
          </cell>
          <cell r="M46">
            <v>-22756</v>
          </cell>
          <cell r="N46">
            <v>-24</v>
          </cell>
          <cell r="O46" t="str">
            <v>41</v>
          </cell>
        </row>
        <row r="47">
          <cell r="B47" t="str">
            <v>42</v>
          </cell>
          <cell r="C47"/>
          <cell r="D47"/>
          <cell r="E47">
            <v>0</v>
          </cell>
          <cell r="F47"/>
          <cell r="G47">
            <v>6430</v>
          </cell>
          <cell r="H47" t="str">
            <v>LESS Adj. - Used Vehicle Inventory</v>
          </cell>
          <cell r="I47"/>
          <cell r="J47"/>
          <cell r="K47"/>
          <cell r="L47"/>
          <cell r="M47">
            <v>1707</v>
          </cell>
          <cell r="N47"/>
          <cell r="O47" t="str">
            <v>42</v>
          </cell>
        </row>
        <row r="48">
          <cell r="B48" t="str">
            <v>43</v>
          </cell>
          <cell r="C48">
            <v>171</v>
          </cell>
          <cell r="D48">
            <v>2084970</v>
          </cell>
          <cell r="E48">
            <v>70634</v>
          </cell>
          <cell r="F48">
            <v>413</v>
          </cell>
          <cell r="G48" t="str">
            <v>TOTAL USED VEHICLE SALES</v>
          </cell>
          <cell r="H48"/>
          <cell r="I48"/>
          <cell r="J48" t="str">
            <v xml:space="preserve">(Lines 35 to 42) </v>
          </cell>
          <cell r="K48">
            <v>2037</v>
          </cell>
          <cell r="L48">
            <v>23574201</v>
          </cell>
          <cell r="M48">
            <v>1305043</v>
          </cell>
          <cell r="N48">
            <v>641</v>
          </cell>
          <cell r="O48" t="str">
            <v>43</v>
          </cell>
        </row>
        <row r="49">
          <cell r="B49" t="str">
            <v>44</v>
          </cell>
          <cell r="C49">
            <v>69</v>
          </cell>
          <cell r="D49"/>
          <cell r="E49">
            <v>46420</v>
          </cell>
          <cell r="F49">
            <v>673</v>
          </cell>
          <cell r="G49">
            <v>6440</v>
          </cell>
          <cell r="H49" t="str">
            <v>Finance Res Inc. - Used Nissan Veh</v>
          </cell>
          <cell r="I49"/>
          <cell r="J49"/>
          <cell r="K49">
            <v>728</v>
          </cell>
          <cell r="L49"/>
          <cell r="M49">
            <v>546460</v>
          </cell>
          <cell r="N49">
            <v>751</v>
          </cell>
          <cell r="O49" t="str">
            <v>44</v>
          </cell>
        </row>
        <row r="50">
          <cell r="B50" t="str">
            <v>45</v>
          </cell>
          <cell r="C50">
            <v>24</v>
          </cell>
          <cell r="D50">
            <v>49686</v>
          </cell>
          <cell r="E50">
            <v>25849</v>
          </cell>
          <cell r="F50">
            <v>1077</v>
          </cell>
          <cell r="G50">
            <v>4480</v>
          </cell>
          <cell r="H50" t="str">
            <v>Security+Plus Service Contracts Sls. - Used Nissan Veh.</v>
          </cell>
          <cell r="I50"/>
          <cell r="J50"/>
          <cell r="K50">
            <v>277</v>
          </cell>
          <cell r="L50">
            <v>569687</v>
          </cell>
          <cell r="M50">
            <v>273710</v>
          </cell>
          <cell r="N50">
            <v>988</v>
          </cell>
          <cell r="O50" t="str">
            <v>45</v>
          </cell>
        </row>
        <row r="51">
          <cell r="B51" t="str">
            <v>46</v>
          </cell>
          <cell r="C51">
            <v>0</v>
          </cell>
          <cell r="D51">
            <v>0</v>
          </cell>
          <cell r="E51">
            <v>0</v>
          </cell>
          <cell r="F51">
            <v>0</v>
          </cell>
          <cell r="G51">
            <v>4482</v>
          </cell>
          <cell r="H51" t="str">
            <v>Other Svc. Contract Sls. - Used Nissan Veh.</v>
          </cell>
          <cell r="I51"/>
          <cell r="J51"/>
          <cell r="K51">
            <v>0</v>
          </cell>
          <cell r="L51">
            <v>0</v>
          </cell>
          <cell r="M51">
            <v>0</v>
          </cell>
          <cell r="N51">
            <v>0</v>
          </cell>
          <cell r="O51" t="str">
            <v>46</v>
          </cell>
        </row>
        <row r="52">
          <cell r="B52" t="str">
            <v>47</v>
          </cell>
          <cell r="C52">
            <v>27</v>
          </cell>
          <cell r="D52">
            <v>21020</v>
          </cell>
          <cell r="E52">
            <v>10529</v>
          </cell>
          <cell r="F52">
            <v>390</v>
          </cell>
          <cell r="G52">
            <v>4445</v>
          </cell>
          <cell r="H52" t="str">
            <v>GAP Sales - Used Nissan Veh.</v>
          </cell>
          <cell r="I52"/>
          <cell r="J52"/>
          <cell r="K52">
            <v>322</v>
          </cell>
          <cell r="L52">
            <v>252694</v>
          </cell>
          <cell r="M52">
            <v>140624</v>
          </cell>
          <cell r="N52">
            <v>437</v>
          </cell>
          <cell r="O52" t="str">
            <v>47</v>
          </cell>
        </row>
        <row r="53">
          <cell r="B53" t="str">
            <v>48</v>
          </cell>
          <cell r="C53">
            <v>0</v>
          </cell>
          <cell r="D53">
            <v>0</v>
          </cell>
          <cell r="E53">
            <v>0</v>
          </cell>
          <cell r="F53">
            <v>0</v>
          </cell>
          <cell r="G53">
            <v>4481</v>
          </cell>
          <cell r="H53" t="str">
            <v>Maintenance Contract Sales - Used Nissan Veh.</v>
          </cell>
          <cell r="I53"/>
          <cell r="J53"/>
          <cell r="K53">
            <v>21</v>
          </cell>
          <cell r="L53">
            <v>13706</v>
          </cell>
          <cell r="M53">
            <v>6527</v>
          </cell>
          <cell r="N53">
            <v>311</v>
          </cell>
          <cell r="O53" t="str">
            <v>48</v>
          </cell>
        </row>
        <row r="54">
          <cell r="B54" t="str">
            <v>49</v>
          </cell>
          <cell r="C54">
            <v>6</v>
          </cell>
          <cell r="D54">
            <v>7412</v>
          </cell>
          <cell r="E54">
            <v>4448</v>
          </cell>
          <cell r="F54">
            <v>741</v>
          </cell>
          <cell r="G54">
            <v>4452</v>
          </cell>
          <cell r="H54" t="str">
            <v>All Other F &amp; I Products - Used Nissan Veh.</v>
          </cell>
          <cell r="I54"/>
          <cell r="J54"/>
          <cell r="K54">
            <v>91</v>
          </cell>
          <cell r="L54">
            <v>97702</v>
          </cell>
          <cell r="M54">
            <v>56238</v>
          </cell>
          <cell r="N54">
            <v>618</v>
          </cell>
          <cell r="O54" t="str">
            <v>49</v>
          </cell>
        </row>
        <row r="55">
          <cell r="B55" t="str">
            <v>50</v>
          </cell>
          <cell r="C55"/>
          <cell r="D55"/>
          <cell r="E55">
            <v>12047</v>
          </cell>
          <cell r="F55"/>
          <cell r="G55">
            <v>6470</v>
          </cell>
          <cell r="H55" t="str">
            <v>LESS Fin., Ins. &amp; Svc. Cont. Adj. - Used Nissan Veh.</v>
          </cell>
          <cell r="I55"/>
          <cell r="J55"/>
          <cell r="K55"/>
          <cell r="L55"/>
          <cell r="M55">
            <v>107421</v>
          </cell>
          <cell r="N55"/>
          <cell r="O55" t="str">
            <v>50</v>
          </cell>
        </row>
        <row r="56">
          <cell r="B56" t="str">
            <v>51</v>
          </cell>
          <cell r="C56">
            <v>126</v>
          </cell>
          <cell r="D56">
            <v>78118</v>
          </cell>
          <cell r="E56">
            <v>75199</v>
          </cell>
          <cell r="F56">
            <v>1504</v>
          </cell>
          <cell r="G56" t="str">
            <v>SUBTOTAL F &amp; I / SVC. CONT. INC. - USED NISSAN</v>
          </cell>
          <cell r="H56"/>
          <cell r="I56"/>
          <cell r="J56" t="str">
            <v xml:space="preserve">(Lines 44 to 50) </v>
          </cell>
          <cell r="K56">
            <v>1439</v>
          </cell>
          <cell r="L56">
            <v>933789</v>
          </cell>
          <cell r="M56">
            <v>916138</v>
          </cell>
          <cell r="N56">
            <v>1343</v>
          </cell>
          <cell r="O56" t="str">
            <v>51</v>
          </cell>
        </row>
        <row r="57">
          <cell r="B57" t="str">
            <v>52</v>
          </cell>
          <cell r="C57">
            <v>0</v>
          </cell>
          <cell r="D57"/>
          <cell r="E57">
            <v>0</v>
          </cell>
          <cell r="F57">
            <v>0</v>
          </cell>
          <cell r="G57">
            <v>6460</v>
          </cell>
          <cell r="H57" t="str">
            <v>Finance Res. Inc. - Used Other Makes Veh.</v>
          </cell>
          <cell r="I57"/>
          <cell r="J57"/>
          <cell r="K57">
            <v>0</v>
          </cell>
          <cell r="L57"/>
          <cell r="M57">
            <v>0</v>
          </cell>
          <cell r="N57">
            <v>0</v>
          </cell>
          <cell r="O57" t="str">
            <v>52</v>
          </cell>
        </row>
        <row r="58">
          <cell r="B58" t="str">
            <v>53</v>
          </cell>
          <cell r="C58">
            <v>11</v>
          </cell>
          <cell r="D58">
            <v>26905</v>
          </cell>
          <cell r="E58">
            <v>12682</v>
          </cell>
          <cell r="F58">
            <v>1153</v>
          </cell>
          <cell r="G58">
            <v>4485</v>
          </cell>
          <cell r="H58" t="str">
            <v>QualityGuard+Plus Svc. Cont. Sls. - Used Other Makes Veh.</v>
          </cell>
          <cell r="I58"/>
          <cell r="J58"/>
          <cell r="K58">
            <v>135</v>
          </cell>
          <cell r="L58">
            <v>297567</v>
          </cell>
          <cell r="M58">
            <v>137361</v>
          </cell>
          <cell r="N58">
            <v>1017</v>
          </cell>
          <cell r="O58" t="str">
            <v>53</v>
          </cell>
        </row>
        <row r="59">
          <cell r="B59" t="str">
            <v>54</v>
          </cell>
          <cell r="C59">
            <v>0</v>
          </cell>
          <cell r="D59">
            <v>0</v>
          </cell>
          <cell r="E59">
            <v>0</v>
          </cell>
          <cell r="F59">
            <v>0</v>
          </cell>
          <cell r="G59">
            <v>4487</v>
          </cell>
          <cell r="H59" t="str">
            <v>Othr Svc. Contract Sls. - Used Other Makes Veh.</v>
          </cell>
          <cell r="I59"/>
          <cell r="J59"/>
          <cell r="K59">
            <v>0</v>
          </cell>
          <cell r="L59">
            <v>0</v>
          </cell>
          <cell r="M59">
            <v>0</v>
          </cell>
          <cell r="N59">
            <v>0</v>
          </cell>
          <cell r="O59" t="str">
            <v>54</v>
          </cell>
        </row>
        <row r="60">
          <cell r="B60" t="str">
            <v>55</v>
          </cell>
          <cell r="C60">
            <v>0</v>
          </cell>
          <cell r="D60">
            <v>0</v>
          </cell>
          <cell r="E60">
            <v>0</v>
          </cell>
          <cell r="F60">
            <v>0</v>
          </cell>
          <cell r="G60">
            <v>4489</v>
          </cell>
          <cell r="H60" t="str">
            <v>Maintenance Contract Sales - Used Other Makes Veh.</v>
          </cell>
          <cell r="I60"/>
          <cell r="J60"/>
          <cell r="K60">
            <v>5</v>
          </cell>
          <cell r="L60">
            <v>3857</v>
          </cell>
          <cell r="M60">
            <v>1585</v>
          </cell>
          <cell r="N60">
            <v>317</v>
          </cell>
          <cell r="O60" t="str">
            <v>55</v>
          </cell>
        </row>
        <row r="61">
          <cell r="B61" t="str">
            <v>56</v>
          </cell>
          <cell r="C61">
            <v>12</v>
          </cell>
          <cell r="D61">
            <v>9890</v>
          </cell>
          <cell r="E61">
            <v>5140</v>
          </cell>
          <cell r="F61">
            <v>428</v>
          </cell>
          <cell r="G61">
            <v>4465</v>
          </cell>
          <cell r="H61" t="str">
            <v>GAP Sales - Used Other Makes Veh.</v>
          </cell>
          <cell r="I61"/>
          <cell r="J61"/>
          <cell r="K61">
            <v>168</v>
          </cell>
          <cell r="L61">
            <v>130518</v>
          </cell>
          <cell r="M61">
            <v>72936</v>
          </cell>
          <cell r="N61">
            <v>434</v>
          </cell>
          <cell r="O61" t="str">
            <v>56</v>
          </cell>
        </row>
        <row r="62">
          <cell r="B62" t="str">
            <v>57</v>
          </cell>
          <cell r="C62">
            <v>5</v>
          </cell>
          <cell r="D62">
            <v>3519</v>
          </cell>
          <cell r="E62">
            <v>1865</v>
          </cell>
          <cell r="F62">
            <v>373</v>
          </cell>
          <cell r="G62">
            <v>4455</v>
          </cell>
          <cell r="H62" t="str">
            <v>All Other F &amp; I Products - Used Other Makes Veh.</v>
          </cell>
          <cell r="I62"/>
          <cell r="J62"/>
          <cell r="K62">
            <v>47</v>
          </cell>
          <cell r="L62">
            <v>46343</v>
          </cell>
          <cell r="M62">
            <v>26950</v>
          </cell>
          <cell r="N62">
            <v>573</v>
          </cell>
          <cell r="O62" t="str">
            <v>57</v>
          </cell>
        </row>
        <row r="63">
          <cell r="B63" t="str">
            <v>58</v>
          </cell>
          <cell r="C63"/>
          <cell r="D63"/>
          <cell r="E63">
            <v>0</v>
          </cell>
          <cell r="F63"/>
          <cell r="G63">
            <v>6475</v>
          </cell>
          <cell r="H63" t="str">
            <v>LESS Fin., Ins. &amp; Svc. Cont. Adj. - Used Other Makes Veh.</v>
          </cell>
          <cell r="I63"/>
          <cell r="J63"/>
          <cell r="K63"/>
          <cell r="L63"/>
          <cell r="M63">
            <v>21430</v>
          </cell>
          <cell r="N63"/>
          <cell r="O63" t="str">
            <v>58</v>
          </cell>
        </row>
        <row r="64">
          <cell r="B64" t="str">
            <v>59</v>
          </cell>
          <cell r="C64">
            <v>28</v>
          </cell>
          <cell r="D64">
            <v>40314</v>
          </cell>
          <cell r="E64">
            <v>19687</v>
          </cell>
          <cell r="F64">
            <v>505</v>
          </cell>
          <cell r="G64" t="str">
            <v>SUBTOTAL F &amp; I / SVC. CONT INC.- USED OTHER MAKES VEH</v>
          </cell>
          <cell r="H64"/>
          <cell r="I64"/>
          <cell r="J64" t="str">
            <v xml:space="preserve">(Lines 52 to 58) </v>
          </cell>
          <cell r="K64">
            <v>355</v>
          </cell>
          <cell r="L64">
            <v>478285</v>
          </cell>
          <cell r="M64">
            <v>217402</v>
          </cell>
          <cell r="N64">
            <v>528</v>
          </cell>
          <cell r="O64" t="str">
            <v>59</v>
          </cell>
        </row>
        <row r="65">
          <cell r="B65" t="str">
            <v>60</v>
          </cell>
          <cell r="C65">
            <v>154</v>
          </cell>
          <cell r="D65">
            <v>118432</v>
          </cell>
          <cell r="E65">
            <v>94886</v>
          </cell>
          <cell r="F65">
            <v>1066</v>
          </cell>
          <cell r="G65"/>
          <cell r="H65" t="str">
            <v>TOTAL F &amp; I / SVC. CONT. INC. - USED</v>
          </cell>
          <cell r="I65"/>
          <cell r="J65" t="str">
            <v xml:space="preserve">(Lines 51 &amp; 59) </v>
          </cell>
          <cell r="K65">
            <v>1794</v>
          </cell>
          <cell r="L65">
            <v>1412074</v>
          </cell>
          <cell r="M65">
            <v>1133540</v>
          </cell>
          <cell r="N65">
            <v>1036</v>
          </cell>
          <cell r="O65" t="str">
            <v>60</v>
          </cell>
        </row>
        <row r="66">
          <cell r="B66" t="str">
            <v>61</v>
          </cell>
          <cell r="C66"/>
          <cell r="D66"/>
          <cell r="E66">
            <v>386</v>
          </cell>
          <cell r="F66"/>
          <cell r="G66">
            <v>6450</v>
          </cell>
          <cell r="H66" t="str">
            <v>LESS Repo Losses - Used Vehicles</v>
          </cell>
          <cell r="I66"/>
          <cell r="J66"/>
          <cell r="K66"/>
          <cell r="L66"/>
          <cell r="M66">
            <v>16390</v>
          </cell>
          <cell r="N66"/>
          <cell r="O66" t="str">
            <v>61</v>
          </cell>
        </row>
        <row r="67">
          <cell r="B67" t="str">
            <v>62</v>
          </cell>
          <cell r="C67">
            <v>171</v>
          </cell>
          <cell r="D67">
            <v>2203402</v>
          </cell>
          <cell r="E67">
            <v>165134</v>
          </cell>
          <cell r="F67">
            <v>966</v>
          </cell>
          <cell r="G67" t="str">
            <v>TT41</v>
          </cell>
          <cell r="H67" t="str">
            <v>TOTAL USED VEHICLE DEPT.</v>
          </cell>
          <cell r="I67"/>
          <cell r="J67" t="str">
            <v xml:space="preserve">(Lines 43, 60 &amp; 61) </v>
          </cell>
          <cell r="K67">
            <v>2037</v>
          </cell>
          <cell r="L67">
            <v>24986275</v>
          </cell>
          <cell r="M67">
            <v>2422193</v>
          </cell>
          <cell r="N67">
            <v>1189</v>
          </cell>
          <cell r="O67" t="str">
            <v>62</v>
          </cell>
        </row>
        <row r="68">
          <cell r="B68" t="str">
            <v>63</v>
          </cell>
          <cell r="C68">
            <v>357</v>
          </cell>
          <cell r="D68">
            <v>7503816</v>
          </cell>
          <cell r="E68">
            <v>420237</v>
          </cell>
          <cell r="F68">
            <v>1177</v>
          </cell>
          <cell r="G68" t="str">
            <v>TOTAL NEW &amp; USED VEHICLES</v>
          </cell>
          <cell r="H68"/>
          <cell r="I68"/>
          <cell r="J68" t="str">
            <v xml:space="preserve">(Lines 31 &amp; 62) </v>
          </cell>
          <cell r="K68">
            <v>4117</v>
          </cell>
          <cell r="L68">
            <v>80825492</v>
          </cell>
          <cell r="M68">
            <v>4994543</v>
          </cell>
          <cell r="N68">
            <v>1213</v>
          </cell>
          <cell r="O68" t="str">
            <v>63</v>
          </cell>
        </row>
        <row r="69">
          <cell r="B69" t="str">
            <v>64</v>
          </cell>
          <cell r="C69"/>
          <cell r="D69"/>
          <cell r="E69"/>
          <cell r="F69"/>
          <cell r="G69"/>
          <cell r="H69" t="str">
            <v>SERVICE DEPARTMENT (C)</v>
          </cell>
          <cell r="I69"/>
          <cell r="J69"/>
          <cell r="K69"/>
          <cell r="L69"/>
          <cell r="M69"/>
          <cell r="N69"/>
          <cell r="O69" t="str">
            <v>64</v>
          </cell>
        </row>
        <row r="70">
          <cell r="B70" t="str">
            <v>65</v>
          </cell>
          <cell r="C70">
            <v>666</v>
          </cell>
          <cell r="D70">
            <v>86529</v>
          </cell>
          <cell r="E70">
            <v>64941</v>
          </cell>
          <cell r="F70">
            <v>751</v>
          </cell>
          <cell r="G70">
            <v>4500</v>
          </cell>
          <cell r="H70" t="str">
            <v>Cust. Mech. Labor - Nissan Vehicles</v>
          </cell>
          <cell r="I70"/>
          <cell r="J70"/>
          <cell r="K70">
            <v>6448</v>
          </cell>
          <cell r="L70">
            <v>904898</v>
          </cell>
          <cell r="M70">
            <v>675506</v>
          </cell>
          <cell r="N70">
            <v>746</v>
          </cell>
          <cell r="O70" t="str">
            <v>65</v>
          </cell>
        </row>
        <row r="71">
          <cell r="B71" t="str">
            <v>66</v>
          </cell>
          <cell r="C71">
            <v>0</v>
          </cell>
          <cell r="D71">
            <v>0</v>
          </cell>
          <cell r="E71">
            <v>0</v>
          </cell>
          <cell r="F71">
            <v>0</v>
          </cell>
          <cell r="G71">
            <v>4504</v>
          </cell>
          <cell r="H71" t="str">
            <v>Service / Maint Contract - Labor - Nissan Vehicles</v>
          </cell>
          <cell r="I71"/>
          <cell r="J71"/>
          <cell r="K71">
            <v>0</v>
          </cell>
          <cell r="L71">
            <v>0</v>
          </cell>
          <cell r="M71">
            <v>0</v>
          </cell>
          <cell r="N71">
            <v>0</v>
          </cell>
          <cell r="O71" t="str">
            <v>66</v>
          </cell>
        </row>
        <row r="72">
          <cell r="B72" t="str">
            <v>67</v>
          </cell>
          <cell r="C72">
            <v>661</v>
          </cell>
          <cell r="D72">
            <v>62953</v>
          </cell>
          <cell r="E72">
            <v>50329</v>
          </cell>
          <cell r="F72">
            <v>799</v>
          </cell>
          <cell r="G72">
            <v>4540</v>
          </cell>
          <cell r="H72" t="str">
            <v>Warranty Mech. Labor - Nissan Vehicles</v>
          </cell>
          <cell r="I72"/>
          <cell r="J72"/>
          <cell r="K72">
            <v>8344</v>
          </cell>
          <cell r="L72">
            <v>766838</v>
          </cell>
          <cell r="M72">
            <v>616713</v>
          </cell>
          <cell r="N72">
            <v>804</v>
          </cell>
          <cell r="O72" t="str">
            <v>67</v>
          </cell>
        </row>
        <row r="73">
          <cell r="B73" t="str">
            <v>68</v>
          </cell>
          <cell r="C73">
            <v>359</v>
          </cell>
          <cell r="D73">
            <v>50118</v>
          </cell>
          <cell r="E73">
            <v>39263</v>
          </cell>
          <cell r="F73">
            <v>783</v>
          </cell>
          <cell r="G73">
            <v>4550</v>
          </cell>
          <cell r="H73" t="str">
            <v>Internal Mech. Labor - Nissan Vehicles</v>
          </cell>
          <cell r="I73"/>
          <cell r="J73"/>
          <cell r="K73">
            <v>4479</v>
          </cell>
          <cell r="L73">
            <v>620178</v>
          </cell>
          <cell r="M73">
            <v>474964</v>
          </cell>
          <cell r="N73">
            <v>766</v>
          </cell>
          <cell r="O73" t="str">
            <v>68</v>
          </cell>
        </row>
        <row r="74">
          <cell r="B74" t="str">
            <v>69</v>
          </cell>
          <cell r="C74">
            <v>1686</v>
          </cell>
          <cell r="D74">
            <v>199600</v>
          </cell>
          <cell r="E74">
            <v>154533</v>
          </cell>
          <cell r="F74">
            <v>774</v>
          </cell>
          <cell r="G74" t="str">
            <v>SUBTOTAL - NISSAN MECH. LABOR</v>
          </cell>
          <cell r="H74"/>
          <cell r="I74"/>
          <cell r="J74" t="str">
            <v xml:space="preserve">(Lines 65 to 68) </v>
          </cell>
          <cell r="K74">
            <v>19271</v>
          </cell>
          <cell r="L74">
            <v>2291914</v>
          </cell>
          <cell r="M74">
            <v>1767183</v>
          </cell>
          <cell r="N74">
            <v>771</v>
          </cell>
          <cell r="O74" t="str">
            <v>69</v>
          </cell>
        </row>
        <row r="75">
          <cell r="B75" t="str">
            <v>70</v>
          </cell>
          <cell r="C75">
            <v>558</v>
          </cell>
          <cell r="D75">
            <v>15659</v>
          </cell>
          <cell r="E75">
            <v>12355</v>
          </cell>
          <cell r="F75">
            <v>789</v>
          </cell>
          <cell r="G75">
            <v>4502</v>
          </cell>
          <cell r="H75" t="str">
            <v>Express Service - Cust. Mech. Labor - Nissan Vehicles</v>
          </cell>
          <cell r="I75"/>
          <cell r="J75"/>
          <cell r="K75">
            <v>9840</v>
          </cell>
          <cell r="L75">
            <v>229832</v>
          </cell>
          <cell r="M75">
            <v>176849</v>
          </cell>
          <cell r="N75">
            <v>769</v>
          </cell>
          <cell r="O75" t="str">
            <v>70</v>
          </cell>
        </row>
        <row r="76">
          <cell r="B76" t="str">
            <v>71</v>
          </cell>
          <cell r="C76">
            <v>629</v>
          </cell>
          <cell r="D76">
            <v>6872</v>
          </cell>
          <cell r="E76">
            <v>4291</v>
          </cell>
          <cell r="F76">
            <v>624</v>
          </cell>
          <cell r="G76">
            <v>4506</v>
          </cell>
          <cell r="H76" t="str">
            <v>Exp. Service Service / Maint. Cont. Labor - Nissan Vehicles</v>
          </cell>
          <cell r="I76"/>
          <cell r="J76"/>
          <cell r="K76">
            <v>3218</v>
          </cell>
          <cell r="L76">
            <v>32486</v>
          </cell>
          <cell r="M76">
            <v>19460</v>
          </cell>
          <cell r="N76">
            <v>599</v>
          </cell>
          <cell r="O76" t="str">
            <v>71</v>
          </cell>
        </row>
        <row r="77">
          <cell r="B77" t="str">
            <v>72</v>
          </cell>
          <cell r="C77">
            <v>0</v>
          </cell>
          <cell r="D77">
            <v>0</v>
          </cell>
          <cell r="E77">
            <v>0</v>
          </cell>
          <cell r="F77">
            <v>0</v>
          </cell>
          <cell r="G77">
            <v>4543</v>
          </cell>
          <cell r="H77" t="str">
            <v>Express Service - Warranty Labor - Nissan Vehicles</v>
          </cell>
          <cell r="I77"/>
          <cell r="J77"/>
          <cell r="K77">
            <v>0</v>
          </cell>
          <cell r="L77">
            <v>0</v>
          </cell>
          <cell r="M77">
            <v>0</v>
          </cell>
          <cell r="N77">
            <v>0</v>
          </cell>
          <cell r="O77" t="str">
            <v>72</v>
          </cell>
        </row>
        <row r="78">
          <cell r="B78" t="str">
            <v>73</v>
          </cell>
          <cell r="C78">
            <v>0</v>
          </cell>
          <cell r="D78">
            <v>0</v>
          </cell>
          <cell r="E78">
            <v>0</v>
          </cell>
          <cell r="F78">
            <v>0</v>
          </cell>
          <cell r="G78">
            <v>4553</v>
          </cell>
          <cell r="H78" t="str">
            <v>Express Service Internal Labor - Nissan Vehicles</v>
          </cell>
          <cell r="I78"/>
          <cell r="J78"/>
          <cell r="K78">
            <v>0</v>
          </cell>
          <cell r="L78">
            <v>0</v>
          </cell>
          <cell r="M78">
            <v>0</v>
          </cell>
          <cell r="N78">
            <v>0</v>
          </cell>
          <cell r="O78" t="str">
            <v>73</v>
          </cell>
        </row>
        <row r="79">
          <cell r="B79" t="str">
            <v>74</v>
          </cell>
          <cell r="C79">
            <v>1187</v>
          </cell>
          <cell r="D79">
            <v>22531</v>
          </cell>
          <cell r="E79">
            <v>16646</v>
          </cell>
          <cell r="F79">
            <v>739</v>
          </cell>
          <cell r="G79" t="str">
            <v>SUBTOTAL - ES NISSAN MECH. LABOR</v>
          </cell>
          <cell r="H79"/>
          <cell r="I79"/>
          <cell r="J79" t="str">
            <v>(Lines 70 to 73)</v>
          </cell>
          <cell r="K79">
            <v>13058</v>
          </cell>
          <cell r="L79">
            <v>262318</v>
          </cell>
          <cell r="M79">
            <v>196309</v>
          </cell>
          <cell r="N79">
            <v>748</v>
          </cell>
          <cell r="O79" t="str">
            <v>74</v>
          </cell>
        </row>
      </sheetData>
      <sheetData sheetId="5" refreshError="1">
        <row r="1">
          <cell r="B1"/>
          <cell r="C1" t="str">
            <v>FIXED OPERATIONS SALES AND GROSS PROFIT</v>
          </cell>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cell r="BE1"/>
          <cell r="BF1"/>
          <cell r="BG1"/>
          <cell r="BH1"/>
          <cell r="BI1"/>
          <cell r="BJ1"/>
          <cell r="BK1"/>
          <cell r="BL1"/>
          <cell r="BM1"/>
          <cell r="BN1"/>
          <cell r="BO1"/>
          <cell r="BP1"/>
          <cell r="BQ1"/>
          <cell r="BR1"/>
          <cell r="BS1"/>
          <cell r="BT1"/>
          <cell r="BU1"/>
          <cell r="BV1"/>
          <cell r="BW1"/>
          <cell r="BX1"/>
          <cell r="BY1"/>
          <cell r="BZ1"/>
          <cell r="CA1"/>
          <cell r="CB1"/>
          <cell r="CC1"/>
          <cell r="CD1"/>
          <cell r="CE1"/>
          <cell r="CF1"/>
          <cell r="CG1"/>
          <cell r="CH1"/>
          <cell r="CI1"/>
          <cell r="CJ1"/>
          <cell r="CK1"/>
          <cell r="CL1"/>
          <cell r="CM1"/>
          <cell r="CN1"/>
          <cell r="CO1"/>
          <cell r="CP1"/>
          <cell r="CQ1"/>
          <cell r="CR1"/>
          <cell r="CS1"/>
          <cell r="CT1"/>
          <cell r="CU1"/>
          <cell r="CV1"/>
          <cell r="CW1"/>
          <cell r="CX1"/>
          <cell r="CY1"/>
        </row>
        <row r="2">
          <cell r="B2" t="str">
            <v>Page 6</v>
          </cell>
          <cell r="C2" t="str">
            <v>Current Month: (Month)</v>
          </cell>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cell r="BF2"/>
          <cell r="BG2"/>
          <cell r="BH2"/>
          <cell r="BI2" t="str">
            <v>Year to Date: (Year)</v>
          </cell>
          <cell r="BJ2"/>
          <cell r="BK2"/>
          <cell r="BL2"/>
          <cell r="BM2"/>
          <cell r="BN2"/>
          <cell r="BO2"/>
          <cell r="BP2"/>
          <cell r="BQ2"/>
          <cell r="BR2"/>
          <cell r="BS2"/>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cell r="CX2"/>
          <cell r="CY2"/>
        </row>
        <row r="3">
          <cell r="B3" t="str">
            <v>LINE NO</v>
          </cell>
          <cell r="C3" t="str">
            <v>UNITS</v>
          </cell>
          <cell r="D3"/>
          <cell r="E3"/>
          <cell r="F3"/>
          <cell r="G3"/>
          <cell r="H3"/>
          <cell r="I3"/>
          <cell r="J3"/>
          <cell r="K3" t="str">
            <v>SALES</v>
          </cell>
          <cell r="L3"/>
          <cell r="M3"/>
          <cell r="N3"/>
          <cell r="O3"/>
          <cell r="P3"/>
          <cell r="Q3"/>
          <cell r="R3"/>
          <cell r="S3"/>
          <cell r="T3"/>
          <cell r="U3"/>
          <cell r="V3"/>
          <cell r="W3"/>
          <cell r="X3" t="str">
            <v>GROSS PROFIT</v>
          </cell>
          <cell r="Y3"/>
          <cell r="Z3"/>
          <cell r="AA3"/>
          <cell r="AB3"/>
          <cell r="AC3"/>
          <cell r="AD3"/>
          <cell r="AE3"/>
          <cell r="AF3"/>
          <cell r="AG3"/>
          <cell r="AH3"/>
          <cell r="AI3"/>
          <cell r="AJ3"/>
          <cell r="AK3" t="str">
            <v>GROSS SS%</v>
          </cell>
          <cell r="AL3"/>
          <cell r="AM3"/>
          <cell r="AN3"/>
          <cell r="AO3"/>
          <cell r="AP3"/>
          <cell r="AQ3"/>
          <cell r="AR3"/>
          <cell r="AS3" t="str">
            <v>ACCT. NO.</v>
          </cell>
          <cell r="AT3" t="str">
            <v>ACCOUNT NAME</v>
          </cell>
          <cell r="AU3"/>
          <cell r="AV3"/>
          <cell r="AW3"/>
          <cell r="AX3"/>
          <cell r="AY3"/>
          <cell r="AZ3"/>
          <cell r="BA3"/>
          <cell r="BB3"/>
          <cell r="BC3"/>
          <cell r="BD3"/>
          <cell r="BE3"/>
          <cell r="BF3"/>
          <cell r="BG3"/>
          <cell r="BH3"/>
          <cell r="BI3" t="str">
            <v>UNITS</v>
          </cell>
          <cell r="BJ3"/>
          <cell r="BK3"/>
          <cell r="BL3"/>
          <cell r="BM3"/>
          <cell r="BN3"/>
          <cell r="BO3"/>
          <cell r="BP3"/>
          <cell r="BQ3" t="str">
            <v>SALES</v>
          </cell>
          <cell r="BR3"/>
          <cell r="BS3"/>
          <cell r="BT3"/>
          <cell r="BU3"/>
          <cell r="BV3"/>
          <cell r="BW3"/>
          <cell r="BX3"/>
          <cell r="BY3"/>
          <cell r="BZ3"/>
          <cell r="CA3"/>
          <cell r="CB3"/>
          <cell r="CC3"/>
          <cell r="CD3" t="str">
            <v>GROSS PROFIT</v>
          </cell>
          <cell r="CE3"/>
          <cell r="CF3"/>
          <cell r="CG3"/>
          <cell r="CH3"/>
          <cell r="CI3"/>
          <cell r="CJ3"/>
          <cell r="CK3"/>
          <cell r="CL3"/>
          <cell r="CM3"/>
          <cell r="CN3"/>
          <cell r="CO3"/>
          <cell r="CP3"/>
          <cell r="CQ3" t="str">
            <v>GROSS SS%</v>
          </cell>
          <cell r="CR3"/>
          <cell r="CS3"/>
          <cell r="CT3"/>
          <cell r="CU3"/>
          <cell r="CV3"/>
          <cell r="CW3"/>
          <cell r="CX3"/>
          <cell r="CY3" t="str">
            <v>LINE NO</v>
          </cell>
        </row>
        <row r="4">
          <cell r="B4"/>
          <cell r="C4"/>
          <cell r="D4"/>
          <cell r="E4"/>
          <cell r="F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cell r="BF4"/>
          <cell r="BG4"/>
          <cell r="BH4"/>
          <cell r="BI4"/>
          <cell r="BJ4"/>
          <cell r="BK4"/>
          <cell r="BL4"/>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cell r="CV4"/>
          <cell r="CW4"/>
          <cell r="CX4"/>
          <cell r="CY4"/>
        </row>
        <row r="5">
          <cell r="B5" t="str">
            <v>1</v>
          </cell>
          <cell r="C5" t="str">
            <v># RO's</v>
          </cell>
          <cell r="D5"/>
          <cell r="E5"/>
          <cell r="F5" t="e">
            <v>#REF!</v>
          </cell>
          <cell r="G5"/>
          <cell r="H5"/>
          <cell r="I5"/>
          <cell r="J5"/>
          <cell r="K5"/>
          <cell r="L5"/>
          <cell r="M5"/>
          <cell r="N5"/>
          <cell r="O5"/>
          <cell r="P5"/>
          <cell r="Q5"/>
          <cell r="R5"/>
          <cell r="S5" t="e">
            <v>#REF!</v>
          </cell>
          <cell r="T5"/>
          <cell r="U5"/>
          <cell r="V5"/>
          <cell r="W5"/>
          <cell r="X5"/>
          <cell r="Y5"/>
          <cell r="Z5"/>
          <cell r="AA5"/>
          <cell r="AB5"/>
          <cell r="AC5"/>
          <cell r="AD5"/>
          <cell r="AE5"/>
          <cell r="AF5" t="e">
            <v>#REF!</v>
          </cell>
          <cell r="AG5"/>
          <cell r="AH5"/>
          <cell r="AI5"/>
          <cell r="AJ5"/>
          <cell r="AK5" t="str">
            <v>GP%SLS</v>
          </cell>
          <cell r="AL5"/>
          <cell r="AM5"/>
          <cell r="AN5" t="e">
            <v>#REF!</v>
          </cell>
          <cell r="AO5"/>
          <cell r="AP5"/>
          <cell r="AQ5"/>
          <cell r="AR5"/>
          <cell r="AS5" t="str">
            <v>SERVICE DEPARTMENT (C)</v>
          </cell>
          <cell r="AT5"/>
          <cell r="AU5"/>
          <cell r="AV5"/>
          <cell r="AW5"/>
          <cell r="AX5"/>
          <cell r="AY5"/>
          <cell r="AZ5"/>
          <cell r="BA5"/>
          <cell r="BB5"/>
          <cell r="BC5"/>
          <cell r="BD5"/>
          <cell r="BE5"/>
          <cell r="BF5"/>
          <cell r="BG5"/>
          <cell r="BH5"/>
          <cell r="BI5" t="str">
            <v># RO's</v>
          </cell>
          <cell r="BJ5"/>
          <cell r="BK5"/>
          <cell r="BL5" t="e">
            <v>#REF!</v>
          </cell>
          <cell r="BM5"/>
          <cell r="BN5"/>
          <cell r="BO5"/>
          <cell r="BP5"/>
          <cell r="BQ5"/>
          <cell r="BR5"/>
          <cell r="BS5"/>
          <cell r="BT5"/>
          <cell r="BU5"/>
          <cell r="BV5"/>
          <cell r="BW5"/>
          <cell r="BX5"/>
          <cell r="BY5" t="e">
            <v>#REF!</v>
          </cell>
          <cell r="BZ5"/>
          <cell r="CA5"/>
          <cell r="CB5"/>
          <cell r="CC5"/>
          <cell r="CD5"/>
          <cell r="CE5"/>
          <cell r="CF5"/>
          <cell r="CG5"/>
          <cell r="CH5"/>
          <cell r="CI5"/>
          <cell r="CJ5"/>
          <cell r="CK5"/>
          <cell r="CL5" t="e">
            <v>#REF!</v>
          </cell>
          <cell r="CM5"/>
          <cell r="CN5"/>
          <cell r="CO5"/>
          <cell r="CP5"/>
          <cell r="CQ5" t="str">
            <v>GP%SLS</v>
          </cell>
          <cell r="CR5"/>
          <cell r="CS5"/>
          <cell r="CT5" t="e">
            <v>#REF!</v>
          </cell>
          <cell r="CU5"/>
          <cell r="CV5"/>
          <cell r="CW5"/>
          <cell r="CX5"/>
          <cell r="CY5" t="str">
            <v>1</v>
          </cell>
        </row>
        <row r="6">
          <cell r="B6" t="str">
            <v>2</v>
          </cell>
          <cell r="C6">
            <v>0</v>
          </cell>
          <cell r="D6"/>
          <cell r="E6"/>
          <cell r="F6" t="e">
            <v>#REF!</v>
          </cell>
          <cell r="G6"/>
          <cell r="H6"/>
          <cell r="I6"/>
          <cell r="J6"/>
          <cell r="K6">
            <v>0</v>
          </cell>
          <cell r="L6"/>
          <cell r="M6"/>
          <cell r="N6"/>
          <cell r="O6"/>
          <cell r="P6"/>
          <cell r="Q6"/>
          <cell r="R6"/>
          <cell r="S6" t="e">
            <v>#REF!</v>
          </cell>
          <cell r="T6"/>
          <cell r="U6"/>
          <cell r="V6"/>
          <cell r="W6"/>
          <cell r="X6">
            <v>0</v>
          </cell>
          <cell r="Y6"/>
          <cell r="Z6"/>
          <cell r="AA6"/>
          <cell r="AB6"/>
          <cell r="AC6"/>
          <cell r="AD6"/>
          <cell r="AE6"/>
          <cell r="AF6" t="e">
            <v>#REF!</v>
          </cell>
          <cell r="AG6"/>
          <cell r="AH6"/>
          <cell r="AI6"/>
          <cell r="AJ6"/>
          <cell r="AK6">
            <v>0</v>
          </cell>
          <cell r="AL6"/>
          <cell r="AM6"/>
          <cell r="AN6" t="e">
            <v>#REF!</v>
          </cell>
          <cell r="AO6"/>
          <cell r="AP6"/>
          <cell r="AQ6"/>
          <cell r="AR6"/>
          <cell r="AS6">
            <v>4530</v>
          </cell>
          <cell r="AT6" t="str">
            <v>Cust. Mech. Labor - NCV Vehicles</v>
          </cell>
          <cell r="AU6"/>
          <cell r="AV6"/>
          <cell r="AW6"/>
          <cell r="AX6"/>
          <cell r="AY6"/>
          <cell r="AZ6"/>
          <cell r="BA6"/>
          <cell r="BB6"/>
          <cell r="BC6"/>
          <cell r="BD6"/>
          <cell r="BE6"/>
          <cell r="BF6"/>
          <cell r="BG6"/>
          <cell r="BH6"/>
          <cell r="BI6">
            <v>0</v>
          </cell>
          <cell r="BJ6"/>
          <cell r="BK6"/>
          <cell r="BL6" t="e">
            <v>#REF!</v>
          </cell>
          <cell r="BM6"/>
          <cell r="BN6"/>
          <cell r="BO6"/>
          <cell r="BP6"/>
          <cell r="BQ6">
            <v>0</v>
          </cell>
          <cell r="BR6"/>
          <cell r="BS6"/>
          <cell r="BT6"/>
          <cell r="BU6"/>
          <cell r="BV6"/>
          <cell r="BW6"/>
          <cell r="BX6"/>
          <cell r="BY6" t="e">
            <v>#REF!</v>
          </cell>
          <cell r="BZ6"/>
          <cell r="CA6"/>
          <cell r="CB6"/>
          <cell r="CC6"/>
          <cell r="CD6">
            <v>0</v>
          </cell>
          <cell r="CE6"/>
          <cell r="CF6"/>
          <cell r="CG6"/>
          <cell r="CH6"/>
          <cell r="CI6"/>
          <cell r="CJ6"/>
          <cell r="CK6"/>
          <cell r="CL6" t="e">
            <v>#REF!</v>
          </cell>
          <cell r="CM6"/>
          <cell r="CN6"/>
          <cell r="CO6"/>
          <cell r="CP6"/>
          <cell r="CQ6">
            <v>0</v>
          </cell>
          <cell r="CR6"/>
          <cell r="CS6"/>
          <cell r="CT6" t="e">
            <v>#REF!</v>
          </cell>
          <cell r="CU6"/>
          <cell r="CV6"/>
          <cell r="CW6"/>
          <cell r="CX6"/>
          <cell r="CY6" t="str">
            <v>2</v>
          </cell>
        </row>
        <row r="7">
          <cell r="B7" t="str">
            <v>3</v>
          </cell>
          <cell r="C7">
            <v>0</v>
          </cell>
          <cell r="D7"/>
          <cell r="E7"/>
          <cell r="F7" t="e">
            <v>#REF!</v>
          </cell>
          <cell r="G7"/>
          <cell r="H7"/>
          <cell r="I7"/>
          <cell r="J7"/>
          <cell r="K7">
            <v>0</v>
          </cell>
          <cell r="L7"/>
          <cell r="M7"/>
          <cell r="N7"/>
          <cell r="O7"/>
          <cell r="P7"/>
          <cell r="Q7"/>
          <cell r="R7"/>
          <cell r="S7" t="e">
            <v>#REF!</v>
          </cell>
          <cell r="T7"/>
          <cell r="U7"/>
          <cell r="V7"/>
          <cell r="W7"/>
          <cell r="X7">
            <v>0</v>
          </cell>
          <cell r="Y7"/>
          <cell r="Z7"/>
          <cell r="AA7"/>
          <cell r="AB7"/>
          <cell r="AC7"/>
          <cell r="AD7"/>
          <cell r="AE7"/>
          <cell r="AF7" t="e">
            <v>#REF!</v>
          </cell>
          <cell r="AG7"/>
          <cell r="AH7"/>
          <cell r="AI7"/>
          <cell r="AJ7"/>
          <cell r="AK7">
            <v>0</v>
          </cell>
          <cell r="AL7"/>
          <cell r="AM7"/>
          <cell r="AN7" t="e">
            <v>#REF!</v>
          </cell>
          <cell r="AO7"/>
          <cell r="AP7"/>
          <cell r="AQ7"/>
          <cell r="AR7"/>
          <cell r="AS7">
            <v>4532</v>
          </cell>
          <cell r="AT7" t="str">
            <v>Express Service - Labor - NCV Vehicles</v>
          </cell>
          <cell r="AU7"/>
          <cell r="AV7"/>
          <cell r="AW7"/>
          <cell r="AX7"/>
          <cell r="AY7"/>
          <cell r="AZ7"/>
          <cell r="BA7"/>
          <cell r="BB7"/>
          <cell r="BC7"/>
          <cell r="BD7"/>
          <cell r="BE7"/>
          <cell r="BF7"/>
          <cell r="BG7"/>
          <cell r="BH7"/>
          <cell r="BI7">
            <v>0</v>
          </cell>
          <cell r="BJ7"/>
          <cell r="BK7"/>
          <cell r="BL7" t="e">
            <v>#REF!</v>
          </cell>
          <cell r="BM7"/>
          <cell r="BN7"/>
          <cell r="BO7"/>
          <cell r="BP7"/>
          <cell r="BQ7">
            <v>0</v>
          </cell>
          <cell r="BR7"/>
          <cell r="BS7"/>
          <cell r="BT7"/>
          <cell r="BU7"/>
          <cell r="BV7"/>
          <cell r="BW7"/>
          <cell r="BX7"/>
          <cell r="BY7" t="e">
            <v>#REF!</v>
          </cell>
          <cell r="BZ7"/>
          <cell r="CA7"/>
          <cell r="CB7"/>
          <cell r="CC7"/>
          <cell r="CD7">
            <v>0</v>
          </cell>
          <cell r="CE7"/>
          <cell r="CF7"/>
          <cell r="CG7"/>
          <cell r="CH7"/>
          <cell r="CI7"/>
          <cell r="CJ7"/>
          <cell r="CK7"/>
          <cell r="CL7" t="e">
            <v>#REF!</v>
          </cell>
          <cell r="CM7"/>
          <cell r="CN7"/>
          <cell r="CO7"/>
          <cell r="CP7"/>
          <cell r="CQ7">
            <v>0</v>
          </cell>
          <cell r="CR7"/>
          <cell r="CS7"/>
          <cell r="CT7" t="e">
            <v>#REF!</v>
          </cell>
          <cell r="CU7"/>
          <cell r="CV7"/>
          <cell r="CW7"/>
          <cell r="CX7"/>
          <cell r="CY7" t="str">
            <v>3</v>
          </cell>
        </row>
        <row r="8">
          <cell r="B8" t="str">
            <v>4</v>
          </cell>
          <cell r="C8">
            <v>0</v>
          </cell>
          <cell r="D8"/>
          <cell r="E8"/>
          <cell r="F8" t="e">
            <v>#REF!</v>
          </cell>
          <cell r="G8"/>
          <cell r="H8"/>
          <cell r="I8"/>
          <cell r="J8"/>
          <cell r="K8">
            <v>0</v>
          </cell>
          <cell r="L8"/>
          <cell r="M8"/>
          <cell r="N8"/>
          <cell r="O8"/>
          <cell r="P8"/>
          <cell r="Q8"/>
          <cell r="R8"/>
          <cell r="S8" t="e">
            <v>#REF!</v>
          </cell>
          <cell r="T8"/>
          <cell r="U8"/>
          <cell r="V8"/>
          <cell r="W8"/>
          <cell r="X8">
            <v>0</v>
          </cell>
          <cell r="Y8"/>
          <cell r="Z8"/>
          <cell r="AA8"/>
          <cell r="AB8"/>
          <cell r="AC8"/>
          <cell r="AD8"/>
          <cell r="AE8"/>
          <cell r="AF8" t="e">
            <v>#REF!</v>
          </cell>
          <cell r="AG8"/>
          <cell r="AH8"/>
          <cell r="AI8"/>
          <cell r="AJ8"/>
          <cell r="AK8">
            <v>0</v>
          </cell>
          <cell r="AL8"/>
          <cell r="AM8"/>
          <cell r="AN8" t="e">
            <v>#REF!</v>
          </cell>
          <cell r="AO8"/>
          <cell r="AP8"/>
          <cell r="AQ8"/>
          <cell r="AR8"/>
          <cell r="AS8">
            <v>4534</v>
          </cell>
          <cell r="AT8" t="str">
            <v>Service / Maint. Contract - Labor - NCV Vehicles</v>
          </cell>
          <cell r="AU8"/>
          <cell r="AV8"/>
          <cell r="AW8"/>
          <cell r="AX8"/>
          <cell r="AY8"/>
          <cell r="AZ8"/>
          <cell r="BA8"/>
          <cell r="BB8"/>
          <cell r="BC8"/>
          <cell r="BD8"/>
          <cell r="BE8"/>
          <cell r="BF8"/>
          <cell r="BG8"/>
          <cell r="BH8"/>
          <cell r="BI8">
            <v>0</v>
          </cell>
          <cell r="BJ8"/>
          <cell r="BK8"/>
          <cell r="BL8" t="e">
            <v>#REF!</v>
          </cell>
          <cell r="BM8"/>
          <cell r="BN8"/>
          <cell r="BO8"/>
          <cell r="BP8"/>
          <cell r="BQ8">
            <v>0</v>
          </cell>
          <cell r="BR8"/>
          <cell r="BS8"/>
          <cell r="BT8"/>
          <cell r="BU8"/>
          <cell r="BV8"/>
          <cell r="BW8"/>
          <cell r="BX8"/>
          <cell r="BY8" t="e">
            <v>#REF!</v>
          </cell>
          <cell r="BZ8"/>
          <cell r="CA8"/>
          <cell r="CB8"/>
          <cell r="CC8"/>
          <cell r="CD8">
            <v>0</v>
          </cell>
          <cell r="CE8"/>
          <cell r="CF8"/>
          <cell r="CG8"/>
          <cell r="CH8"/>
          <cell r="CI8"/>
          <cell r="CJ8"/>
          <cell r="CK8"/>
          <cell r="CL8" t="e">
            <v>#REF!</v>
          </cell>
          <cell r="CM8"/>
          <cell r="CN8"/>
          <cell r="CO8"/>
          <cell r="CP8"/>
          <cell r="CQ8">
            <v>0</v>
          </cell>
          <cell r="CR8"/>
          <cell r="CS8"/>
          <cell r="CT8" t="e">
            <v>#REF!</v>
          </cell>
          <cell r="CU8"/>
          <cell r="CV8"/>
          <cell r="CW8"/>
          <cell r="CX8"/>
          <cell r="CY8" t="str">
            <v>4</v>
          </cell>
        </row>
        <row r="9">
          <cell r="B9" t="str">
            <v>5</v>
          </cell>
          <cell r="C9">
            <v>0</v>
          </cell>
          <cell r="D9"/>
          <cell r="E9"/>
          <cell r="F9" t="e">
            <v>#REF!</v>
          </cell>
          <cell r="G9"/>
          <cell r="H9"/>
          <cell r="I9"/>
          <cell r="J9"/>
          <cell r="K9">
            <v>0</v>
          </cell>
          <cell r="L9"/>
          <cell r="M9"/>
          <cell r="N9"/>
          <cell r="O9"/>
          <cell r="P9"/>
          <cell r="Q9"/>
          <cell r="R9"/>
          <cell r="S9" t="e">
            <v>#REF!</v>
          </cell>
          <cell r="T9"/>
          <cell r="U9"/>
          <cell r="V9"/>
          <cell r="W9"/>
          <cell r="X9">
            <v>0</v>
          </cell>
          <cell r="Y9"/>
          <cell r="Z9"/>
          <cell r="AA9"/>
          <cell r="AB9"/>
          <cell r="AC9"/>
          <cell r="AD9"/>
          <cell r="AE9"/>
          <cell r="AF9" t="e">
            <v>#REF!</v>
          </cell>
          <cell r="AG9"/>
          <cell r="AH9"/>
          <cell r="AI9"/>
          <cell r="AJ9"/>
          <cell r="AK9">
            <v>0</v>
          </cell>
          <cell r="AL9"/>
          <cell r="AM9"/>
          <cell r="AN9" t="e">
            <v>#REF!</v>
          </cell>
          <cell r="AO9"/>
          <cell r="AP9"/>
          <cell r="AQ9"/>
          <cell r="AR9"/>
          <cell r="AS9">
            <v>4548</v>
          </cell>
          <cell r="AT9" t="str">
            <v>Warranty Mech. Labor - NCV Vehicles</v>
          </cell>
          <cell r="AU9"/>
          <cell r="AV9"/>
          <cell r="AW9"/>
          <cell r="AX9"/>
          <cell r="AY9"/>
          <cell r="AZ9"/>
          <cell r="BA9"/>
          <cell r="BB9"/>
          <cell r="BC9"/>
          <cell r="BD9"/>
          <cell r="BE9"/>
          <cell r="BF9"/>
          <cell r="BG9"/>
          <cell r="BH9"/>
          <cell r="BI9">
            <v>0</v>
          </cell>
          <cell r="BJ9"/>
          <cell r="BK9"/>
          <cell r="BL9" t="e">
            <v>#REF!</v>
          </cell>
          <cell r="BM9"/>
          <cell r="BN9"/>
          <cell r="BO9"/>
          <cell r="BP9"/>
          <cell r="BQ9">
            <v>0</v>
          </cell>
          <cell r="BR9"/>
          <cell r="BS9"/>
          <cell r="BT9"/>
          <cell r="BU9"/>
          <cell r="BV9"/>
          <cell r="BW9"/>
          <cell r="BX9"/>
          <cell r="BY9" t="e">
            <v>#REF!</v>
          </cell>
          <cell r="BZ9"/>
          <cell r="CA9"/>
          <cell r="CB9"/>
          <cell r="CC9"/>
          <cell r="CD9">
            <v>0</v>
          </cell>
          <cell r="CE9"/>
          <cell r="CF9"/>
          <cell r="CG9"/>
          <cell r="CH9"/>
          <cell r="CI9"/>
          <cell r="CJ9"/>
          <cell r="CK9"/>
          <cell r="CL9" t="e">
            <v>#REF!</v>
          </cell>
          <cell r="CM9"/>
          <cell r="CN9"/>
          <cell r="CO9"/>
          <cell r="CP9"/>
          <cell r="CQ9">
            <v>0</v>
          </cell>
          <cell r="CR9"/>
          <cell r="CS9"/>
          <cell r="CT9" t="e">
            <v>#REF!</v>
          </cell>
          <cell r="CU9"/>
          <cell r="CV9"/>
          <cell r="CW9"/>
          <cell r="CX9"/>
          <cell r="CY9" t="str">
            <v>5</v>
          </cell>
        </row>
        <row r="10">
          <cell r="B10" t="str">
            <v>6</v>
          </cell>
          <cell r="C10">
            <v>0</v>
          </cell>
          <cell r="D10"/>
          <cell r="E10"/>
          <cell r="F10" t="e">
            <v>#REF!</v>
          </cell>
          <cell r="G10"/>
          <cell r="H10"/>
          <cell r="I10"/>
          <cell r="J10"/>
          <cell r="K10">
            <v>0</v>
          </cell>
          <cell r="L10"/>
          <cell r="M10"/>
          <cell r="N10"/>
          <cell r="O10"/>
          <cell r="P10"/>
          <cell r="Q10"/>
          <cell r="R10"/>
          <cell r="S10" t="e">
            <v>#REF!</v>
          </cell>
          <cell r="T10"/>
          <cell r="U10"/>
          <cell r="V10"/>
          <cell r="W10"/>
          <cell r="X10">
            <v>0</v>
          </cell>
          <cell r="Y10"/>
          <cell r="Z10"/>
          <cell r="AA10"/>
          <cell r="AB10"/>
          <cell r="AC10"/>
          <cell r="AD10"/>
          <cell r="AE10"/>
          <cell r="AF10" t="e">
            <v>#REF!</v>
          </cell>
          <cell r="AG10"/>
          <cell r="AH10"/>
          <cell r="AI10"/>
          <cell r="AJ10"/>
          <cell r="AK10">
            <v>0</v>
          </cell>
          <cell r="AL10"/>
          <cell r="AM10"/>
          <cell r="AN10" t="e">
            <v>#REF!</v>
          </cell>
          <cell r="AO10"/>
          <cell r="AP10"/>
          <cell r="AQ10"/>
          <cell r="AR10"/>
          <cell r="AS10">
            <v>4558</v>
          </cell>
          <cell r="AT10" t="str">
            <v>Internal Mech. Labor - NCV Vehicles</v>
          </cell>
          <cell r="AU10"/>
          <cell r="AV10"/>
          <cell r="AW10"/>
          <cell r="AX10"/>
          <cell r="AY10"/>
          <cell r="AZ10"/>
          <cell r="BA10"/>
          <cell r="BB10"/>
          <cell r="BC10"/>
          <cell r="BD10"/>
          <cell r="BE10"/>
          <cell r="BF10"/>
          <cell r="BG10"/>
          <cell r="BH10"/>
          <cell r="BI10">
            <v>0</v>
          </cell>
          <cell r="BJ10"/>
          <cell r="BK10"/>
          <cell r="BL10" t="e">
            <v>#REF!</v>
          </cell>
          <cell r="BM10"/>
          <cell r="BN10"/>
          <cell r="BO10"/>
          <cell r="BP10"/>
          <cell r="BQ10">
            <v>0</v>
          </cell>
          <cell r="BR10"/>
          <cell r="BS10"/>
          <cell r="BT10"/>
          <cell r="BU10"/>
          <cell r="BV10"/>
          <cell r="BW10"/>
          <cell r="BX10"/>
          <cell r="BY10" t="e">
            <v>#REF!</v>
          </cell>
          <cell r="BZ10"/>
          <cell r="CA10"/>
          <cell r="CB10"/>
          <cell r="CC10"/>
          <cell r="CD10">
            <v>0</v>
          </cell>
          <cell r="CE10"/>
          <cell r="CF10"/>
          <cell r="CG10"/>
          <cell r="CH10"/>
          <cell r="CI10"/>
          <cell r="CJ10"/>
          <cell r="CK10"/>
          <cell r="CL10" t="e">
            <v>#REF!</v>
          </cell>
          <cell r="CM10"/>
          <cell r="CN10"/>
          <cell r="CO10"/>
          <cell r="CP10"/>
          <cell r="CQ10">
            <v>0</v>
          </cell>
          <cell r="CR10"/>
          <cell r="CS10"/>
          <cell r="CT10" t="e">
            <v>#REF!</v>
          </cell>
          <cell r="CU10"/>
          <cell r="CV10"/>
          <cell r="CW10"/>
          <cell r="CX10"/>
          <cell r="CY10" t="str">
            <v>6</v>
          </cell>
        </row>
        <row r="11">
          <cell r="B11" t="str">
            <v>7</v>
          </cell>
          <cell r="C11">
            <v>0</v>
          </cell>
          <cell r="D11"/>
          <cell r="E11"/>
          <cell r="F11" t="e">
            <v>#REF!</v>
          </cell>
          <cell r="G11"/>
          <cell r="H11"/>
          <cell r="I11"/>
          <cell r="J11"/>
          <cell r="K11">
            <v>0</v>
          </cell>
          <cell r="L11"/>
          <cell r="M11"/>
          <cell r="N11"/>
          <cell r="O11"/>
          <cell r="P11"/>
          <cell r="Q11"/>
          <cell r="R11"/>
          <cell r="S11" t="e">
            <v>#REF!</v>
          </cell>
          <cell r="T11"/>
          <cell r="U11"/>
          <cell r="V11"/>
          <cell r="W11"/>
          <cell r="X11">
            <v>0</v>
          </cell>
          <cell r="Y11"/>
          <cell r="Z11"/>
          <cell r="AA11"/>
          <cell r="AB11"/>
          <cell r="AC11"/>
          <cell r="AD11"/>
          <cell r="AE11"/>
          <cell r="AF11" t="e">
            <v>#REF!</v>
          </cell>
          <cell r="AG11"/>
          <cell r="AH11"/>
          <cell r="AI11"/>
          <cell r="AJ11"/>
          <cell r="AK11">
            <v>0</v>
          </cell>
          <cell r="AL11"/>
          <cell r="AM11"/>
          <cell r="AN11" t="e">
            <v>#REF!</v>
          </cell>
          <cell r="AO11"/>
          <cell r="AP11"/>
          <cell r="AQ11"/>
          <cell r="AR11"/>
          <cell r="AS11"/>
          <cell r="AT11" t="str">
            <v>SUBTOTAL - NCV MECH. LABOR</v>
          </cell>
          <cell r="AU11"/>
          <cell r="AV11"/>
          <cell r="AW11"/>
          <cell r="AX11"/>
          <cell r="AY11"/>
          <cell r="AZ11"/>
          <cell r="BA11"/>
          <cell r="BB11"/>
          <cell r="BC11"/>
          <cell r="BD11"/>
          <cell r="BE11"/>
          <cell r="BF11"/>
          <cell r="BG11"/>
          <cell r="BH11" t="str">
            <v xml:space="preserve">(Lines 2 to 6) </v>
          </cell>
          <cell r="BI11">
            <v>0</v>
          </cell>
          <cell r="BJ11"/>
          <cell r="BK11"/>
          <cell r="BL11" t="e">
            <v>#REF!</v>
          </cell>
          <cell r="BM11"/>
          <cell r="BN11"/>
          <cell r="BO11"/>
          <cell r="BP11"/>
          <cell r="BQ11">
            <v>0</v>
          </cell>
          <cell r="BR11"/>
          <cell r="BS11"/>
          <cell r="BT11"/>
          <cell r="BU11"/>
          <cell r="BV11"/>
          <cell r="BW11"/>
          <cell r="BX11"/>
          <cell r="BY11" t="e">
            <v>#REF!</v>
          </cell>
          <cell r="BZ11"/>
          <cell r="CA11"/>
          <cell r="CB11"/>
          <cell r="CC11"/>
          <cell r="CD11">
            <v>0</v>
          </cell>
          <cell r="CE11"/>
          <cell r="CF11"/>
          <cell r="CG11"/>
          <cell r="CH11"/>
          <cell r="CI11"/>
          <cell r="CJ11"/>
          <cell r="CK11"/>
          <cell r="CL11" t="e">
            <v>#REF!</v>
          </cell>
          <cell r="CM11"/>
          <cell r="CN11"/>
          <cell r="CO11"/>
          <cell r="CP11"/>
          <cell r="CQ11">
            <v>0</v>
          </cell>
          <cell r="CR11"/>
          <cell r="CS11"/>
          <cell r="CT11" t="e">
            <v>#REF!</v>
          </cell>
          <cell r="CU11"/>
          <cell r="CV11"/>
          <cell r="CW11"/>
          <cell r="CX11"/>
          <cell r="CY11" t="str">
            <v>7</v>
          </cell>
        </row>
        <row r="12">
          <cell r="B12" t="str">
            <v>8</v>
          </cell>
          <cell r="C12">
            <v>0</v>
          </cell>
          <cell r="D12"/>
          <cell r="E12"/>
          <cell r="F12" t="e">
            <v>#REF!</v>
          </cell>
          <cell r="G12"/>
          <cell r="H12"/>
          <cell r="I12"/>
          <cell r="J12"/>
          <cell r="K12">
            <v>0</v>
          </cell>
          <cell r="L12"/>
          <cell r="M12"/>
          <cell r="N12"/>
          <cell r="O12"/>
          <cell r="P12"/>
          <cell r="Q12"/>
          <cell r="R12"/>
          <cell r="S12" t="e">
            <v>#REF!</v>
          </cell>
          <cell r="T12"/>
          <cell r="U12"/>
          <cell r="V12"/>
          <cell r="W12"/>
          <cell r="X12">
            <v>0</v>
          </cell>
          <cell r="Y12"/>
          <cell r="Z12"/>
          <cell r="AA12"/>
          <cell r="AB12"/>
          <cell r="AC12"/>
          <cell r="AD12"/>
          <cell r="AE12"/>
          <cell r="AF12" t="e">
            <v>#REF!</v>
          </cell>
          <cell r="AG12"/>
          <cell r="AH12"/>
          <cell r="AI12"/>
          <cell r="AJ12"/>
          <cell r="AK12">
            <v>0</v>
          </cell>
          <cell r="AL12"/>
          <cell r="AM12"/>
          <cell r="AN12" t="e">
            <v>#REF!</v>
          </cell>
          <cell r="AO12"/>
          <cell r="AP12"/>
          <cell r="AQ12"/>
          <cell r="AR12"/>
          <cell r="AS12">
            <v>4510</v>
          </cell>
          <cell r="AT12" t="str">
            <v>Cust. Mech. Labor - Other Makes Vehicles</v>
          </cell>
          <cell r="AU12"/>
          <cell r="AV12"/>
          <cell r="AW12"/>
          <cell r="AX12"/>
          <cell r="AY12"/>
          <cell r="AZ12"/>
          <cell r="BA12"/>
          <cell r="BB12"/>
          <cell r="BC12"/>
          <cell r="BD12"/>
          <cell r="BE12"/>
          <cell r="BF12"/>
          <cell r="BG12"/>
          <cell r="BH12"/>
          <cell r="BI12">
            <v>0</v>
          </cell>
          <cell r="BJ12"/>
          <cell r="BK12"/>
          <cell r="BL12" t="e">
            <v>#REF!</v>
          </cell>
          <cell r="BM12"/>
          <cell r="BN12"/>
          <cell r="BO12"/>
          <cell r="BP12"/>
          <cell r="BQ12">
            <v>0</v>
          </cell>
          <cell r="BR12"/>
          <cell r="BS12"/>
          <cell r="BT12"/>
          <cell r="BU12"/>
          <cell r="BV12"/>
          <cell r="BW12"/>
          <cell r="BX12"/>
          <cell r="BY12" t="e">
            <v>#REF!</v>
          </cell>
          <cell r="BZ12"/>
          <cell r="CA12"/>
          <cell r="CB12"/>
          <cell r="CC12"/>
          <cell r="CD12">
            <v>0</v>
          </cell>
          <cell r="CE12"/>
          <cell r="CF12"/>
          <cell r="CG12"/>
          <cell r="CH12"/>
          <cell r="CI12"/>
          <cell r="CJ12"/>
          <cell r="CK12"/>
          <cell r="CL12" t="e">
            <v>#REF!</v>
          </cell>
          <cell r="CM12"/>
          <cell r="CN12"/>
          <cell r="CO12"/>
          <cell r="CP12"/>
          <cell r="CQ12">
            <v>0</v>
          </cell>
          <cell r="CR12"/>
          <cell r="CS12"/>
          <cell r="CT12" t="e">
            <v>#REF!</v>
          </cell>
          <cell r="CU12"/>
          <cell r="CV12"/>
          <cell r="CW12"/>
          <cell r="CX12"/>
          <cell r="CY12" t="str">
            <v>8</v>
          </cell>
        </row>
        <row r="13">
          <cell r="B13" t="str">
            <v>9</v>
          </cell>
          <cell r="C13">
            <v>0</v>
          </cell>
          <cell r="D13"/>
          <cell r="E13"/>
          <cell r="F13" t="e">
            <v>#REF!</v>
          </cell>
          <cell r="G13"/>
          <cell r="H13"/>
          <cell r="I13"/>
          <cell r="J13"/>
          <cell r="K13">
            <v>0</v>
          </cell>
          <cell r="L13"/>
          <cell r="M13"/>
          <cell r="N13"/>
          <cell r="O13"/>
          <cell r="P13"/>
          <cell r="Q13"/>
          <cell r="R13"/>
          <cell r="S13" t="e">
            <v>#REF!</v>
          </cell>
          <cell r="T13"/>
          <cell r="U13"/>
          <cell r="V13"/>
          <cell r="W13"/>
          <cell r="X13">
            <v>0</v>
          </cell>
          <cell r="Y13"/>
          <cell r="Z13"/>
          <cell r="AA13"/>
          <cell r="AB13"/>
          <cell r="AC13"/>
          <cell r="AD13"/>
          <cell r="AE13"/>
          <cell r="AF13" t="e">
            <v>#REF!</v>
          </cell>
          <cell r="AG13"/>
          <cell r="AH13"/>
          <cell r="AI13"/>
          <cell r="AJ13"/>
          <cell r="AK13">
            <v>0</v>
          </cell>
          <cell r="AL13"/>
          <cell r="AM13"/>
          <cell r="AN13" t="e">
            <v>#REF!</v>
          </cell>
          <cell r="AO13"/>
          <cell r="AP13"/>
          <cell r="AQ13"/>
          <cell r="AR13"/>
          <cell r="AS13">
            <v>4512</v>
          </cell>
          <cell r="AT13" t="str">
            <v>Express Service Labor - Other Makes Vehicles</v>
          </cell>
          <cell r="AU13"/>
          <cell r="AV13"/>
          <cell r="AW13"/>
          <cell r="AX13"/>
          <cell r="AY13"/>
          <cell r="AZ13"/>
          <cell r="BA13"/>
          <cell r="BB13"/>
          <cell r="BC13"/>
          <cell r="BD13"/>
          <cell r="BE13"/>
          <cell r="BF13"/>
          <cell r="BG13"/>
          <cell r="BH13"/>
          <cell r="BI13">
            <v>0</v>
          </cell>
          <cell r="BJ13"/>
          <cell r="BK13"/>
          <cell r="BL13" t="e">
            <v>#REF!</v>
          </cell>
          <cell r="BM13"/>
          <cell r="BN13"/>
          <cell r="BO13"/>
          <cell r="BP13"/>
          <cell r="BQ13">
            <v>0</v>
          </cell>
          <cell r="BR13"/>
          <cell r="BS13"/>
          <cell r="BT13"/>
          <cell r="BU13"/>
          <cell r="BV13"/>
          <cell r="BW13"/>
          <cell r="BX13"/>
          <cell r="BY13" t="e">
            <v>#REF!</v>
          </cell>
          <cell r="BZ13"/>
          <cell r="CA13"/>
          <cell r="CB13"/>
          <cell r="CC13"/>
          <cell r="CD13">
            <v>0</v>
          </cell>
          <cell r="CE13"/>
          <cell r="CF13"/>
          <cell r="CG13"/>
          <cell r="CH13"/>
          <cell r="CI13"/>
          <cell r="CJ13"/>
          <cell r="CK13"/>
          <cell r="CL13" t="e">
            <v>#REF!</v>
          </cell>
          <cell r="CM13"/>
          <cell r="CN13"/>
          <cell r="CO13"/>
          <cell r="CP13"/>
          <cell r="CQ13">
            <v>0</v>
          </cell>
          <cell r="CR13"/>
          <cell r="CS13"/>
          <cell r="CT13" t="e">
            <v>#REF!</v>
          </cell>
          <cell r="CU13"/>
          <cell r="CV13"/>
          <cell r="CW13"/>
          <cell r="CX13"/>
          <cell r="CY13" t="str">
            <v>9</v>
          </cell>
        </row>
        <row r="14">
          <cell r="B14" t="str">
            <v>10</v>
          </cell>
          <cell r="C14">
            <v>0</v>
          </cell>
          <cell r="D14"/>
          <cell r="E14"/>
          <cell r="F14" t="e">
            <v>#REF!</v>
          </cell>
          <cell r="G14"/>
          <cell r="H14"/>
          <cell r="I14"/>
          <cell r="J14"/>
          <cell r="K14">
            <v>0</v>
          </cell>
          <cell r="L14"/>
          <cell r="M14"/>
          <cell r="N14"/>
          <cell r="O14"/>
          <cell r="P14"/>
          <cell r="Q14"/>
          <cell r="R14"/>
          <cell r="S14" t="e">
            <v>#REF!</v>
          </cell>
          <cell r="T14"/>
          <cell r="U14"/>
          <cell r="V14"/>
          <cell r="W14"/>
          <cell r="X14">
            <v>0</v>
          </cell>
          <cell r="Y14"/>
          <cell r="Z14"/>
          <cell r="AA14"/>
          <cell r="AB14"/>
          <cell r="AC14"/>
          <cell r="AD14"/>
          <cell r="AE14"/>
          <cell r="AF14" t="e">
            <v>#REF!</v>
          </cell>
          <cell r="AG14"/>
          <cell r="AH14"/>
          <cell r="AI14"/>
          <cell r="AJ14"/>
          <cell r="AK14">
            <v>0</v>
          </cell>
          <cell r="AL14"/>
          <cell r="AM14"/>
          <cell r="AN14" t="e">
            <v>#REF!</v>
          </cell>
          <cell r="AO14"/>
          <cell r="AP14"/>
          <cell r="AQ14"/>
          <cell r="AR14"/>
          <cell r="AS14">
            <v>4544</v>
          </cell>
          <cell r="AT14" t="str">
            <v>Service / Maint. Contract Labor - Other Makes Vehicles</v>
          </cell>
          <cell r="AU14"/>
          <cell r="AV14"/>
          <cell r="AW14"/>
          <cell r="AX14"/>
          <cell r="AY14"/>
          <cell r="AZ14"/>
          <cell r="BA14"/>
          <cell r="BB14"/>
          <cell r="BC14"/>
          <cell r="BD14"/>
          <cell r="BE14"/>
          <cell r="BF14"/>
          <cell r="BG14"/>
          <cell r="BH14"/>
          <cell r="BI14">
            <v>0</v>
          </cell>
          <cell r="BJ14"/>
          <cell r="BK14"/>
          <cell r="BL14" t="e">
            <v>#REF!</v>
          </cell>
          <cell r="BM14"/>
          <cell r="BN14"/>
          <cell r="BO14"/>
          <cell r="BP14"/>
          <cell r="BQ14">
            <v>0</v>
          </cell>
          <cell r="BR14"/>
          <cell r="BS14"/>
          <cell r="BT14"/>
          <cell r="BU14"/>
          <cell r="BV14"/>
          <cell r="BW14"/>
          <cell r="BX14"/>
          <cell r="BY14" t="e">
            <v>#REF!</v>
          </cell>
          <cell r="BZ14"/>
          <cell r="CA14"/>
          <cell r="CB14"/>
          <cell r="CC14"/>
          <cell r="CD14">
            <v>0</v>
          </cell>
          <cell r="CE14"/>
          <cell r="CF14"/>
          <cell r="CG14"/>
          <cell r="CH14"/>
          <cell r="CI14"/>
          <cell r="CJ14"/>
          <cell r="CK14"/>
          <cell r="CL14" t="e">
            <v>#REF!</v>
          </cell>
          <cell r="CM14"/>
          <cell r="CN14"/>
          <cell r="CO14"/>
          <cell r="CP14"/>
          <cell r="CQ14">
            <v>0</v>
          </cell>
          <cell r="CR14"/>
          <cell r="CS14"/>
          <cell r="CT14" t="e">
            <v>#REF!</v>
          </cell>
          <cell r="CU14"/>
          <cell r="CV14"/>
          <cell r="CW14"/>
          <cell r="CX14"/>
          <cell r="CY14" t="str">
            <v>10</v>
          </cell>
        </row>
        <row r="15">
          <cell r="B15" t="str">
            <v>11</v>
          </cell>
          <cell r="C15">
            <v>0</v>
          </cell>
          <cell r="D15"/>
          <cell r="E15"/>
          <cell r="F15" t="e">
            <v>#REF!</v>
          </cell>
          <cell r="G15"/>
          <cell r="H15"/>
          <cell r="I15"/>
          <cell r="J15"/>
          <cell r="K15">
            <v>0</v>
          </cell>
          <cell r="L15"/>
          <cell r="M15"/>
          <cell r="N15"/>
          <cell r="O15"/>
          <cell r="P15"/>
          <cell r="Q15"/>
          <cell r="R15"/>
          <cell r="S15" t="e">
            <v>#REF!</v>
          </cell>
          <cell r="T15"/>
          <cell r="U15"/>
          <cell r="V15"/>
          <cell r="W15"/>
          <cell r="X15">
            <v>0</v>
          </cell>
          <cell r="Y15"/>
          <cell r="Z15"/>
          <cell r="AA15"/>
          <cell r="AB15"/>
          <cell r="AC15"/>
          <cell r="AD15"/>
          <cell r="AE15"/>
          <cell r="AF15" t="e">
            <v>#REF!</v>
          </cell>
          <cell r="AG15"/>
          <cell r="AH15"/>
          <cell r="AI15"/>
          <cell r="AJ15"/>
          <cell r="AK15">
            <v>0</v>
          </cell>
          <cell r="AL15"/>
          <cell r="AM15"/>
          <cell r="AN15" t="e">
            <v>#REF!</v>
          </cell>
          <cell r="AO15"/>
          <cell r="AP15"/>
          <cell r="AQ15"/>
          <cell r="AR15"/>
          <cell r="AS15">
            <v>4545</v>
          </cell>
          <cell r="AT15" t="str">
            <v>Warranty Mech. Labor - Other Makes Vehicles</v>
          </cell>
          <cell r="AU15"/>
          <cell r="AV15"/>
          <cell r="AW15"/>
          <cell r="AX15"/>
          <cell r="AY15"/>
          <cell r="AZ15"/>
          <cell r="BA15"/>
          <cell r="BB15"/>
          <cell r="BC15"/>
          <cell r="BD15"/>
          <cell r="BE15"/>
          <cell r="BF15"/>
          <cell r="BG15"/>
          <cell r="BH15"/>
          <cell r="BI15">
            <v>0</v>
          </cell>
          <cell r="BJ15"/>
          <cell r="BK15"/>
          <cell r="BL15" t="e">
            <v>#REF!</v>
          </cell>
          <cell r="BM15"/>
          <cell r="BN15"/>
          <cell r="BO15"/>
          <cell r="BP15"/>
          <cell r="BQ15">
            <v>0</v>
          </cell>
          <cell r="BR15"/>
          <cell r="BS15"/>
          <cell r="BT15"/>
          <cell r="BU15"/>
          <cell r="BV15"/>
          <cell r="BW15"/>
          <cell r="BX15"/>
          <cell r="BY15" t="e">
            <v>#REF!</v>
          </cell>
          <cell r="BZ15"/>
          <cell r="CA15"/>
          <cell r="CB15"/>
          <cell r="CC15"/>
          <cell r="CD15">
            <v>0</v>
          </cell>
          <cell r="CE15"/>
          <cell r="CF15"/>
          <cell r="CG15"/>
          <cell r="CH15"/>
          <cell r="CI15"/>
          <cell r="CJ15"/>
          <cell r="CK15"/>
          <cell r="CL15" t="e">
            <v>#REF!</v>
          </cell>
          <cell r="CM15"/>
          <cell r="CN15"/>
          <cell r="CO15"/>
          <cell r="CP15"/>
          <cell r="CQ15">
            <v>0</v>
          </cell>
          <cell r="CR15"/>
          <cell r="CS15"/>
          <cell r="CT15" t="e">
            <v>#REF!</v>
          </cell>
          <cell r="CU15"/>
          <cell r="CV15"/>
          <cell r="CW15"/>
          <cell r="CX15"/>
          <cell r="CY15" t="str">
            <v>11</v>
          </cell>
        </row>
        <row r="16">
          <cell r="B16" t="str">
            <v>12</v>
          </cell>
          <cell r="C16">
            <v>0</v>
          </cell>
          <cell r="D16"/>
          <cell r="E16"/>
          <cell r="F16" t="e">
            <v>#REF!</v>
          </cell>
          <cell r="G16"/>
          <cell r="H16"/>
          <cell r="I16"/>
          <cell r="J16"/>
          <cell r="K16">
            <v>0</v>
          </cell>
          <cell r="L16"/>
          <cell r="M16"/>
          <cell r="N16"/>
          <cell r="O16"/>
          <cell r="P16"/>
          <cell r="Q16"/>
          <cell r="R16"/>
          <cell r="S16" t="e">
            <v>#REF!</v>
          </cell>
          <cell r="T16"/>
          <cell r="U16"/>
          <cell r="V16"/>
          <cell r="W16"/>
          <cell r="X16">
            <v>0</v>
          </cell>
          <cell r="Y16"/>
          <cell r="Z16"/>
          <cell r="AA16"/>
          <cell r="AB16"/>
          <cell r="AC16"/>
          <cell r="AD16"/>
          <cell r="AE16"/>
          <cell r="AF16" t="e">
            <v>#REF!</v>
          </cell>
          <cell r="AG16"/>
          <cell r="AH16"/>
          <cell r="AI16"/>
          <cell r="AJ16"/>
          <cell r="AK16">
            <v>0</v>
          </cell>
          <cell r="AL16"/>
          <cell r="AM16"/>
          <cell r="AN16" t="e">
            <v>#REF!</v>
          </cell>
          <cell r="AO16"/>
          <cell r="AP16"/>
          <cell r="AQ16"/>
          <cell r="AR16"/>
          <cell r="AS16">
            <v>4555</v>
          </cell>
          <cell r="AT16" t="str">
            <v>Internal Mech. Labor - Other Makes Vehicles</v>
          </cell>
          <cell r="AU16"/>
          <cell r="AV16"/>
          <cell r="AW16"/>
          <cell r="AX16"/>
          <cell r="AY16"/>
          <cell r="AZ16"/>
          <cell r="BA16"/>
          <cell r="BB16"/>
          <cell r="BC16"/>
          <cell r="BD16"/>
          <cell r="BE16"/>
          <cell r="BF16"/>
          <cell r="BG16"/>
          <cell r="BH16"/>
          <cell r="BI16">
            <v>0</v>
          </cell>
          <cell r="BJ16"/>
          <cell r="BK16"/>
          <cell r="BL16" t="e">
            <v>#REF!</v>
          </cell>
          <cell r="BM16"/>
          <cell r="BN16"/>
          <cell r="BO16"/>
          <cell r="BP16"/>
          <cell r="BQ16">
            <v>0</v>
          </cell>
          <cell r="BR16"/>
          <cell r="BS16"/>
          <cell r="BT16"/>
          <cell r="BU16"/>
          <cell r="BV16"/>
          <cell r="BW16"/>
          <cell r="BX16"/>
          <cell r="BY16" t="e">
            <v>#REF!</v>
          </cell>
          <cell r="BZ16"/>
          <cell r="CA16"/>
          <cell r="CB16"/>
          <cell r="CC16"/>
          <cell r="CD16">
            <v>0</v>
          </cell>
          <cell r="CE16"/>
          <cell r="CF16"/>
          <cell r="CG16"/>
          <cell r="CH16"/>
          <cell r="CI16"/>
          <cell r="CJ16"/>
          <cell r="CK16"/>
          <cell r="CL16" t="e">
            <v>#REF!</v>
          </cell>
          <cell r="CM16"/>
          <cell r="CN16"/>
          <cell r="CO16"/>
          <cell r="CP16"/>
          <cell r="CQ16">
            <v>0</v>
          </cell>
          <cell r="CR16"/>
          <cell r="CS16"/>
          <cell r="CT16" t="e">
            <v>#REF!</v>
          </cell>
          <cell r="CU16"/>
          <cell r="CV16"/>
          <cell r="CW16"/>
          <cell r="CX16"/>
          <cell r="CY16" t="str">
            <v>12</v>
          </cell>
        </row>
        <row r="17">
          <cell r="B17" t="str">
            <v>13</v>
          </cell>
          <cell r="C17">
            <v>0</v>
          </cell>
          <cell r="D17"/>
          <cell r="E17"/>
          <cell r="F17" t="e">
            <v>#REF!</v>
          </cell>
          <cell r="G17"/>
          <cell r="H17"/>
          <cell r="I17"/>
          <cell r="J17"/>
          <cell r="K17">
            <v>0</v>
          </cell>
          <cell r="L17"/>
          <cell r="M17"/>
          <cell r="N17"/>
          <cell r="O17"/>
          <cell r="P17"/>
          <cell r="Q17"/>
          <cell r="R17"/>
          <cell r="S17" t="e">
            <v>#REF!</v>
          </cell>
          <cell r="T17"/>
          <cell r="U17"/>
          <cell r="V17"/>
          <cell r="W17"/>
          <cell r="X17">
            <v>0</v>
          </cell>
          <cell r="Y17"/>
          <cell r="Z17"/>
          <cell r="AA17"/>
          <cell r="AB17"/>
          <cell r="AC17"/>
          <cell r="AD17"/>
          <cell r="AE17"/>
          <cell r="AF17" t="e">
            <v>#REF!</v>
          </cell>
          <cell r="AG17"/>
          <cell r="AH17"/>
          <cell r="AI17"/>
          <cell r="AJ17"/>
          <cell r="AK17">
            <v>0</v>
          </cell>
          <cell r="AL17"/>
          <cell r="AM17"/>
          <cell r="AN17" t="e">
            <v>#REF!</v>
          </cell>
          <cell r="AO17"/>
          <cell r="AP17"/>
          <cell r="AQ17"/>
          <cell r="AR17"/>
          <cell r="AS17"/>
          <cell r="AT17" t="str">
            <v>SUBTOTAL - OTHER VEHICLE LABOR</v>
          </cell>
          <cell r="AU17"/>
          <cell r="AV17"/>
          <cell r="AW17"/>
          <cell r="AX17"/>
          <cell r="AY17"/>
          <cell r="AZ17"/>
          <cell r="BA17"/>
          <cell r="BB17"/>
          <cell r="BC17"/>
          <cell r="BD17"/>
          <cell r="BE17"/>
          <cell r="BF17"/>
          <cell r="BG17"/>
          <cell r="BH17" t="str">
            <v xml:space="preserve">(Lines 8 to 12) </v>
          </cell>
          <cell r="BI17">
            <v>0</v>
          </cell>
          <cell r="BJ17"/>
          <cell r="BK17"/>
          <cell r="BL17" t="e">
            <v>#REF!</v>
          </cell>
          <cell r="BM17"/>
          <cell r="BN17"/>
          <cell r="BO17"/>
          <cell r="BP17"/>
          <cell r="BQ17">
            <v>0</v>
          </cell>
          <cell r="BR17"/>
          <cell r="BS17"/>
          <cell r="BT17"/>
          <cell r="BU17"/>
          <cell r="BV17"/>
          <cell r="BW17"/>
          <cell r="BX17"/>
          <cell r="BY17" t="e">
            <v>#REF!</v>
          </cell>
          <cell r="BZ17"/>
          <cell r="CA17"/>
          <cell r="CB17"/>
          <cell r="CC17"/>
          <cell r="CD17">
            <v>0</v>
          </cell>
          <cell r="CE17"/>
          <cell r="CF17"/>
          <cell r="CG17"/>
          <cell r="CH17"/>
          <cell r="CI17"/>
          <cell r="CJ17"/>
          <cell r="CK17"/>
          <cell r="CL17" t="e">
            <v>#REF!</v>
          </cell>
          <cell r="CM17"/>
          <cell r="CN17"/>
          <cell r="CO17"/>
          <cell r="CP17"/>
          <cell r="CQ17">
            <v>0</v>
          </cell>
          <cell r="CR17"/>
          <cell r="CS17"/>
          <cell r="CT17" t="e">
            <v>#REF!</v>
          </cell>
          <cell r="CU17"/>
          <cell r="CV17"/>
          <cell r="CW17"/>
          <cell r="CX17"/>
          <cell r="CY17" t="str">
            <v>13</v>
          </cell>
        </row>
        <row r="18">
          <cell r="B18" t="str">
            <v>14</v>
          </cell>
          <cell r="C18"/>
          <cell r="D18"/>
          <cell r="E18"/>
          <cell r="F18" t="e">
            <v>#REF!</v>
          </cell>
          <cell r="G18"/>
          <cell r="H18"/>
          <cell r="I18"/>
          <cell r="J18"/>
          <cell r="K18">
            <v>16336</v>
          </cell>
          <cell r="L18"/>
          <cell r="M18"/>
          <cell r="N18"/>
          <cell r="O18"/>
          <cell r="P18"/>
          <cell r="Q18"/>
          <cell r="R18"/>
          <cell r="S18" t="e">
            <v>#REF!</v>
          </cell>
          <cell r="T18"/>
          <cell r="U18"/>
          <cell r="V18"/>
          <cell r="W18"/>
          <cell r="X18">
            <v>567</v>
          </cell>
          <cell r="Y18"/>
          <cell r="Z18"/>
          <cell r="AA18"/>
          <cell r="AB18"/>
          <cell r="AC18"/>
          <cell r="AD18"/>
          <cell r="AE18"/>
          <cell r="AF18" t="e">
            <v>#REF!</v>
          </cell>
          <cell r="AG18"/>
          <cell r="AH18"/>
          <cell r="AI18"/>
          <cell r="AJ18"/>
          <cell r="AK18">
            <v>3.5</v>
          </cell>
          <cell r="AL18"/>
          <cell r="AM18"/>
          <cell r="AN18" t="e">
            <v>#REF!</v>
          </cell>
          <cell r="AO18"/>
          <cell r="AP18"/>
          <cell r="AQ18"/>
          <cell r="AR18"/>
          <cell r="AS18">
            <v>4560</v>
          </cell>
          <cell r="AT18" t="str">
            <v>Sublet Labor</v>
          </cell>
          <cell r="AU18"/>
          <cell r="AV18"/>
          <cell r="AW18"/>
          <cell r="AX18"/>
          <cell r="AY18"/>
          <cell r="AZ18"/>
          <cell r="BA18"/>
          <cell r="BB18"/>
          <cell r="BC18"/>
          <cell r="BD18"/>
          <cell r="BE18"/>
          <cell r="BF18"/>
          <cell r="BG18"/>
          <cell r="BH18"/>
          <cell r="BI18"/>
          <cell r="BJ18"/>
          <cell r="BK18"/>
          <cell r="BL18" t="e">
            <v>#REF!</v>
          </cell>
          <cell r="BM18"/>
          <cell r="BN18"/>
          <cell r="BO18"/>
          <cell r="BP18"/>
          <cell r="BQ18">
            <v>230918</v>
          </cell>
          <cell r="BR18"/>
          <cell r="BS18"/>
          <cell r="BT18"/>
          <cell r="BU18"/>
          <cell r="BV18"/>
          <cell r="BW18"/>
          <cell r="BX18"/>
          <cell r="BY18" t="e">
            <v>#REF!</v>
          </cell>
          <cell r="BZ18"/>
          <cell r="CA18"/>
          <cell r="CB18"/>
          <cell r="CC18"/>
          <cell r="CD18">
            <v>17865</v>
          </cell>
          <cell r="CE18"/>
          <cell r="CF18"/>
          <cell r="CG18"/>
          <cell r="CH18"/>
          <cell r="CI18"/>
          <cell r="CJ18"/>
          <cell r="CK18"/>
          <cell r="CL18" t="e">
            <v>#REF!</v>
          </cell>
          <cell r="CM18"/>
          <cell r="CN18"/>
          <cell r="CO18"/>
          <cell r="CP18"/>
          <cell r="CQ18">
            <v>7.7</v>
          </cell>
          <cell r="CR18"/>
          <cell r="CS18"/>
          <cell r="CT18" t="e">
            <v>#REF!</v>
          </cell>
          <cell r="CU18"/>
          <cell r="CV18"/>
          <cell r="CW18"/>
          <cell r="CX18"/>
          <cell r="CY18" t="str">
            <v>14</v>
          </cell>
        </row>
        <row r="19">
          <cell r="B19" t="str">
            <v>15</v>
          </cell>
          <cell r="C19">
            <v>0</v>
          </cell>
          <cell r="D19"/>
          <cell r="E19"/>
          <cell r="F19" t="e">
            <v>#REF!</v>
          </cell>
          <cell r="G19"/>
          <cell r="H19"/>
          <cell r="I19"/>
          <cell r="J19"/>
          <cell r="K19">
            <v>0</v>
          </cell>
          <cell r="L19"/>
          <cell r="M19"/>
          <cell r="N19"/>
          <cell r="O19"/>
          <cell r="P19"/>
          <cell r="Q19"/>
          <cell r="R19"/>
          <cell r="S19" t="e">
            <v>#REF!</v>
          </cell>
          <cell r="T19"/>
          <cell r="U19"/>
          <cell r="V19"/>
          <cell r="W19"/>
          <cell r="X19">
            <v>0</v>
          </cell>
          <cell r="Y19"/>
          <cell r="Z19"/>
          <cell r="AA19"/>
          <cell r="AB19"/>
          <cell r="AC19"/>
          <cell r="AD19"/>
          <cell r="AE19"/>
          <cell r="AF19" t="e">
            <v>#REF!</v>
          </cell>
          <cell r="AG19"/>
          <cell r="AH19"/>
          <cell r="AI19"/>
          <cell r="AJ19"/>
          <cell r="AK19">
            <v>0</v>
          </cell>
          <cell r="AL19"/>
          <cell r="AM19"/>
          <cell r="AN19" t="e">
            <v>#REF!</v>
          </cell>
          <cell r="AO19"/>
          <cell r="AP19"/>
          <cell r="AQ19"/>
          <cell r="AR19"/>
          <cell r="AS19">
            <v>4570</v>
          </cell>
          <cell r="AT19" t="str">
            <v>Miscellaneous Mech. Repairs</v>
          </cell>
          <cell r="AU19"/>
          <cell r="AV19"/>
          <cell r="AW19"/>
          <cell r="AX19"/>
          <cell r="AY19"/>
          <cell r="AZ19"/>
          <cell r="BA19"/>
          <cell r="BB19"/>
          <cell r="BC19"/>
          <cell r="BD19"/>
          <cell r="BE19"/>
          <cell r="BF19"/>
          <cell r="BG19"/>
          <cell r="BH19"/>
          <cell r="BI19">
            <v>0</v>
          </cell>
          <cell r="BJ19"/>
          <cell r="BK19"/>
          <cell r="BL19" t="e">
            <v>#REF!</v>
          </cell>
          <cell r="BM19"/>
          <cell r="BN19"/>
          <cell r="BO19"/>
          <cell r="BP19"/>
          <cell r="BQ19">
            <v>0</v>
          </cell>
          <cell r="BR19"/>
          <cell r="BS19"/>
          <cell r="BT19"/>
          <cell r="BU19"/>
          <cell r="BV19"/>
          <cell r="BW19"/>
          <cell r="BX19"/>
          <cell r="BY19" t="e">
            <v>#REF!</v>
          </cell>
          <cell r="BZ19"/>
          <cell r="CA19"/>
          <cell r="CB19"/>
          <cell r="CC19"/>
          <cell r="CD19">
            <v>0</v>
          </cell>
          <cell r="CE19"/>
          <cell r="CF19"/>
          <cell r="CG19"/>
          <cell r="CH19"/>
          <cell r="CI19"/>
          <cell r="CJ19"/>
          <cell r="CK19"/>
          <cell r="CL19" t="e">
            <v>#REF!</v>
          </cell>
          <cell r="CM19"/>
          <cell r="CN19"/>
          <cell r="CO19"/>
          <cell r="CP19"/>
          <cell r="CQ19">
            <v>0</v>
          </cell>
          <cell r="CR19"/>
          <cell r="CS19"/>
          <cell r="CT19" t="e">
            <v>#REF!</v>
          </cell>
          <cell r="CU19"/>
          <cell r="CV19"/>
          <cell r="CW19"/>
          <cell r="CX19"/>
          <cell r="CY19" t="str">
            <v>15</v>
          </cell>
        </row>
        <row r="20">
          <cell r="B20" t="str">
            <v>16</v>
          </cell>
          <cell r="C20"/>
          <cell r="D20"/>
          <cell r="E20"/>
          <cell r="F20"/>
          <cell r="G20"/>
          <cell r="H20"/>
          <cell r="I20"/>
          <cell r="J20"/>
          <cell r="K20"/>
          <cell r="L20"/>
          <cell r="M20"/>
          <cell r="N20"/>
          <cell r="O20"/>
          <cell r="P20"/>
          <cell r="Q20"/>
          <cell r="R20"/>
          <cell r="S20" t="e">
            <v>#REF!</v>
          </cell>
          <cell r="T20"/>
          <cell r="U20"/>
          <cell r="V20"/>
          <cell r="W20"/>
          <cell r="X20">
            <v>-20774</v>
          </cell>
          <cell r="Y20"/>
          <cell r="Z20"/>
          <cell r="AA20"/>
          <cell r="AB20"/>
          <cell r="AC20"/>
          <cell r="AD20"/>
          <cell r="AE20"/>
          <cell r="AF20" t="e">
            <v>#REF!</v>
          </cell>
          <cell r="AG20"/>
          <cell r="AH20"/>
          <cell r="AI20"/>
          <cell r="AJ20"/>
          <cell r="AK20"/>
          <cell r="AL20"/>
          <cell r="AM20"/>
          <cell r="AN20" t="e">
            <v>#REF!</v>
          </cell>
          <cell r="AO20"/>
          <cell r="AP20"/>
          <cell r="AQ20"/>
          <cell r="AR20"/>
          <cell r="AS20">
            <v>6590</v>
          </cell>
          <cell r="AT20" t="str">
            <v>Adj. Cost of Labor Sales - Mech.</v>
          </cell>
          <cell r="AU20"/>
          <cell r="AV20"/>
          <cell r="AW20"/>
          <cell r="AX20"/>
          <cell r="AY20"/>
          <cell r="AZ20"/>
          <cell r="BA20"/>
          <cell r="BB20"/>
          <cell r="BC20"/>
          <cell r="BD20"/>
          <cell r="BE20"/>
          <cell r="BF20"/>
          <cell r="BG20"/>
          <cell r="BH20"/>
          <cell r="BI20"/>
          <cell r="BJ20"/>
          <cell r="BK20"/>
          <cell r="BL20" t="e">
            <v>#REF!</v>
          </cell>
          <cell r="BM20"/>
          <cell r="BN20"/>
          <cell r="BO20"/>
          <cell r="BP20"/>
          <cell r="BQ20"/>
          <cell r="BR20"/>
          <cell r="BS20"/>
          <cell r="BT20"/>
          <cell r="BU20"/>
          <cell r="BV20"/>
          <cell r="BW20"/>
          <cell r="BX20"/>
          <cell r="BY20" t="e">
            <v>#REF!</v>
          </cell>
          <cell r="BZ20"/>
          <cell r="CA20"/>
          <cell r="CB20"/>
          <cell r="CC20"/>
          <cell r="CD20">
            <v>-164219</v>
          </cell>
          <cell r="CE20"/>
          <cell r="CF20"/>
          <cell r="CG20"/>
          <cell r="CH20"/>
          <cell r="CI20"/>
          <cell r="CJ20"/>
          <cell r="CK20"/>
          <cell r="CL20" t="e">
            <v>#REF!</v>
          </cell>
          <cell r="CM20"/>
          <cell r="CN20"/>
          <cell r="CO20"/>
          <cell r="CP20"/>
          <cell r="CQ20"/>
          <cell r="CR20"/>
          <cell r="CS20"/>
          <cell r="CT20" t="e">
            <v>#REF!</v>
          </cell>
          <cell r="CU20"/>
          <cell r="CV20"/>
          <cell r="CW20"/>
          <cell r="CX20"/>
          <cell r="CY20" t="str">
            <v>16</v>
          </cell>
        </row>
        <row r="21">
          <cell r="B21" t="str">
            <v>17</v>
          </cell>
          <cell r="C21">
            <v>2873</v>
          </cell>
          <cell r="D21"/>
          <cell r="E21"/>
          <cell r="F21" t="e">
            <v>#REF!</v>
          </cell>
          <cell r="G21"/>
          <cell r="H21"/>
          <cell r="I21"/>
          <cell r="J21"/>
          <cell r="K21">
            <v>238467</v>
          </cell>
          <cell r="L21"/>
          <cell r="M21"/>
          <cell r="N21"/>
          <cell r="O21"/>
          <cell r="P21"/>
          <cell r="Q21"/>
          <cell r="R21"/>
          <cell r="S21" t="e">
            <v>#REF!</v>
          </cell>
          <cell r="T21"/>
          <cell r="U21"/>
          <cell r="V21"/>
          <cell r="W21"/>
          <cell r="X21">
            <v>150972</v>
          </cell>
          <cell r="Y21"/>
          <cell r="Z21"/>
          <cell r="AA21"/>
          <cell r="AB21"/>
          <cell r="AC21"/>
          <cell r="AD21"/>
          <cell r="AE21"/>
          <cell r="AF21" t="e">
            <v>#REF!</v>
          </cell>
          <cell r="AG21"/>
          <cell r="AH21"/>
          <cell r="AI21"/>
          <cell r="AJ21"/>
          <cell r="AK21">
            <v>63.3</v>
          </cell>
          <cell r="AL21"/>
          <cell r="AM21"/>
          <cell r="AN21" t="e">
            <v>#REF!</v>
          </cell>
          <cell r="AO21"/>
          <cell r="AP21"/>
          <cell r="AQ21"/>
          <cell r="AR21"/>
          <cell r="AS21" t="str">
            <v>TT42</v>
          </cell>
          <cell r="AT21" t="str">
            <v>TOTAL SERVICE DEPT.</v>
          </cell>
          <cell r="AU21"/>
          <cell r="AV21"/>
          <cell r="AW21"/>
          <cell r="AX21"/>
          <cell r="AY21"/>
          <cell r="AZ21"/>
          <cell r="BA21"/>
          <cell r="BB21"/>
          <cell r="BC21"/>
          <cell r="BD21"/>
          <cell r="BE21"/>
          <cell r="BF21"/>
          <cell r="BG21"/>
          <cell r="BH21" t="str">
            <v xml:space="preserve">(Pg 5 Ln 69, 74 &amp; Pg 6 Ln 7, 13, 14 - 16) </v>
          </cell>
          <cell r="BI21">
            <v>32329</v>
          </cell>
          <cell r="BJ21"/>
          <cell r="BK21"/>
          <cell r="BL21" t="e">
            <v>#REF!</v>
          </cell>
          <cell r="BM21"/>
          <cell r="BN21"/>
          <cell r="BO21"/>
          <cell r="BP21"/>
          <cell r="BQ21">
            <v>2785150</v>
          </cell>
          <cell r="BR21"/>
          <cell r="BS21"/>
          <cell r="BT21"/>
          <cell r="BU21"/>
          <cell r="BV21"/>
          <cell r="BW21"/>
          <cell r="BX21"/>
          <cell r="BY21" t="e">
            <v>#REF!</v>
          </cell>
          <cell r="BZ21"/>
          <cell r="CA21"/>
          <cell r="CB21"/>
          <cell r="CC21"/>
          <cell r="CD21">
            <v>1817138</v>
          </cell>
          <cell r="CE21"/>
          <cell r="CF21"/>
          <cell r="CG21"/>
          <cell r="CH21"/>
          <cell r="CI21"/>
          <cell r="CJ21"/>
          <cell r="CK21"/>
          <cell r="CL21" t="e">
            <v>#REF!</v>
          </cell>
          <cell r="CM21"/>
          <cell r="CN21"/>
          <cell r="CO21"/>
          <cell r="CP21"/>
          <cell r="CQ21">
            <v>65.2</v>
          </cell>
          <cell r="CR21"/>
          <cell r="CS21"/>
          <cell r="CT21" t="e">
            <v>#REF!</v>
          </cell>
          <cell r="CU21"/>
          <cell r="CV21"/>
          <cell r="CW21"/>
          <cell r="CX21"/>
          <cell r="CY21" t="str">
            <v>17</v>
          </cell>
        </row>
        <row r="22">
          <cell r="B22" t="str">
            <v>18</v>
          </cell>
          <cell r="C22" t="str">
            <v># CT.'s</v>
          </cell>
          <cell r="D22"/>
          <cell r="E22"/>
          <cell r="F22"/>
          <cell r="G22"/>
          <cell r="H22"/>
          <cell r="I22"/>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t="e">
            <v>#REF!</v>
          </cell>
          <cell r="AO22"/>
          <cell r="AP22"/>
          <cell r="AQ22"/>
          <cell r="AR22"/>
          <cell r="AS22"/>
          <cell r="AT22" t="str">
            <v>PARTS &amp; ACCESSORIES DEPARTMENT (D)</v>
          </cell>
          <cell r="AU22"/>
          <cell r="AV22"/>
          <cell r="AW22"/>
          <cell r="AX22"/>
          <cell r="AY22"/>
          <cell r="AZ22"/>
          <cell r="BA22"/>
          <cell r="BB22"/>
          <cell r="BC22"/>
          <cell r="BD22"/>
          <cell r="BE22"/>
          <cell r="BF22"/>
          <cell r="BG22"/>
          <cell r="BH22"/>
          <cell r="BI22" t="str">
            <v># CT.'s</v>
          </cell>
          <cell r="BJ22"/>
          <cell r="BK22"/>
          <cell r="BL22" t="e">
            <v>#REF!</v>
          </cell>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t="e">
            <v>#REF!</v>
          </cell>
          <cell r="CU22"/>
          <cell r="CV22"/>
          <cell r="CW22"/>
          <cell r="CX22"/>
          <cell r="CY22" t="str">
            <v>18</v>
          </cell>
        </row>
        <row r="23">
          <cell r="B23" t="str">
            <v>19</v>
          </cell>
          <cell r="C23"/>
          <cell r="D23"/>
          <cell r="E23"/>
          <cell r="F23" t="e">
            <v>#REF!</v>
          </cell>
          <cell r="G23"/>
          <cell r="H23"/>
          <cell r="I23"/>
          <cell r="J23"/>
          <cell r="K23">
            <v>55176</v>
          </cell>
          <cell r="L23"/>
          <cell r="M23"/>
          <cell r="N23"/>
          <cell r="O23"/>
          <cell r="P23"/>
          <cell r="Q23"/>
          <cell r="R23"/>
          <cell r="S23" t="e">
            <v>#REF!</v>
          </cell>
          <cell r="T23"/>
          <cell r="U23"/>
          <cell r="V23"/>
          <cell r="W23"/>
          <cell r="X23">
            <v>16007</v>
          </cell>
          <cell r="Y23"/>
          <cell r="Z23"/>
          <cell r="AA23"/>
          <cell r="AB23"/>
          <cell r="AC23"/>
          <cell r="AD23"/>
          <cell r="AE23"/>
          <cell r="AF23" t="e">
            <v>#REF!</v>
          </cell>
          <cell r="AG23"/>
          <cell r="AH23"/>
          <cell r="AI23"/>
          <cell r="AJ23"/>
          <cell r="AK23">
            <v>29</v>
          </cell>
          <cell r="AL23"/>
          <cell r="AM23"/>
          <cell r="AN23" t="e">
            <v>#REF!</v>
          </cell>
          <cell r="AO23"/>
          <cell r="AP23"/>
          <cell r="AQ23"/>
          <cell r="AR23"/>
          <cell r="AS23">
            <v>4600</v>
          </cell>
          <cell r="AT23" t="str">
            <v>Parts &amp; Access. - R.O. - Nissan</v>
          </cell>
          <cell r="AU23"/>
          <cell r="AV23"/>
          <cell r="AW23"/>
          <cell r="AX23"/>
          <cell r="AY23"/>
          <cell r="AZ23"/>
          <cell r="BA23"/>
          <cell r="BB23"/>
          <cell r="BC23"/>
          <cell r="BD23"/>
          <cell r="BE23"/>
          <cell r="BF23"/>
          <cell r="BG23"/>
          <cell r="BH23"/>
          <cell r="BI23"/>
          <cell r="BJ23"/>
          <cell r="BK23"/>
          <cell r="BL23" t="e">
            <v>#REF!</v>
          </cell>
          <cell r="BM23"/>
          <cell r="BN23"/>
          <cell r="BO23"/>
          <cell r="BP23"/>
          <cell r="BQ23">
            <v>560840</v>
          </cell>
          <cell r="BR23"/>
          <cell r="BS23"/>
          <cell r="BT23"/>
          <cell r="BU23"/>
          <cell r="BV23"/>
          <cell r="BW23"/>
          <cell r="BX23"/>
          <cell r="BY23" t="e">
            <v>#REF!</v>
          </cell>
          <cell r="BZ23"/>
          <cell r="CA23"/>
          <cell r="CB23"/>
          <cell r="CC23"/>
          <cell r="CD23">
            <v>194748</v>
          </cell>
          <cell r="CE23"/>
          <cell r="CF23"/>
          <cell r="CG23"/>
          <cell r="CH23"/>
          <cell r="CI23"/>
          <cell r="CJ23"/>
          <cell r="CK23"/>
          <cell r="CL23" t="e">
            <v>#REF!</v>
          </cell>
          <cell r="CM23"/>
          <cell r="CN23"/>
          <cell r="CO23"/>
          <cell r="CP23"/>
          <cell r="CQ23">
            <v>34.700000000000003</v>
          </cell>
          <cell r="CR23"/>
          <cell r="CS23"/>
          <cell r="CT23" t="e">
            <v>#REF!</v>
          </cell>
          <cell r="CU23"/>
          <cell r="CV23"/>
          <cell r="CW23"/>
          <cell r="CX23"/>
          <cell r="CY23" t="str">
            <v>19</v>
          </cell>
        </row>
        <row r="24">
          <cell r="B24" t="str">
            <v>20</v>
          </cell>
          <cell r="C24"/>
          <cell r="D24"/>
          <cell r="E24"/>
          <cell r="F24" t="e">
            <v>#REF!</v>
          </cell>
          <cell r="G24"/>
          <cell r="H24"/>
          <cell r="I24"/>
          <cell r="J24"/>
          <cell r="K24">
            <v>0</v>
          </cell>
          <cell r="L24"/>
          <cell r="M24"/>
          <cell r="N24"/>
          <cell r="O24"/>
          <cell r="P24"/>
          <cell r="Q24"/>
          <cell r="R24"/>
          <cell r="S24" t="e">
            <v>#REF!</v>
          </cell>
          <cell r="T24"/>
          <cell r="U24"/>
          <cell r="V24"/>
          <cell r="W24"/>
          <cell r="X24">
            <v>0</v>
          </cell>
          <cell r="Y24"/>
          <cell r="Z24"/>
          <cell r="AA24"/>
          <cell r="AB24"/>
          <cell r="AC24"/>
          <cell r="AD24"/>
          <cell r="AE24"/>
          <cell r="AF24" t="e">
            <v>#REF!</v>
          </cell>
          <cell r="AG24"/>
          <cell r="AH24"/>
          <cell r="AI24"/>
          <cell r="AJ24"/>
          <cell r="AK24">
            <v>0</v>
          </cell>
          <cell r="AL24"/>
          <cell r="AM24"/>
          <cell r="AN24" t="e">
            <v>#REF!</v>
          </cell>
          <cell r="AO24"/>
          <cell r="AP24"/>
          <cell r="AQ24"/>
          <cell r="AR24"/>
          <cell r="AS24">
            <v>4604</v>
          </cell>
          <cell r="AT24" t="str">
            <v>Service / Maint. Contract - Parts - Nissan Vehicles</v>
          </cell>
          <cell r="AU24"/>
          <cell r="AV24"/>
          <cell r="AW24"/>
          <cell r="AX24"/>
          <cell r="AY24"/>
          <cell r="AZ24"/>
          <cell r="BA24"/>
          <cell r="BB24"/>
          <cell r="BC24"/>
          <cell r="BD24"/>
          <cell r="BE24"/>
          <cell r="BF24"/>
          <cell r="BG24"/>
          <cell r="BH24"/>
          <cell r="BI24"/>
          <cell r="BJ24"/>
          <cell r="BK24"/>
          <cell r="BL24" t="e">
            <v>#REF!</v>
          </cell>
          <cell r="BM24"/>
          <cell r="BN24"/>
          <cell r="BO24"/>
          <cell r="BP24"/>
          <cell r="BQ24">
            <v>0</v>
          </cell>
          <cell r="BR24"/>
          <cell r="BS24"/>
          <cell r="BT24"/>
          <cell r="BU24"/>
          <cell r="BV24"/>
          <cell r="BW24"/>
          <cell r="BX24"/>
          <cell r="BY24" t="e">
            <v>#REF!</v>
          </cell>
          <cell r="BZ24"/>
          <cell r="CA24"/>
          <cell r="CB24"/>
          <cell r="CC24"/>
          <cell r="CD24">
            <v>0</v>
          </cell>
          <cell r="CE24"/>
          <cell r="CF24"/>
          <cell r="CG24"/>
          <cell r="CH24"/>
          <cell r="CI24"/>
          <cell r="CJ24"/>
          <cell r="CK24"/>
          <cell r="CL24" t="e">
            <v>#REF!</v>
          </cell>
          <cell r="CM24"/>
          <cell r="CN24"/>
          <cell r="CO24"/>
          <cell r="CP24"/>
          <cell r="CQ24">
            <v>0</v>
          </cell>
          <cell r="CR24"/>
          <cell r="CS24"/>
          <cell r="CT24" t="e">
            <v>#REF!</v>
          </cell>
          <cell r="CU24"/>
          <cell r="CV24"/>
          <cell r="CW24"/>
          <cell r="CX24"/>
          <cell r="CY24" t="str">
            <v>20</v>
          </cell>
        </row>
        <row r="25">
          <cell r="B25" t="str">
            <v>21</v>
          </cell>
          <cell r="C25"/>
          <cell r="D25"/>
          <cell r="E25"/>
          <cell r="F25" t="e">
            <v>#REF!</v>
          </cell>
          <cell r="G25"/>
          <cell r="H25"/>
          <cell r="I25"/>
          <cell r="J25"/>
          <cell r="K25">
            <v>9586</v>
          </cell>
          <cell r="L25"/>
          <cell r="M25"/>
          <cell r="N25"/>
          <cell r="O25"/>
          <cell r="P25"/>
          <cell r="Q25"/>
          <cell r="R25"/>
          <cell r="S25" t="e">
            <v>#REF!</v>
          </cell>
          <cell r="T25"/>
          <cell r="U25"/>
          <cell r="V25"/>
          <cell r="W25"/>
          <cell r="X25">
            <v>1859</v>
          </cell>
          <cell r="Y25"/>
          <cell r="Z25"/>
          <cell r="AA25"/>
          <cell r="AB25"/>
          <cell r="AC25"/>
          <cell r="AD25"/>
          <cell r="AE25"/>
          <cell r="AF25" t="e">
            <v>#REF!</v>
          </cell>
          <cell r="AG25"/>
          <cell r="AH25"/>
          <cell r="AI25"/>
          <cell r="AJ25"/>
          <cell r="AK25">
            <v>19.399999999999999</v>
          </cell>
          <cell r="AL25"/>
          <cell r="AM25"/>
          <cell r="AN25" t="e">
            <v>#REF!</v>
          </cell>
          <cell r="AO25"/>
          <cell r="AP25"/>
          <cell r="AQ25"/>
          <cell r="AR25"/>
          <cell r="AS25">
            <v>4607</v>
          </cell>
          <cell r="AT25" t="str">
            <v>Tire Sales - R.O. - Nissan</v>
          </cell>
          <cell r="AU25"/>
          <cell r="AV25"/>
          <cell r="AW25"/>
          <cell r="AX25"/>
          <cell r="AY25"/>
          <cell r="AZ25"/>
          <cell r="BA25"/>
          <cell r="BB25"/>
          <cell r="BC25"/>
          <cell r="BD25"/>
          <cell r="BE25"/>
          <cell r="BF25"/>
          <cell r="BG25"/>
          <cell r="BH25"/>
          <cell r="BI25"/>
          <cell r="BJ25"/>
          <cell r="BK25"/>
          <cell r="BL25" t="e">
            <v>#REF!</v>
          </cell>
          <cell r="BM25"/>
          <cell r="BN25"/>
          <cell r="BO25"/>
          <cell r="BP25"/>
          <cell r="BQ25">
            <v>109658</v>
          </cell>
          <cell r="BR25"/>
          <cell r="BS25"/>
          <cell r="BT25"/>
          <cell r="BU25"/>
          <cell r="BV25"/>
          <cell r="BW25"/>
          <cell r="BX25"/>
          <cell r="BY25" t="e">
            <v>#REF!</v>
          </cell>
          <cell r="BZ25"/>
          <cell r="CA25"/>
          <cell r="CB25"/>
          <cell r="CC25"/>
          <cell r="CD25">
            <v>27328</v>
          </cell>
          <cell r="CE25"/>
          <cell r="CF25"/>
          <cell r="CG25"/>
          <cell r="CH25"/>
          <cell r="CI25"/>
          <cell r="CJ25"/>
          <cell r="CK25"/>
          <cell r="CL25" t="e">
            <v>#REF!</v>
          </cell>
          <cell r="CM25"/>
          <cell r="CN25"/>
          <cell r="CO25"/>
          <cell r="CP25"/>
          <cell r="CQ25">
            <v>24.9</v>
          </cell>
          <cell r="CR25"/>
          <cell r="CS25"/>
          <cell r="CT25" t="e">
            <v>#REF!</v>
          </cell>
          <cell r="CU25"/>
          <cell r="CV25"/>
          <cell r="CW25"/>
          <cell r="CX25"/>
          <cell r="CY25" t="str">
            <v>21</v>
          </cell>
        </row>
        <row r="26">
          <cell r="B26" t="str">
            <v>22</v>
          </cell>
          <cell r="C26"/>
          <cell r="D26"/>
          <cell r="E26"/>
          <cell r="F26" t="e">
            <v>#REF!</v>
          </cell>
          <cell r="G26"/>
          <cell r="H26"/>
          <cell r="I26"/>
          <cell r="J26"/>
          <cell r="K26">
            <v>68452</v>
          </cell>
          <cell r="L26"/>
          <cell r="M26"/>
          <cell r="N26"/>
          <cell r="O26"/>
          <cell r="P26"/>
          <cell r="Q26"/>
          <cell r="R26"/>
          <cell r="S26" t="e">
            <v>#REF!</v>
          </cell>
          <cell r="T26"/>
          <cell r="U26"/>
          <cell r="V26"/>
          <cell r="W26"/>
          <cell r="X26">
            <v>26127</v>
          </cell>
          <cell r="Y26"/>
          <cell r="Z26"/>
          <cell r="AA26"/>
          <cell r="AB26"/>
          <cell r="AC26"/>
          <cell r="AD26"/>
          <cell r="AE26"/>
          <cell r="AF26" t="e">
            <v>#REF!</v>
          </cell>
          <cell r="AG26"/>
          <cell r="AH26"/>
          <cell r="AI26"/>
          <cell r="AJ26"/>
          <cell r="AK26">
            <v>38.200000000000003</v>
          </cell>
          <cell r="AL26"/>
          <cell r="AM26"/>
          <cell r="AN26" t="e">
            <v>#REF!</v>
          </cell>
          <cell r="AO26"/>
          <cell r="AP26"/>
          <cell r="AQ26"/>
          <cell r="AR26"/>
          <cell r="AS26">
            <v>4640</v>
          </cell>
          <cell r="AT26" t="str">
            <v>Parts &amp; Access. - Warranty Claims - Nissan</v>
          </cell>
          <cell r="AU26"/>
          <cell r="AV26"/>
          <cell r="AW26"/>
          <cell r="AX26"/>
          <cell r="AY26"/>
          <cell r="AZ26"/>
          <cell r="BA26"/>
          <cell r="BB26"/>
          <cell r="BC26"/>
          <cell r="BD26"/>
          <cell r="BE26"/>
          <cell r="BF26"/>
          <cell r="BG26"/>
          <cell r="BH26"/>
          <cell r="BI26"/>
          <cell r="BJ26"/>
          <cell r="BK26"/>
          <cell r="BL26" t="e">
            <v>#REF!</v>
          </cell>
          <cell r="BM26"/>
          <cell r="BN26"/>
          <cell r="BO26"/>
          <cell r="BP26"/>
          <cell r="BQ26">
            <v>685293</v>
          </cell>
          <cell r="BR26"/>
          <cell r="BS26"/>
          <cell r="BT26"/>
          <cell r="BU26"/>
          <cell r="BV26"/>
          <cell r="BW26"/>
          <cell r="BX26"/>
          <cell r="BY26" t="e">
            <v>#REF!</v>
          </cell>
          <cell r="BZ26"/>
          <cell r="CA26"/>
          <cell r="CB26"/>
          <cell r="CC26"/>
          <cell r="CD26">
            <v>247066</v>
          </cell>
          <cell r="CE26"/>
          <cell r="CF26"/>
          <cell r="CG26"/>
          <cell r="CH26"/>
          <cell r="CI26"/>
          <cell r="CJ26"/>
          <cell r="CK26"/>
          <cell r="CL26" t="e">
            <v>#REF!</v>
          </cell>
          <cell r="CM26"/>
          <cell r="CN26"/>
          <cell r="CO26"/>
          <cell r="CP26"/>
          <cell r="CQ26">
            <v>36.1</v>
          </cell>
          <cell r="CR26"/>
          <cell r="CS26"/>
          <cell r="CT26" t="e">
            <v>#REF!</v>
          </cell>
          <cell r="CU26"/>
          <cell r="CV26"/>
          <cell r="CW26"/>
          <cell r="CX26"/>
          <cell r="CY26" t="str">
            <v>22</v>
          </cell>
        </row>
        <row r="27">
          <cell r="B27" t="str">
            <v>23</v>
          </cell>
          <cell r="C27"/>
          <cell r="D27"/>
          <cell r="E27"/>
          <cell r="F27" t="e">
            <v>#REF!</v>
          </cell>
          <cell r="G27"/>
          <cell r="H27"/>
          <cell r="I27"/>
          <cell r="J27"/>
          <cell r="K27">
            <v>0</v>
          </cell>
          <cell r="L27"/>
          <cell r="M27"/>
          <cell r="N27"/>
          <cell r="O27"/>
          <cell r="P27"/>
          <cell r="Q27"/>
          <cell r="R27"/>
          <cell r="S27" t="e">
            <v>#REF!</v>
          </cell>
          <cell r="T27"/>
          <cell r="U27"/>
          <cell r="V27"/>
          <cell r="W27"/>
          <cell r="X27">
            <v>0</v>
          </cell>
          <cell r="Y27"/>
          <cell r="Z27"/>
          <cell r="AA27"/>
          <cell r="AB27"/>
          <cell r="AC27"/>
          <cell r="AD27"/>
          <cell r="AE27"/>
          <cell r="AF27" t="e">
            <v>#REF!</v>
          </cell>
          <cell r="AG27"/>
          <cell r="AH27"/>
          <cell r="AI27"/>
          <cell r="AJ27"/>
          <cell r="AK27">
            <v>0</v>
          </cell>
          <cell r="AL27"/>
          <cell r="AM27"/>
          <cell r="AN27" t="e">
            <v>#REF!</v>
          </cell>
          <cell r="AO27"/>
          <cell r="AP27"/>
          <cell r="AQ27"/>
          <cell r="AR27"/>
          <cell r="AS27">
            <v>4647</v>
          </cell>
          <cell r="AT27" t="str">
            <v>Tire Sales - Warranty - Nissan</v>
          </cell>
          <cell r="AU27"/>
          <cell r="AV27"/>
          <cell r="AW27"/>
          <cell r="AX27"/>
          <cell r="AY27"/>
          <cell r="AZ27"/>
          <cell r="BA27"/>
          <cell r="BB27"/>
          <cell r="BC27"/>
          <cell r="BD27"/>
          <cell r="BE27"/>
          <cell r="BF27"/>
          <cell r="BG27"/>
          <cell r="BH27"/>
          <cell r="BI27"/>
          <cell r="BJ27"/>
          <cell r="BK27"/>
          <cell r="BL27" t="e">
            <v>#REF!</v>
          </cell>
          <cell r="BM27"/>
          <cell r="BN27"/>
          <cell r="BO27"/>
          <cell r="BP27"/>
          <cell r="BQ27">
            <v>0</v>
          </cell>
          <cell r="BR27"/>
          <cell r="BS27"/>
          <cell r="BT27"/>
          <cell r="BU27"/>
          <cell r="BV27"/>
          <cell r="BW27"/>
          <cell r="BX27"/>
          <cell r="BY27" t="e">
            <v>#REF!</v>
          </cell>
          <cell r="BZ27"/>
          <cell r="CA27"/>
          <cell r="CB27"/>
          <cell r="CC27"/>
          <cell r="CD27">
            <v>0</v>
          </cell>
          <cell r="CE27"/>
          <cell r="CF27"/>
          <cell r="CG27"/>
          <cell r="CH27"/>
          <cell r="CI27"/>
          <cell r="CJ27"/>
          <cell r="CK27"/>
          <cell r="CL27" t="e">
            <v>#REF!</v>
          </cell>
          <cell r="CM27"/>
          <cell r="CN27"/>
          <cell r="CO27"/>
          <cell r="CP27"/>
          <cell r="CQ27">
            <v>0</v>
          </cell>
          <cell r="CR27"/>
          <cell r="CS27"/>
          <cell r="CT27" t="e">
            <v>#REF!</v>
          </cell>
          <cell r="CU27"/>
          <cell r="CV27"/>
          <cell r="CW27"/>
          <cell r="CX27"/>
          <cell r="CY27" t="str">
            <v>23</v>
          </cell>
        </row>
        <row r="28">
          <cell r="B28" t="str">
            <v>24</v>
          </cell>
          <cell r="C28"/>
          <cell r="D28"/>
          <cell r="E28"/>
          <cell r="F28" t="e">
            <v>#REF!</v>
          </cell>
          <cell r="G28"/>
          <cell r="H28"/>
          <cell r="I28"/>
          <cell r="J28"/>
          <cell r="K28">
            <v>27083</v>
          </cell>
          <cell r="L28"/>
          <cell r="M28"/>
          <cell r="N28"/>
          <cell r="O28"/>
          <cell r="P28"/>
          <cell r="Q28"/>
          <cell r="R28"/>
          <cell r="S28" t="e">
            <v>#REF!</v>
          </cell>
          <cell r="T28"/>
          <cell r="U28"/>
          <cell r="V28"/>
          <cell r="W28"/>
          <cell r="X28">
            <v>12330</v>
          </cell>
          <cell r="Y28"/>
          <cell r="Z28"/>
          <cell r="AA28"/>
          <cell r="AB28"/>
          <cell r="AC28"/>
          <cell r="AD28"/>
          <cell r="AE28"/>
          <cell r="AF28" t="e">
            <v>#REF!</v>
          </cell>
          <cell r="AG28"/>
          <cell r="AH28"/>
          <cell r="AI28"/>
          <cell r="AJ28"/>
          <cell r="AK28">
            <v>45.5</v>
          </cell>
          <cell r="AL28"/>
          <cell r="AM28"/>
          <cell r="AN28" t="e">
            <v>#REF!</v>
          </cell>
          <cell r="AO28"/>
          <cell r="AP28"/>
          <cell r="AQ28"/>
          <cell r="AR28"/>
          <cell r="AS28">
            <v>4650</v>
          </cell>
          <cell r="AT28" t="str">
            <v>Parts &amp; Access. - Internal - Nissan</v>
          </cell>
          <cell r="AU28"/>
          <cell r="AV28"/>
          <cell r="AW28"/>
          <cell r="AX28"/>
          <cell r="AY28"/>
          <cell r="AZ28"/>
          <cell r="BA28"/>
          <cell r="BB28"/>
          <cell r="BC28"/>
          <cell r="BD28"/>
          <cell r="BE28"/>
          <cell r="BF28"/>
          <cell r="BG28"/>
          <cell r="BH28"/>
          <cell r="BI28"/>
          <cell r="BJ28"/>
          <cell r="BK28"/>
          <cell r="BL28" t="e">
            <v>#REF!</v>
          </cell>
          <cell r="BM28"/>
          <cell r="BN28"/>
          <cell r="BO28"/>
          <cell r="BP28"/>
          <cell r="BQ28">
            <v>303832</v>
          </cell>
          <cell r="BR28"/>
          <cell r="BS28"/>
          <cell r="BT28"/>
          <cell r="BU28"/>
          <cell r="BV28"/>
          <cell r="BW28"/>
          <cell r="BX28"/>
          <cell r="BY28" t="e">
            <v>#REF!</v>
          </cell>
          <cell r="BZ28"/>
          <cell r="CA28"/>
          <cell r="CB28"/>
          <cell r="CC28"/>
          <cell r="CD28">
            <v>135397</v>
          </cell>
          <cell r="CE28"/>
          <cell r="CF28"/>
          <cell r="CG28"/>
          <cell r="CH28"/>
          <cell r="CI28"/>
          <cell r="CJ28"/>
          <cell r="CK28"/>
          <cell r="CL28" t="e">
            <v>#REF!</v>
          </cell>
          <cell r="CM28"/>
          <cell r="CN28"/>
          <cell r="CO28"/>
          <cell r="CP28"/>
          <cell r="CQ28">
            <v>44.6</v>
          </cell>
          <cell r="CR28"/>
          <cell r="CS28"/>
          <cell r="CT28" t="e">
            <v>#REF!</v>
          </cell>
          <cell r="CU28"/>
          <cell r="CV28"/>
          <cell r="CW28"/>
          <cell r="CX28"/>
          <cell r="CY28" t="str">
            <v>24</v>
          </cell>
        </row>
        <row r="29">
          <cell r="B29" t="str">
            <v>25</v>
          </cell>
          <cell r="C29"/>
          <cell r="D29"/>
          <cell r="E29"/>
          <cell r="F29" t="e">
            <v>#REF!</v>
          </cell>
          <cell r="G29"/>
          <cell r="H29"/>
          <cell r="I29"/>
          <cell r="J29"/>
          <cell r="K29">
            <v>6288</v>
          </cell>
          <cell r="L29"/>
          <cell r="M29"/>
          <cell r="N29"/>
          <cell r="O29"/>
          <cell r="P29"/>
          <cell r="Q29"/>
          <cell r="R29"/>
          <cell r="S29" t="e">
            <v>#REF!</v>
          </cell>
          <cell r="T29"/>
          <cell r="U29"/>
          <cell r="V29"/>
          <cell r="W29"/>
          <cell r="X29">
            <v>1390</v>
          </cell>
          <cell r="Y29"/>
          <cell r="Z29"/>
          <cell r="AA29"/>
          <cell r="AB29"/>
          <cell r="AC29"/>
          <cell r="AD29"/>
          <cell r="AE29"/>
          <cell r="AF29" t="e">
            <v>#REF!</v>
          </cell>
          <cell r="AG29"/>
          <cell r="AH29"/>
          <cell r="AI29"/>
          <cell r="AJ29"/>
          <cell r="AK29">
            <v>22.1</v>
          </cell>
          <cell r="AL29"/>
          <cell r="AM29"/>
          <cell r="AN29" t="e">
            <v>#REF!</v>
          </cell>
          <cell r="AO29"/>
          <cell r="AP29"/>
          <cell r="AQ29"/>
          <cell r="AR29"/>
          <cell r="AS29">
            <v>4657</v>
          </cell>
          <cell r="AT29" t="str">
            <v>Tire Sales - Internal - Nissan</v>
          </cell>
          <cell r="AU29"/>
          <cell r="AV29"/>
          <cell r="AW29"/>
          <cell r="AX29"/>
          <cell r="AY29"/>
          <cell r="AZ29"/>
          <cell r="BA29"/>
          <cell r="BB29"/>
          <cell r="BC29"/>
          <cell r="BD29"/>
          <cell r="BE29"/>
          <cell r="BF29"/>
          <cell r="BG29"/>
          <cell r="BH29"/>
          <cell r="BI29"/>
          <cell r="BJ29"/>
          <cell r="BK29"/>
          <cell r="BL29" t="e">
            <v>#REF!</v>
          </cell>
          <cell r="BM29"/>
          <cell r="BN29"/>
          <cell r="BO29"/>
          <cell r="BP29"/>
          <cell r="BQ29">
            <v>113565</v>
          </cell>
          <cell r="BR29"/>
          <cell r="BS29"/>
          <cell r="BT29"/>
          <cell r="BU29"/>
          <cell r="BV29"/>
          <cell r="BW29"/>
          <cell r="BX29"/>
          <cell r="BY29" t="e">
            <v>#REF!</v>
          </cell>
          <cell r="BZ29"/>
          <cell r="CA29"/>
          <cell r="CB29"/>
          <cell r="CC29"/>
          <cell r="CD29">
            <v>23699</v>
          </cell>
          <cell r="CE29"/>
          <cell r="CF29"/>
          <cell r="CG29"/>
          <cell r="CH29"/>
          <cell r="CI29"/>
          <cell r="CJ29"/>
          <cell r="CK29"/>
          <cell r="CL29" t="e">
            <v>#REF!</v>
          </cell>
          <cell r="CM29"/>
          <cell r="CN29"/>
          <cell r="CO29"/>
          <cell r="CP29"/>
          <cell r="CQ29">
            <v>20.9</v>
          </cell>
          <cell r="CR29"/>
          <cell r="CS29"/>
          <cell r="CT29" t="e">
            <v>#REF!</v>
          </cell>
          <cell r="CU29"/>
          <cell r="CV29"/>
          <cell r="CW29"/>
          <cell r="CX29"/>
          <cell r="CY29" t="str">
            <v>25</v>
          </cell>
        </row>
        <row r="30">
          <cell r="B30" t="str">
            <v>26</v>
          </cell>
          <cell r="C30"/>
          <cell r="D30"/>
          <cell r="E30"/>
          <cell r="F30" t="e">
            <v>#REF!</v>
          </cell>
          <cell r="G30"/>
          <cell r="H30"/>
          <cell r="I30"/>
          <cell r="J30"/>
          <cell r="K30">
            <v>0</v>
          </cell>
          <cell r="L30"/>
          <cell r="M30"/>
          <cell r="N30"/>
          <cell r="O30"/>
          <cell r="P30"/>
          <cell r="Q30"/>
          <cell r="R30"/>
          <cell r="S30" t="e">
            <v>#REF!</v>
          </cell>
          <cell r="T30"/>
          <cell r="U30"/>
          <cell r="V30"/>
          <cell r="W30"/>
          <cell r="X30">
            <v>0</v>
          </cell>
          <cell r="Y30"/>
          <cell r="Z30"/>
          <cell r="AA30"/>
          <cell r="AB30"/>
          <cell r="AC30"/>
          <cell r="AD30"/>
          <cell r="AE30"/>
          <cell r="AF30" t="e">
            <v>#REF!</v>
          </cell>
          <cell r="AG30"/>
          <cell r="AH30"/>
          <cell r="AI30"/>
          <cell r="AJ30"/>
          <cell r="AK30">
            <v>0</v>
          </cell>
          <cell r="AL30"/>
          <cell r="AM30"/>
          <cell r="AN30" t="e">
            <v>#REF!</v>
          </cell>
          <cell r="AO30"/>
          <cell r="AP30"/>
          <cell r="AQ30"/>
          <cell r="AR30"/>
          <cell r="AS30">
            <v>4620</v>
          </cell>
          <cell r="AT30" t="str">
            <v>Parts &amp; Access. - R.O. Body Shop - Nissan</v>
          </cell>
          <cell r="AU30"/>
          <cell r="AV30"/>
          <cell r="AW30"/>
          <cell r="AX30"/>
          <cell r="AY30"/>
          <cell r="AZ30"/>
          <cell r="BA30"/>
          <cell r="BB30"/>
          <cell r="BC30"/>
          <cell r="BD30"/>
          <cell r="BE30"/>
          <cell r="BF30"/>
          <cell r="BG30"/>
          <cell r="BH30"/>
          <cell r="BI30"/>
          <cell r="BJ30"/>
          <cell r="BK30"/>
          <cell r="BL30" t="e">
            <v>#REF!</v>
          </cell>
          <cell r="BM30"/>
          <cell r="BN30"/>
          <cell r="BO30"/>
          <cell r="BP30"/>
          <cell r="BQ30">
            <v>0</v>
          </cell>
          <cell r="BR30"/>
          <cell r="BS30"/>
          <cell r="BT30"/>
          <cell r="BU30"/>
          <cell r="BV30"/>
          <cell r="BW30"/>
          <cell r="BX30"/>
          <cell r="BY30" t="e">
            <v>#REF!</v>
          </cell>
          <cell r="BZ30"/>
          <cell r="CA30"/>
          <cell r="CB30"/>
          <cell r="CC30"/>
          <cell r="CD30">
            <v>-5</v>
          </cell>
          <cell r="CE30"/>
          <cell r="CF30"/>
          <cell r="CG30"/>
          <cell r="CH30"/>
          <cell r="CI30"/>
          <cell r="CJ30"/>
          <cell r="CK30"/>
          <cell r="CL30" t="e">
            <v>#REF!</v>
          </cell>
          <cell r="CM30"/>
          <cell r="CN30"/>
          <cell r="CO30"/>
          <cell r="CP30"/>
          <cell r="CQ30">
            <v>0</v>
          </cell>
          <cell r="CR30"/>
          <cell r="CS30"/>
          <cell r="CT30" t="e">
            <v>#REF!</v>
          </cell>
          <cell r="CU30"/>
          <cell r="CV30"/>
          <cell r="CW30"/>
          <cell r="CX30"/>
          <cell r="CY30" t="str">
            <v>26</v>
          </cell>
        </row>
        <row r="31">
          <cell r="B31" t="str">
            <v>27</v>
          </cell>
          <cell r="C31">
            <v>198</v>
          </cell>
          <cell r="D31"/>
          <cell r="E31"/>
          <cell r="F31" t="e">
            <v>#REF!</v>
          </cell>
          <cell r="G31"/>
          <cell r="H31"/>
          <cell r="I31"/>
          <cell r="J31"/>
          <cell r="K31">
            <v>8920</v>
          </cell>
          <cell r="L31"/>
          <cell r="M31"/>
          <cell r="N31"/>
          <cell r="O31"/>
          <cell r="P31"/>
          <cell r="Q31"/>
          <cell r="R31"/>
          <cell r="S31" t="e">
            <v>#REF!</v>
          </cell>
          <cell r="T31"/>
          <cell r="U31"/>
          <cell r="V31"/>
          <cell r="W31"/>
          <cell r="X31">
            <v>2808</v>
          </cell>
          <cell r="Y31"/>
          <cell r="Z31"/>
          <cell r="AA31"/>
          <cell r="AB31"/>
          <cell r="AC31"/>
          <cell r="AD31"/>
          <cell r="AE31"/>
          <cell r="AF31" t="e">
            <v>#REF!</v>
          </cell>
          <cell r="AG31"/>
          <cell r="AH31"/>
          <cell r="AI31"/>
          <cell r="AJ31"/>
          <cell r="AK31">
            <v>31.5</v>
          </cell>
          <cell r="AL31"/>
          <cell r="AM31"/>
          <cell r="AN31" t="e">
            <v>#REF!</v>
          </cell>
          <cell r="AO31"/>
          <cell r="AP31"/>
          <cell r="AQ31"/>
          <cell r="AR31"/>
          <cell r="AS31">
            <v>4660</v>
          </cell>
          <cell r="AT31" t="str">
            <v>Parts &amp; Access. - Counter Retail - Nissan</v>
          </cell>
          <cell r="AU31"/>
          <cell r="AV31"/>
          <cell r="AW31"/>
          <cell r="AX31"/>
          <cell r="AY31"/>
          <cell r="AZ31"/>
          <cell r="BA31"/>
          <cell r="BB31"/>
          <cell r="BC31"/>
          <cell r="BD31"/>
          <cell r="BE31"/>
          <cell r="BF31"/>
          <cell r="BG31"/>
          <cell r="BH31"/>
          <cell r="BI31">
            <v>2485</v>
          </cell>
          <cell r="BJ31"/>
          <cell r="BK31"/>
          <cell r="BL31" t="e">
            <v>#REF!</v>
          </cell>
          <cell r="BM31"/>
          <cell r="BN31"/>
          <cell r="BO31"/>
          <cell r="BP31"/>
          <cell r="BQ31">
            <v>105988</v>
          </cell>
          <cell r="BR31"/>
          <cell r="BS31"/>
          <cell r="BT31"/>
          <cell r="BU31"/>
          <cell r="BV31"/>
          <cell r="BW31"/>
          <cell r="BX31"/>
          <cell r="BY31" t="e">
            <v>#REF!</v>
          </cell>
          <cell r="BZ31"/>
          <cell r="CA31"/>
          <cell r="CB31"/>
          <cell r="CC31"/>
          <cell r="CD31">
            <v>31901</v>
          </cell>
          <cell r="CE31"/>
          <cell r="CF31"/>
          <cell r="CG31"/>
          <cell r="CH31"/>
          <cell r="CI31"/>
          <cell r="CJ31"/>
          <cell r="CK31"/>
          <cell r="CL31" t="e">
            <v>#REF!</v>
          </cell>
          <cell r="CM31"/>
          <cell r="CN31"/>
          <cell r="CO31"/>
          <cell r="CP31"/>
          <cell r="CQ31">
            <v>30.1</v>
          </cell>
          <cell r="CR31"/>
          <cell r="CS31"/>
          <cell r="CT31" t="e">
            <v>#REF!</v>
          </cell>
          <cell r="CU31"/>
          <cell r="CV31"/>
          <cell r="CW31"/>
          <cell r="CX31"/>
          <cell r="CY31" t="str">
            <v>27</v>
          </cell>
        </row>
        <row r="32">
          <cell r="B32" t="str">
            <v>28</v>
          </cell>
          <cell r="C32">
            <v>295</v>
          </cell>
          <cell r="D32"/>
          <cell r="E32"/>
          <cell r="F32" t="e">
            <v>#REF!</v>
          </cell>
          <cell r="G32"/>
          <cell r="H32"/>
          <cell r="I32"/>
          <cell r="J32"/>
          <cell r="K32">
            <v>51726</v>
          </cell>
          <cell r="L32"/>
          <cell r="M32"/>
          <cell r="N32"/>
          <cell r="O32"/>
          <cell r="P32"/>
          <cell r="Q32"/>
          <cell r="R32"/>
          <cell r="S32" t="e">
            <v>#REF!</v>
          </cell>
          <cell r="T32"/>
          <cell r="U32"/>
          <cell r="V32"/>
          <cell r="W32"/>
          <cell r="X32">
            <v>11054</v>
          </cell>
          <cell r="Y32"/>
          <cell r="Z32"/>
          <cell r="AA32"/>
          <cell r="AB32"/>
          <cell r="AC32"/>
          <cell r="AD32"/>
          <cell r="AE32"/>
          <cell r="AF32" t="e">
            <v>#REF!</v>
          </cell>
          <cell r="AG32"/>
          <cell r="AH32"/>
          <cell r="AI32"/>
          <cell r="AJ32"/>
          <cell r="AK32">
            <v>21.4</v>
          </cell>
          <cell r="AL32"/>
          <cell r="AM32"/>
          <cell r="AN32" t="e">
            <v>#REF!</v>
          </cell>
          <cell r="AO32"/>
          <cell r="AP32"/>
          <cell r="AQ32"/>
          <cell r="AR32"/>
          <cell r="AS32">
            <v>4670</v>
          </cell>
          <cell r="AT32" t="str">
            <v>Parts &amp; Access. - Wholesale - Nissan</v>
          </cell>
          <cell r="AU32"/>
          <cell r="AV32"/>
          <cell r="AW32"/>
          <cell r="AX32"/>
          <cell r="AY32"/>
          <cell r="AZ32"/>
          <cell r="BA32"/>
          <cell r="BB32"/>
          <cell r="BC32"/>
          <cell r="BD32"/>
          <cell r="BE32"/>
          <cell r="BF32"/>
          <cell r="BG32"/>
          <cell r="BH32"/>
          <cell r="BI32">
            <v>2879</v>
          </cell>
          <cell r="BJ32"/>
          <cell r="BK32"/>
          <cell r="BL32" t="e">
            <v>#REF!</v>
          </cell>
          <cell r="BM32"/>
          <cell r="BN32"/>
          <cell r="BO32"/>
          <cell r="BP32"/>
          <cell r="BQ32">
            <v>516333</v>
          </cell>
          <cell r="BR32"/>
          <cell r="BS32"/>
          <cell r="BT32"/>
          <cell r="BU32"/>
          <cell r="BV32"/>
          <cell r="BW32"/>
          <cell r="BX32"/>
          <cell r="BY32" t="e">
            <v>#REF!</v>
          </cell>
          <cell r="BZ32"/>
          <cell r="CA32"/>
          <cell r="CB32"/>
          <cell r="CC32"/>
          <cell r="CD32">
            <v>112037</v>
          </cell>
          <cell r="CE32"/>
          <cell r="CF32"/>
          <cell r="CG32"/>
          <cell r="CH32"/>
          <cell r="CI32"/>
          <cell r="CJ32"/>
          <cell r="CK32"/>
          <cell r="CL32" t="e">
            <v>#REF!</v>
          </cell>
          <cell r="CM32"/>
          <cell r="CN32"/>
          <cell r="CO32"/>
          <cell r="CP32"/>
          <cell r="CQ32">
            <v>21.7</v>
          </cell>
          <cell r="CR32"/>
          <cell r="CS32"/>
          <cell r="CT32" t="e">
            <v>#REF!</v>
          </cell>
          <cell r="CU32"/>
          <cell r="CV32"/>
          <cell r="CW32"/>
          <cell r="CX32"/>
          <cell r="CY32" t="str">
            <v>28</v>
          </cell>
        </row>
        <row r="33">
          <cell r="B33" t="str">
            <v>29</v>
          </cell>
          <cell r="C33">
            <v>493</v>
          </cell>
          <cell r="D33"/>
          <cell r="E33"/>
          <cell r="F33" t="e">
            <v>#REF!</v>
          </cell>
          <cell r="G33"/>
          <cell r="H33"/>
          <cell r="I33"/>
          <cell r="J33"/>
          <cell r="K33">
            <v>227231</v>
          </cell>
          <cell r="L33"/>
          <cell r="M33"/>
          <cell r="N33"/>
          <cell r="O33"/>
          <cell r="P33"/>
          <cell r="Q33"/>
          <cell r="R33"/>
          <cell r="S33" t="e">
            <v>#REF!</v>
          </cell>
          <cell r="T33"/>
          <cell r="U33"/>
          <cell r="V33"/>
          <cell r="W33"/>
          <cell r="X33">
            <v>71575</v>
          </cell>
          <cell r="Y33"/>
          <cell r="Z33"/>
          <cell r="AA33"/>
          <cell r="AB33"/>
          <cell r="AC33"/>
          <cell r="AD33"/>
          <cell r="AE33"/>
          <cell r="AF33" t="e">
            <v>#REF!</v>
          </cell>
          <cell r="AG33"/>
          <cell r="AH33"/>
          <cell r="AI33"/>
          <cell r="AJ33"/>
          <cell r="AK33">
            <v>31.5</v>
          </cell>
          <cell r="AL33"/>
          <cell r="AM33"/>
          <cell r="AN33" t="e">
            <v>#REF!</v>
          </cell>
          <cell r="AO33"/>
          <cell r="AP33"/>
          <cell r="AQ33"/>
          <cell r="AR33"/>
          <cell r="AS33"/>
          <cell r="AT33" t="str">
            <v>SUBTOTAL - P &amp; A NISSAN</v>
          </cell>
          <cell r="AU33"/>
          <cell r="AV33"/>
          <cell r="AW33"/>
          <cell r="AX33"/>
          <cell r="AY33"/>
          <cell r="AZ33"/>
          <cell r="BA33"/>
          <cell r="BB33"/>
          <cell r="BC33"/>
          <cell r="BD33"/>
          <cell r="BE33"/>
          <cell r="BF33"/>
          <cell r="BG33"/>
          <cell r="BH33" t="str">
            <v xml:space="preserve">(Lines 19 to 28) </v>
          </cell>
          <cell r="BI33">
            <v>5364</v>
          </cell>
          <cell r="BJ33"/>
          <cell r="BK33"/>
          <cell r="BL33" t="e">
            <v>#REF!</v>
          </cell>
          <cell r="BM33"/>
          <cell r="BN33"/>
          <cell r="BO33"/>
          <cell r="BP33"/>
          <cell r="BQ33">
            <v>2395509</v>
          </cell>
          <cell r="BR33"/>
          <cell r="BS33"/>
          <cell r="BT33"/>
          <cell r="BU33"/>
          <cell r="BV33"/>
          <cell r="BW33"/>
          <cell r="BX33"/>
          <cell r="BY33" t="e">
            <v>#REF!</v>
          </cell>
          <cell r="BZ33"/>
          <cell r="CA33"/>
          <cell r="CB33"/>
          <cell r="CC33"/>
          <cell r="CD33">
            <v>772171</v>
          </cell>
          <cell r="CE33"/>
          <cell r="CF33"/>
          <cell r="CG33"/>
          <cell r="CH33"/>
          <cell r="CI33"/>
          <cell r="CJ33"/>
          <cell r="CK33"/>
          <cell r="CL33" t="e">
            <v>#REF!</v>
          </cell>
          <cell r="CM33"/>
          <cell r="CN33"/>
          <cell r="CO33"/>
          <cell r="CP33"/>
          <cell r="CQ33">
            <v>32.200000000000003</v>
          </cell>
          <cell r="CR33"/>
          <cell r="CS33"/>
          <cell r="CT33" t="e">
            <v>#REF!</v>
          </cell>
          <cell r="CU33"/>
          <cell r="CV33"/>
          <cell r="CW33"/>
          <cell r="CX33"/>
          <cell r="CY33" t="str">
            <v>29</v>
          </cell>
        </row>
        <row r="34">
          <cell r="B34" t="str">
            <v>30</v>
          </cell>
          <cell r="C34"/>
          <cell r="D34"/>
          <cell r="E34"/>
          <cell r="F34" t="e">
            <v>#REF!</v>
          </cell>
          <cell r="G34"/>
          <cell r="H34"/>
          <cell r="I34"/>
          <cell r="J34"/>
          <cell r="K34">
            <v>12877</v>
          </cell>
          <cell r="L34"/>
          <cell r="M34"/>
          <cell r="N34"/>
          <cell r="O34"/>
          <cell r="P34"/>
          <cell r="Q34"/>
          <cell r="R34"/>
          <cell r="S34" t="e">
            <v>#REF!</v>
          </cell>
          <cell r="T34"/>
          <cell r="U34"/>
          <cell r="V34"/>
          <cell r="W34"/>
          <cell r="X34">
            <v>6242</v>
          </cell>
          <cell r="Y34"/>
          <cell r="Z34"/>
          <cell r="AA34"/>
          <cell r="AB34"/>
          <cell r="AC34"/>
          <cell r="AD34"/>
          <cell r="AE34"/>
          <cell r="AF34" t="e">
            <v>#REF!</v>
          </cell>
          <cell r="AG34"/>
          <cell r="AH34"/>
          <cell r="AI34"/>
          <cell r="AJ34"/>
          <cell r="AK34">
            <v>48.5</v>
          </cell>
          <cell r="AL34"/>
          <cell r="AM34"/>
          <cell r="AN34" t="e">
            <v>#REF!</v>
          </cell>
          <cell r="AO34"/>
          <cell r="AP34"/>
          <cell r="AQ34"/>
          <cell r="AR34"/>
          <cell r="AS34">
            <v>4602</v>
          </cell>
          <cell r="AT34" t="str">
            <v>Express Service - Parts &amp; Access. R.O. - Nissan</v>
          </cell>
          <cell r="AU34"/>
          <cell r="AV34"/>
          <cell r="AW34"/>
          <cell r="AX34"/>
          <cell r="AY34"/>
          <cell r="AZ34"/>
          <cell r="BA34"/>
          <cell r="BB34"/>
          <cell r="BC34"/>
          <cell r="BD34"/>
          <cell r="BE34"/>
          <cell r="BF34"/>
          <cell r="BG34"/>
          <cell r="BH34"/>
          <cell r="BI34"/>
          <cell r="BJ34"/>
          <cell r="BK34"/>
          <cell r="BL34" t="e">
            <v>#REF!</v>
          </cell>
          <cell r="BM34"/>
          <cell r="BN34"/>
          <cell r="BO34"/>
          <cell r="BP34"/>
          <cell r="BQ34">
            <v>149024</v>
          </cell>
          <cell r="BR34"/>
          <cell r="BS34"/>
          <cell r="BT34"/>
          <cell r="BU34"/>
          <cell r="BV34"/>
          <cell r="BW34"/>
          <cell r="BX34"/>
          <cell r="BY34" t="e">
            <v>#REF!</v>
          </cell>
          <cell r="BZ34"/>
          <cell r="CA34"/>
          <cell r="CB34"/>
          <cell r="CC34"/>
          <cell r="CD34">
            <v>69254</v>
          </cell>
          <cell r="CE34"/>
          <cell r="CF34"/>
          <cell r="CG34"/>
          <cell r="CH34"/>
          <cell r="CI34"/>
          <cell r="CJ34"/>
          <cell r="CK34"/>
          <cell r="CL34" t="e">
            <v>#REF!</v>
          </cell>
          <cell r="CM34"/>
          <cell r="CN34"/>
          <cell r="CO34"/>
          <cell r="CP34"/>
          <cell r="CQ34">
            <v>46.5</v>
          </cell>
          <cell r="CR34"/>
          <cell r="CS34"/>
          <cell r="CT34" t="e">
            <v>#REF!</v>
          </cell>
          <cell r="CU34"/>
          <cell r="CV34"/>
          <cell r="CW34"/>
          <cell r="CX34"/>
          <cell r="CY34" t="str">
            <v>30</v>
          </cell>
        </row>
        <row r="35">
          <cell r="B35" t="str">
            <v>31</v>
          </cell>
          <cell r="C35"/>
          <cell r="D35"/>
          <cell r="E35"/>
          <cell r="F35" t="e">
            <v>#REF!</v>
          </cell>
          <cell r="G35"/>
          <cell r="H35"/>
          <cell r="I35"/>
          <cell r="J35"/>
          <cell r="K35">
            <v>12102</v>
          </cell>
          <cell r="L35"/>
          <cell r="M35"/>
          <cell r="N35"/>
          <cell r="O35"/>
          <cell r="P35"/>
          <cell r="Q35"/>
          <cell r="R35"/>
          <cell r="S35" t="e">
            <v>#REF!</v>
          </cell>
          <cell r="T35"/>
          <cell r="U35"/>
          <cell r="V35"/>
          <cell r="W35"/>
          <cell r="X35">
            <v>4312</v>
          </cell>
          <cell r="Y35"/>
          <cell r="Z35"/>
          <cell r="AA35"/>
          <cell r="AB35"/>
          <cell r="AC35"/>
          <cell r="AD35"/>
          <cell r="AE35"/>
          <cell r="AF35" t="e">
            <v>#REF!</v>
          </cell>
          <cell r="AG35"/>
          <cell r="AH35"/>
          <cell r="AI35"/>
          <cell r="AJ35"/>
          <cell r="AK35">
            <v>35.6</v>
          </cell>
          <cell r="AL35"/>
          <cell r="AM35"/>
          <cell r="AN35" t="e">
            <v>#REF!</v>
          </cell>
          <cell r="AO35"/>
          <cell r="AP35"/>
          <cell r="AQ35"/>
          <cell r="AR35"/>
          <cell r="AS35">
            <v>4606</v>
          </cell>
          <cell r="AT35" t="str">
            <v>Express Service - Svc. / Maint Contract Parts - Nissan</v>
          </cell>
          <cell r="AU35"/>
          <cell r="AV35"/>
          <cell r="AW35"/>
          <cell r="AX35"/>
          <cell r="AY35"/>
          <cell r="AZ35"/>
          <cell r="BA35"/>
          <cell r="BB35"/>
          <cell r="BC35"/>
          <cell r="BD35"/>
          <cell r="BE35"/>
          <cell r="BF35"/>
          <cell r="BG35"/>
          <cell r="BH35"/>
          <cell r="BI35"/>
          <cell r="BJ35"/>
          <cell r="BK35"/>
          <cell r="BL35" t="e">
            <v>#REF!</v>
          </cell>
          <cell r="BM35"/>
          <cell r="BN35"/>
          <cell r="BO35"/>
          <cell r="BP35"/>
          <cell r="BQ35">
            <v>61268</v>
          </cell>
          <cell r="BR35"/>
          <cell r="BS35"/>
          <cell r="BT35"/>
          <cell r="BU35"/>
          <cell r="BV35"/>
          <cell r="BW35"/>
          <cell r="BX35"/>
          <cell r="BY35" t="e">
            <v>#REF!</v>
          </cell>
          <cell r="BZ35"/>
          <cell r="CA35"/>
          <cell r="CB35"/>
          <cell r="CC35"/>
          <cell r="CD35">
            <v>20408</v>
          </cell>
          <cell r="CE35"/>
          <cell r="CF35"/>
          <cell r="CG35"/>
          <cell r="CH35"/>
          <cell r="CI35"/>
          <cell r="CJ35"/>
          <cell r="CK35"/>
          <cell r="CL35" t="e">
            <v>#REF!</v>
          </cell>
          <cell r="CM35"/>
          <cell r="CN35"/>
          <cell r="CO35"/>
          <cell r="CP35"/>
          <cell r="CQ35">
            <v>33.299999999999997</v>
          </cell>
          <cell r="CR35"/>
          <cell r="CS35"/>
          <cell r="CT35" t="e">
            <v>#REF!</v>
          </cell>
          <cell r="CU35"/>
          <cell r="CV35"/>
          <cell r="CW35"/>
          <cell r="CX35"/>
          <cell r="CY35" t="str">
            <v>31</v>
          </cell>
        </row>
        <row r="36">
          <cell r="B36" t="str">
            <v>32</v>
          </cell>
          <cell r="C36"/>
          <cell r="D36"/>
          <cell r="E36"/>
          <cell r="F36" t="e">
            <v>#REF!</v>
          </cell>
          <cell r="G36"/>
          <cell r="H36"/>
          <cell r="I36"/>
          <cell r="J36"/>
          <cell r="K36">
            <v>0</v>
          </cell>
          <cell r="L36"/>
          <cell r="M36"/>
          <cell r="N36"/>
          <cell r="O36"/>
          <cell r="P36"/>
          <cell r="Q36"/>
          <cell r="R36"/>
          <cell r="S36" t="e">
            <v>#REF!</v>
          </cell>
          <cell r="T36"/>
          <cell r="U36"/>
          <cell r="V36"/>
          <cell r="W36"/>
          <cell r="X36">
            <v>0</v>
          </cell>
          <cell r="Y36"/>
          <cell r="Z36"/>
          <cell r="AA36"/>
          <cell r="AB36"/>
          <cell r="AC36"/>
          <cell r="AD36"/>
          <cell r="AE36"/>
          <cell r="AF36" t="e">
            <v>#REF!</v>
          </cell>
          <cell r="AG36"/>
          <cell r="AH36"/>
          <cell r="AI36"/>
          <cell r="AJ36"/>
          <cell r="AK36">
            <v>0</v>
          </cell>
          <cell r="AL36"/>
          <cell r="AM36"/>
          <cell r="AN36" t="e">
            <v>#REF!</v>
          </cell>
          <cell r="AO36"/>
          <cell r="AP36"/>
          <cell r="AQ36"/>
          <cell r="AR36"/>
          <cell r="AS36">
            <v>4643</v>
          </cell>
          <cell r="AT36" t="str">
            <v>Express Service Warranty Parts - Nissan</v>
          </cell>
          <cell r="AU36"/>
          <cell r="AV36"/>
          <cell r="AW36"/>
          <cell r="AX36"/>
          <cell r="AY36"/>
          <cell r="AZ36"/>
          <cell r="BA36"/>
          <cell r="BB36"/>
          <cell r="BC36"/>
          <cell r="BD36"/>
          <cell r="BE36"/>
          <cell r="BF36"/>
          <cell r="BG36"/>
          <cell r="BH36"/>
          <cell r="BI36"/>
          <cell r="BJ36"/>
          <cell r="BK36"/>
          <cell r="BL36" t="e">
            <v>#REF!</v>
          </cell>
          <cell r="BM36"/>
          <cell r="BN36"/>
          <cell r="BO36"/>
          <cell r="BP36"/>
          <cell r="BQ36">
            <v>0</v>
          </cell>
          <cell r="BR36"/>
          <cell r="BS36"/>
          <cell r="BT36"/>
          <cell r="BU36"/>
          <cell r="BV36"/>
          <cell r="BW36"/>
          <cell r="BX36"/>
          <cell r="BY36" t="e">
            <v>#REF!</v>
          </cell>
          <cell r="BZ36"/>
          <cell r="CA36"/>
          <cell r="CB36"/>
          <cell r="CC36"/>
          <cell r="CD36">
            <v>0</v>
          </cell>
          <cell r="CE36"/>
          <cell r="CF36"/>
          <cell r="CG36"/>
          <cell r="CH36"/>
          <cell r="CI36"/>
          <cell r="CJ36"/>
          <cell r="CK36"/>
          <cell r="CL36" t="e">
            <v>#REF!</v>
          </cell>
          <cell r="CM36"/>
          <cell r="CN36"/>
          <cell r="CO36"/>
          <cell r="CP36"/>
          <cell r="CQ36">
            <v>0</v>
          </cell>
          <cell r="CR36"/>
          <cell r="CS36"/>
          <cell r="CT36" t="e">
            <v>#REF!</v>
          </cell>
          <cell r="CU36"/>
          <cell r="CV36"/>
          <cell r="CW36"/>
          <cell r="CX36"/>
          <cell r="CY36" t="str">
            <v>32</v>
          </cell>
        </row>
        <row r="37">
          <cell r="B37" t="str">
            <v>33</v>
          </cell>
          <cell r="C37"/>
          <cell r="D37"/>
          <cell r="E37"/>
          <cell r="F37" t="e">
            <v>#REF!</v>
          </cell>
          <cell r="G37"/>
          <cell r="H37"/>
          <cell r="I37"/>
          <cell r="J37"/>
          <cell r="K37">
            <v>0</v>
          </cell>
          <cell r="L37"/>
          <cell r="M37"/>
          <cell r="N37"/>
          <cell r="O37"/>
          <cell r="P37"/>
          <cell r="Q37"/>
          <cell r="R37"/>
          <cell r="S37" t="e">
            <v>#REF!</v>
          </cell>
          <cell r="T37"/>
          <cell r="U37"/>
          <cell r="V37"/>
          <cell r="W37"/>
          <cell r="X37">
            <v>0</v>
          </cell>
          <cell r="Y37"/>
          <cell r="Z37"/>
          <cell r="AA37"/>
          <cell r="AB37"/>
          <cell r="AC37"/>
          <cell r="AD37"/>
          <cell r="AE37"/>
          <cell r="AF37" t="e">
            <v>#REF!</v>
          </cell>
          <cell r="AG37"/>
          <cell r="AH37"/>
          <cell r="AI37"/>
          <cell r="AJ37"/>
          <cell r="AK37">
            <v>0</v>
          </cell>
          <cell r="AL37"/>
          <cell r="AM37"/>
          <cell r="AN37" t="e">
            <v>#REF!</v>
          </cell>
          <cell r="AO37"/>
          <cell r="AP37"/>
          <cell r="AQ37"/>
          <cell r="AR37"/>
          <cell r="AS37">
            <v>4653</v>
          </cell>
          <cell r="AT37" t="str">
            <v>Express Service - Internal Parts - Nissan</v>
          </cell>
          <cell r="AU37"/>
          <cell r="AV37"/>
          <cell r="AW37"/>
          <cell r="AX37"/>
          <cell r="AY37"/>
          <cell r="AZ37"/>
          <cell r="BA37"/>
          <cell r="BB37"/>
          <cell r="BC37"/>
          <cell r="BD37"/>
          <cell r="BE37"/>
          <cell r="BF37"/>
          <cell r="BG37"/>
          <cell r="BH37"/>
          <cell r="BI37"/>
          <cell r="BJ37"/>
          <cell r="BK37"/>
          <cell r="BL37" t="e">
            <v>#REF!</v>
          </cell>
          <cell r="BM37"/>
          <cell r="BN37"/>
          <cell r="BO37"/>
          <cell r="BP37"/>
          <cell r="BQ37">
            <v>0</v>
          </cell>
          <cell r="BR37"/>
          <cell r="BS37"/>
          <cell r="BT37"/>
          <cell r="BU37"/>
          <cell r="BV37"/>
          <cell r="BW37"/>
          <cell r="BX37"/>
          <cell r="BY37" t="e">
            <v>#REF!</v>
          </cell>
          <cell r="BZ37"/>
          <cell r="CA37"/>
          <cell r="CB37"/>
          <cell r="CC37"/>
          <cell r="CD37">
            <v>0</v>
          </cell>
          <cell r="CE37"/>
          <cell r="CF37"/>
          <cell r="CG37"/>
          <cell r="CH37"/>
          <cell r="CI37"/>
          <cell r="CJ37"/>
          <cell r="CK37"/>
          <cell r="CL37" t="e">
            <v>#REF!</v>
          </cell>
          <cell r="CM37"/>
          <cell r="CN37"/>
          <cell r="CO37"/>
          <cell r="CP37"/>
          <cell r="CQ37">
            <v>0</v>
          </cell>
          <cell r="CR37"/>
          <cell r="CS37"/>
          <cell r="CT37" t="e">
            <v>#REF!</v>
          </cell>
          <cell r="CU37"/>
          <cell r="CV37"/>
          <cell r="CW37"/>
          <cell r="CX37"/>
          <cell r="CY37" t="str">
            <v>33</v>
          </cell>
        </row>
        <row r="38">
          <cell r="B38" t="str">
            <v>34</v>
          </cell>
          <cell r="C38"/>
          <cell r="D38"/>
          <cell r="E38"/>
          <cell r="F38"/>
          <cell r="G38"/>
          <cell r="H38"/>
          <cell r="I38"/>
          <cell r="J38"/>
          <cell r="K38">
            <v>0</v>
          </cell>
          <cell r="L38"/>
          <cell r="M38"/>
          <cell r="N38"/>
          <cell r="O38"/>
          <cell r="P38"/>
          <cell r="Q38"/>
          <cell r="R38"/>
          <cell r="S38" t="e">
            <v>#REF!</v>
          </cell>
          <cell r="T38"/>
          <cell r="U38"/>
          <cell r="V38"/>
          <cell r="W38"/>
          <cell r="X38">
            <v>0</v>
          </cell>
          <cell r="Y38"/>
          <cell r="Z38"/>
          <cell r="AA38"/>
          <cell r="AB38"/>
          <cell r="AC38"/>
          <cell r="AD38"/>
          <cell r="AE38"/>
          <cell r="AF38" t="e">
            <v>#REF!</v>
          </cell>
          <cell r="AG38"/>
          <cell r="AH38"/>
          <cell r="AI38"/>
          <cell r="AJ38"/>
          <cell r="AK38">
            <v>0</v>
          </cell>
          <cell r="AL38"/>
          <cell r="AM38"/>
          <cell r="AN38"/>
          <cell r="AO38"/>
          <cell r="AP38"/>
          <cell r="AQ38"/>
          <cell r="AR38"/>
          <cell r="AS38">
            <v>4667</v>
          </cell>
          <cell r="AT38" t="str">
            <v>Express Service - Tire Sales - R.O. - Nissan</v>
          </cell>
          <cell r="AU38"/>
          <cell r="AV38"/>
          <cell r="AW38"/>
          <cell r="AX38"/>
          <cell r="AY38"/>
          <cell r="AZ38"/>
          <cell r="BA38"/>
          <cell r="BB38"/>
          <cell r="BC38"/>
          <cell r="BD38"/>
          <cell r="BE38"/>
          <cell r="BF38"/>
          <cell r="BG38"/>
          <cell r="BH38"/>
          <cell r="BI38"/>
          <cell r="BJ38"/>
          <cell r="BK38"/>
          <cell r="BL38"/>
          <cell r="BM38"/>
          <cell r="BN38"/>
          <cell r="BO38"/>
          <cell r="BP38"/>
          <cell r="BQ38">
            <v>0</v>
          </cell>
          <cell r="BR38"/>
          <cell r="BS38"/>
          <cell r="BT38"/>
          <cell r="BU38"/>
          <cell r="BV38"/>
          <cell r="BW38"/>
          <cell r="BX38"/>
          <cell r="BY38" t="e">
            <v>#REF!</v>
          </cell>
          <cell r="BZ38"/>
          <cell r="CA38"/>
          <cell r="CB38"/>
          <cell r="CC38"/>
          <cell r="CD38">
            <v>0</v>
          </cell>
          <cell r="CE38"/>
          <cell r="CF38"/>
          <cell r="CG38"/>
          <cell r="CH38"/>
          <cell r="CI38"/>
          <cell r="CJ38"/>
          <cell r="CK38"/>
          <cell r="CL38" t="e">
            <v>#REF!</v>
          </cell>
          <cell r="CM38"/>
          <cell r="CN38"/>
          <cell r="CO38"/>
          <cell r="CP38"/>
          <cell r="CQ38">
            <v>0</v>
          </cell>
          <cell r="CR38"/>
          <cell r="CS38"/>
          <cell r="CT38" t="e">
            <v>#REF!</v>
          </cell>
          <cell r="CU38"/>
          <cell r="CV38"/>
          <cell r="CW38"/>
          <cell r="CX38"/>
          <cell r="CY38" t="str">
            <v>34</v>
          </cell>
        </row>
        <row r="39">
          <cell r="B39" t="str">
            <v>35</v>
          </cell>
          <cell r="C39"/>
          <cell r="D39"/>
          <cell r="E39"/>
          <cell r="F39"/>
          <cell r="G39"/>
          <cell r="H39"/>
          <cell r="I39"/>
          <cell r="J39"/>
          <cell r="K39">
            <v>24979</v>
          </cell>
          <cell r="L39"/>
          <cell r="M39"/>
          <cell r="N39"/>
          <cell r="O39"/>
          <cell r="P39"/>
          <cell r="Q39"/>
          <cell r="R39"/>
          <cell r="S39" t="e">
            <v>#REF!</v>
          </cell>
          <cell r="T39"/>
          <cell r="U39"/>
          <cell r="V39"/>
          <cell r="W39"/>
          <cell r="X39">
            <v>10554</v>
          </cell>
          <cell r="Y39"/>
          <cell r="Z39"/>
          <cell r="AA39"/>
          <cell r="AB39"/>
          <cell r="AC39"/>
          <cell r="AD39"/>
          <cell r="AE39"/>
          <cell r="AF39" t="e">
            <v>#REF!</v>
          </cell>
          <cell r="AG39"/>
          <cell r="AH39"/>
          <cell r="AI39"/>
          <cell r="AJ39"/>
          <cell r="AK39">
            <v>42.3</v>
          </cell>
          <cell r="AL39"/>
          <cell r="AM39"/>
          <cell r="AN39"/>
          <cell r="AO39"/>
          <cell r="AP39"/>
          <cell r="AQ39"/>
          <cell r="AR39"/>
          <cell r="AS39"/>
          <cell r="AT39" t="str">
            <v>SUBTOTAL - ES P &amp; A NISSAN</v>
          </cell>
          <cell r="AU39"/>
          <cell r="AV39"/>
          <cell r="AW39"/>
          <cell r="AX39"/>
          <cell r="AY39"/>
          <cell r="AZ39"/>
          <cell r="BA39"/>
          <cell r="BB39"/>
          <cell r="BC39"/>
          <cell r="BD39"/>
          <cell r="BE39"/>
          <cell r="BF39"/>
          <cell r="BG39"/>
          <cell r="BH39" t="str">
            <v>(Lines 30 to 34)</v>
          </cell>
          <cell r="BI39"/>
          <cell r="BJ39"/>
          <cell r="BK39"/>
          <cell r="BL39"/>
          <cell r="BM39"/>
          <cell r="BN39"/>
          <cell r="BO39"/>
          <cell r="BP39"/>
          <cell r="BQ39">
            <v>210292</v>
          </cell>
          <cell r="BR39"/>
          <cell r="BS39"/>
          <cell r="BT39"/>
          <cell r="BU39"/>
          <cell r="BV39"/>
          <cell r="BW39"/>
          <cell r="BX39"/>
          <cell r="BY39" t="e">
            <v>#REF!</v>
          </cell>
          <cell r="BZ39"/>
          <cell r="CA39"/>
          <cell r="CB39"/>
          <cell r="CC39"/>
          <cell r="CD39">
            <v>89662</v>
          </cell>
          <cell r="CE39"/>
          <cell r="CF39"/>
          <cell r="CG39"/>
          <cell r="CH39"/>
          <cell r="CI39"/>
          <cell r="CJ39"/>
          <cell r="CK39"/>
          <cell r="CL39" t="e">
            <v>#REF!</v>
          </cell>
          <cell r="CM39"/>
          <cell r="CN39"/>
          <cell r="CO39"/>
          <cell r="CP39"/>
          <cell r="CQ39">
            <v>42.6</v>
          </cell>
          <cell r="CR39"/>
          <cell r="CS39"/>
          <cell r="CT39" t="e">
            <v>#REF!</v>
          </cell>
          <cell r="CU39"/>
          <cell r="CV39"/>
          <cell r="CW39"/>
          <cell r="CX39"/>
          <cell r="CY39" t="str">
            <v>35</v>
          </cell>
        </row>
        <row r="40">
          <cell r="B40" t="str">
            <v>36</v>
          </cell>
          <cell r="C40"/>
          <cell r="D40"/>
          <cell r="E40"/>
          <cell r="F40" t="e">
            <v>#REF!</v>
          </cell>
          <cell r="G40"/>
          <cell r="H40"/>
          <cell r="I40"/>
          <cell r="J40"/>
          <cell r="K40">
            <v>0</v>
          </cell>
          <cell r="L40"/>
          <cell r="M40"/>
          <cell r="N40"/>
          <cell r="O40"/>
          <cell r="P40"/>
          <cell r="Q40"/>
          <cell r="R40"/>
          <cell r="S40" t="e">
            <v>#REF!</v>
          </cell>
          <cell r="T40"/>
          <cell r="U40"/>
          <cell r="V40"/>
          <cell r="W40"/>
          <cell r="X40">
            <v>0</v>
          </cell>
          <cell r="Y40"/>
          <cell r="Z40"/>
          <cell r="AA40"/>
          <cell r="AB40"/>
          <cell r="AC40"/>
          <cell r="AD40"/>
          <cell r="AE40"/>
          <cell r="AF40" t="e">
            <v>#REF!</v>
          </cell>
          <cell r="AG40"/>
          <cell r="AH40"/>
          <cell r="AI40"/>
          <cell r="AJ40"/>
          <cell r="AK40">
            <v>0</v>
          </cell>
          <cell r="AL40"/>
          <cell r="AM40"/>
          <cell r="AN40" t="e">
            <v>#REF!</v>
          </cell>
          <cell r="AO40"/>
          <cell r="AP40"/>
          <cell r="AQ40"/>
          <cell r="AR40"/>
          <cell r="AS40">
            <v>4630</v>
          </cell>
          <cell r="AT40" t="str">
            <v>Parts &amp; Access. - R.O. -  NCV</v>
          </cell>
          <cell r="AU40"/>
          <cell r="AV40"/>
          <cell r="AW40"/>
          <cell r="AX40"/>
          <cell r="AY40"/>
          <cell r="AZ40"/>
          <cell r="BA40"/>
          <cell r="BB40"/>
          <cell r="BC40"/>
          <cell r="BD40"/>
          <cell r="BE40"/>
          <cell r="BF40"/>
          <cell r="BG40"/>
          <cell r="BH40"/>
          <cell r="BI40"/>
          <cell r="BJ40"/>
          <cell r="BK40"/>
          <cell r="BL40" t="e">
            <v>#REF!</v>
          </cell>
          <cell r="BM40"/>
          <cell r="BN40"/>
          <cell r="BO40"/>
          <cell r="BP40"/>
          <cell r="BQ40">
            <v>0</v>
          </cell>
          <cell r="BR40"/>
          <cell r="BS40"/>
          <cell r="BT40"/>
          <cell r="BU40"/>
          <cell r="BV40"/>
          <cell r="BW40"/>
          <cell r="BX40"/>
          <cell r="BY40" t="e">
            <v>#REF!</v>
          </cell>
          <cell r="BZ40"/>
          <cell r="CA40"/>
          <cell r="CB40"/>
          <cell r="CC40"/>
          <cell r="CD40">
            <v>0</v>
          </cell>
          <cell r="CE40"/>
          <cell r="CF40"/>
          <cell r="CG40"/>
          <cell r="CH40"/>
          <cell r="CI40"/>
          <cell r="CJ40"/>
          <cell r="CK40"/>
          <cell r="CL40" t="e">
            <v>#REF!</v>
          </cell>
          <cell r="CM40"/>
          <cell r="CN40"/>
          <cell r="CO40"/>
          <cell r="CP40"/>
          <cell r="CQ40">
            <v>0</v>
          </cell>
          <cell r="CR40"/>
          <cell r="CS40"/>
          <cell r="CT40" t="e">
            <v>#REF!</v>
          </cell>
          <cell r="CU40"/>
          <cell r="CV40"/>
          <cell r="CW40"/>
          <cell r="CX40"/>
          <cell r="CY40" t="str">
            <v>36</v>
          </cell>
        </row>
        <row r="41">
          <cell r="B41" t="str">
            <v>37</v>
          </cell>
          <cell r="C41"/>
          <cell r="D41"/>
          <cell r="E41"/>
          <cell r="F41" t="e">
            <v>#REF!</v>
          </cell>
          <cell r="G41"/>
          <cell r="H41"/>
          <cell r="I41"/>
          <cell r="J41"/>
          <cell r="K41">
            <v>0</v>
          </cell>
          <cell r="L41"/>
          <cell r="M41"/>
          <cell r="N41"/>
          <cell r="O41"/>
          <cell r="P41"/>
          <cell r="Q41"/>
          <cell r="R41"/>
          <cell r="S41" t="e">
            <v>#REF!</v>
          </cell>
          <cell r="T41"/>
          <cell r="U41"/>
          <cell r="V41"/>
          <cell r="W41"/>
          <cell r="X41">
            <v>0</v>
          </cell>
          <cell r="Y41"/>
          <cell r="Z41"/>
          <cell r="AA41"/>
          <cell r="AB41"/>
          <cell r="AC41"/>
          <cell r="AD41"/>
          <cell r="AE41"/>
          <cell r="AF41" t="e">
            <v>#REF!</v>
          </cell>
          <cell r="AG41"/>
          <cell r="AH41"/>
          <cell r="AI41"/>
          <cell r="AJ41"/>
          <cell r="AK41">
            <v>0</v>
          </cell>
          <cell r="AL41"/>
          <cell r="AM41"/>
          <cell r="AN41" t="e">
            <v>#REF!</v>
          </cell>
          <cell r="AO41"/>
          <cell r="AP41"/>
          <cell r="AQ41"/>
          <cell r="AR41"/>
          <cell r="AS41">
            <v>4632</v>
          </cell>
          <cell r="AT41" t="str">
            <v>Express Service - Parts - NCV</v>
          </cell>
          <cell r="AU41"/>
          <cell r="AV41"/>
          <cell r="AW41"/>
          <cell r="AX41"/>
          <cell r="AY41"/>
          <cell r="AZ41"/>
          <cell r="BA41"/>
          <cell r="BB41"/>
          <cell r="BC41"/>
          <cell r="BD41"/>
          <cell r="BE41"/>
          <cell r="BF41"/>
          <cell r="BG41"/>
          <cell r="BH41"/>
          <cell r="BI41"/>
          <cell r="BJ41"/>
          <cell r="BK41"/>
          <cell r="BL41" t="e">
            <v>#REF!</v>
          </cell>
          <cell r="BM41"/>
          <cell r="BN41"/>
          <cell r="BO41"/>
          <cell r="BP41"/>
          <cell r="BQ41">
            <v>0</v>
          </cell>
          <cell r="BR41"/>
          <cell r="BS41"/>
          <cell r="BT41"/>
          <cell r="BU41"/>
          <cell r="BV41"/>
          <cell r="BW41"/>
          <cell r="BX41"/>
          <cell r="BY41" t="e">
            <v>#REF!</v>
          </cell>
          <cell r="BZ41"/>
          <cell r="CA41"/>
          <cell r="CB41"/>
          <cell r="CC41"/>
          <cell r="CD41">
            <v>0</v>
          </cell>
          <cell r="CE41"/>
          <cell r="CF41"/>
          <cell r="CG41"/>
          <cell r="CH41"/>
          <cell r="CI41"/>
          <cell r="CJ41"/>
          <cell r="CK41"/>
          <cell r="CL41" t="e">
            <v>#REF!</v>
          </cell>
          <cell r="CM41"/>
          <cell r="CN41"/>
          <cell r="CO41"/>
          <cell r="CP41"/>
          <cell r="CQ41">
            <v>0</v>
          </cell>
          <cell r="CR41"/>
          <cell r="CS41"/>
          <cell r="CT41" t="e">
            <v>#REF!</v>
          </cell>
          <cell r="CU41"/>
          <cell r="CV41"/>
          <cell r="CW41"/>
          <cell r="CX41"/>
          <cell r="CY41" t="str">
            <v>37</v>
          </cell>
        </row>
        <row r="42">
          <cell r="B42" t="str">
            <v>38</v>
          </cell>
          <cell r="C42"/>
          <cell r="D42"/>
          <cell r="E42"/>
          <cell r="F42" t="e">
            <v>#REF!</v>
          </cell>
          <cell r="G42"/>
          <cell r="H42"/>
          <cell r="I42"/>
          <cell r="J42"/>
          <cell r="K42">
            <v>0</v>
          </cell>
          <cell r="L42"/>
          <cell r="M42"/>
          <cell r="N42"/>
          <cell r="O42"/>
          <cell r="P42"/>
          <cell r="Q42"/>
          <cell r="R42"/>
          <cell r="S42" t="e">
            <v>#REF!</v>
          </cell>
          <cell r="T42"/>
          <cell r="U42"/>
          <cell r="V42"/>
          <cell r="W42"/>
          <cell r="X42">
            <v>0</v>
          </cell>
          <cell r="Y42"/>
          <cell r="Z42"/>
          <cell r="AA42"/>
          <cell r="AB42"/>
          <cell r="AC42"/>
          <cell r="AD42"/>
          <cell r="AE42"/>
          <cell r="AF42" t="e">
            <v>#REF!</v>
          </cell>
          <cell r="AG42"/>
          <cell r="AH42"/>
          <cell r="AI42"/>
          <cell r="AJ42"/>
          <cell r="AK42">
            <v>0</v>
          </cell>
          <cell r="AL42"/>
          <cell r="AM42"/>
          <cell r="AN42" t="e">
            <v>#REF!</v>
          </cell>
          <cell r="AO42"/>
          <cell r="AP42"/>
          <cell r="AQ42"/>
          <cell r="AR42"/>
          <cell r="AS42">
            <v>4634</v>
          </cell>
          <cell r="AT42" t="str">
            <v>Service / Maint. Contract - Parts - NCV</v>
          </cell>
          <cell r="AU42"/>
          <cell r="AV42"/>
          <cell r="AW42"/>
          <cell r="AX42"/>
          <cell r="AY42"/>
          <cell r="AZ42"/>
          <cell r="BA42"/>
          <cell r="BB42"/>
          <cell r="BC42"/>
          <cell r="BD42"/>
          <cell r="BE42"/>
          <cell r="BF42"/>
          <cell r="BG42"/>
          <cell r="BH42"/>
          <cell r="BI42"/>
          <cell r="BJ42"/>
          <cell r="BK42"/>
          <cell r="BL42" t="e">
            <v>#REF!</v>
          </cell>
          <cell r="BM42"/>
          <cell r="BN42"/>
          <cell r="BO42"/>
          <cell r="BP42"/>
          <cell r="BQ42">
            <v>0</v>
          </cell>
          <cell r="BR42"/>
          <cell r="BS42"/>
          <cell r="BT42"/>
          <cell r="BU42"/>
          <cell r="BV42"/>
          <cell r="BW42"/>
          <cell r="BX42"/>
          <cell r="BY42" t="e">
            <v>#REF!</v>
          </cell>
          <cell r="BZ42"/>
          <cell r="CA42"/>
          <cell r="CB42"/>
          <cell r="CC42"/>
          <cell r="CD42">
            <v>0</v>
          </cell>
          <cell r="CE42"/>
          <cell r="CF42"/>
          <cell r="CG42"/>
          <cell r="CH42"/>
          <cell r="CI42"/>
          <cell r="CJ42"/>
          <cell r="CK42"/>
          <cell r="CL42" t="e">
            <v>#REF!</v>
          </cell>
          <cell r="CM42"/>
          <cell r="CN42"/>
          <cell r="CO42"/>
          <cell r="CP42"/>
          <cell r="CQ42">
            <v>0</v>
          </cell>
          <cell r="CR42"/>
          <cell r="CS42"/>
          <cell r="CT42" t="e">
            <v>#REF!</v>
          </cell>
          <cell r="CU42"/>
          <cell r="CV42"/>
          <cell r="CW42"/>
          <cell r="CX42"/>
          <cell r="CY42" t="str">
            <v>38</v>
          </cell>
        </row>
        <row r="43">
          <cell r="B43" t="str">
            <v>39</v>
          </cell>
          <cell r="C43"/>
          <cell r="D43"/>
          <cell r="E43"/>
          <cell r="F43" t="e">
            <v>#REF!</v>
          </cell>
          <cell r="G43"/>
          <cell r="H43"/>
          <cell r="I43"/>
          <cell r="J43"/>
          <cell r="K43">
            <v>0</v>
          </cell>
          <cell r="L43"/>
          <cell r="M43"/>
          <cell r="N43"/>
          <cell r="O43"/>
          <cell r="P43"/>
          <cell r="Q43"/>
          <cell r="R43"/>
          <cell r="S43" t="e">
            <v>#REF!</v>
          </cell>
          <cell r="T43"/>
          <cell r="U43"/>
          <cell r="V43"/>
          <cell r="W43"/>
          <cell r="X43">
            <v>0</v>
          </cell>
          <cell r="Y43"/>
          <cell r="Z43"/>
          <cell r="AA43"/>
          <cell r="AB43"/>
          <cell r="AC43"/>
          <cell r="AD43"/>
          <cell r="AE43"/>
          <cell r="AF43" t="e">
            <v>#REF!</v>
          </cell>
          <cell r="AG43"/>
          <cell r="AH43"/>
          <cell r="AI43"/>
          <cell r="AJ43"/>
          <cell r="AK43">
            <v>0</v>
          </cell>
          <cell r="AL43"/>
          <cell r="AM43"/>
          <cell r="AN43" t="e">
            <v>#REF!</v>
          </cell>
          <cell r="AO43"/>
          <cell r="AP43"/>
          <cell r="AQ43"/>
          <cell r="AR43"/>
          <cell r="AS43">
            <v>4639</v>
          </cell>
          <cell r="AT43" t="str">
            <v>Tire Sales - R.O. - NCV</v>
          </cell>
          <cell r="AU43"/>
          <cell r="AV43"/>
          <cell r="AW43"/>
          <cell r="AX43"/>
          <cell r="AY43"/>
          <cell r="AZ43"/>
          <cell r="BA43"/>
          <cell r="BB43"/>
          <cell r="BC43"/>
          <cell r="BD43"/>
          <cell r="BE43"/>
          <cell r="BF43"/>
          <cell r="BG43"/>
          <cell r="BH43"/>
          <cell r="BI43"/>
          <cell r="BJ43"/>
          <cell r="BK43"/>
          <cell r="BL43" t="e">
            <v>#REF!</v>
          </cell>
          <cell r="BM43"/>
          <cell r="BN43"/>
          <cell r="BO43"/>
          <cell r="BP43"/>
          <cell r="BQ43">
            <v>0</v>
          </cell>
          <cell r="BR43"/>
          <cell r="BS43"/>
          <cell r="BT43"/>
          <cell r="BU43"/>
          <cell r="BV43"/>
          <cell r="BW43"/>
          <cell r="BX43"/>
          <cell r="BY43" t="e">
            <v>#REF!</v>
          </cell>
          <cell r="BZ43"/>
          <cell r="CA43"/>
          <cell r="CB43"/>
          <cell r="CC43"/>
          <cell r="CD43">
            <v>0</v>
          </cell>
          <cell r="CE43"/>
          <cell r="CF43"/>
          <cell r="CG43"/>
          <cell r="CH43"/>
          <cell r="CI43"/>
          <cell r="CJ43"/>
          <cell r="CK43"/>
          <cell r="CL43" t="e">
            <v>#REF!</v>
          </cell>
          <cell r="CM43"/>
          <cell r="CN43"/>
          <cell r="CO43"/>
          <cell r="CP43"/>
          <cell r="CQ43">
            <v>0</v>
          </cell>
          <cell r="CR43"/>
          <cell r="CS43"/>
          <cell r="CT43" t="e">
            <v>#REF!</v>
          </cell>
          <cell r="CU43"/>
          <cell r="CV43"/>
          <cell r="CW43"/>
          <cell r="CX43"/>
          <cell r="CY43" t="str">
            <v>39</v>
          </cell>
        </row>
        <row r="44">
          <cell r="B44" t="str">
            <v>40</v>
          </cell>
          <cell r="C44"/>
          <cell r="D44"/>
          <cell r="E44"/>
          <cell r="F44" t="e">
            <v>#REF!</v>
          </cell>
          <cell r="G44"/>
          <cell r="H44"/>
          <cell r="I44"/>
          <cell r="J44"/>
          <cell r="K44">
            <v>0</v>
          </cell>
          <cell r="L44"/>
          <cell r="M44"/>
          <cell r="N44"/>
          <cell r="O44"/>
          <cell r="P44"/>
          <cell r="Q44"/>
          <cell r="R44"/>
          <cell r="S44" t="e">
            <v>#REF!</v>
          </cell>
          <cell r="T44"/>
          <cell r="U44"/>
          <cell r="V44"/>
          <cell r="W44"/>
          <cell r="X44">
            <v>0</v>
          </cell>
          <cell r="Y44"/>
          <cell r="Z44"/>
          <cell r="AA44"/>
          <cell r="AB44"/>
          <cell r="AC44"/>
          <cell r="AD44"/>
          <cell r="AE44"/>
          <cell r="AF44" t="e">
            <v>#REF!</v>
          </cell>
          <cell r="AG44"/>
          <cell r="AH44"/>
          <cell r="AI44"/>
          <cell r="AJ44"/>
          <cell r="AK44">
            <v>0</v>
          </cell>
          <cell r="AL44"/>
          <cell r="AM44"/>
          <cell r="AN44" t="e">
            <v>#REF!</v>
          </cell>
          <cell r="AO44"/>
          <cell r="AP44"/>
          <cell r="AQ44"/>
          <cell r="AR44"/>
          <cell r="AS44">
            <v>4648</v>
          </cell>
          <cell r="AT44" t="str">
            <v>Parts &amp; Access. - Warranty Claims - NCV</v>
          </cell>
          <cell r="AU44"/>
          <cell r="AV44"/>
          <cell r="AW44"/>
          <cell r="AX44"/>
          <cell r="AY44"/>
          <cell r="AZ44"/>
          <cell r="BA44"/>
          <cell r="BB44"/>
          <cell r="BC44"/>
          <cell r="BD44"/>
          <cell r="BE44"/>
          <cell r="BF44"/>
          <cell r="BG44"/>
          <cell r="BH44"/>
          <cell r="BI44"/>
          <cell r="BJ44"/>
          <cell r="BK44"/>
          <cell r="BL44" t="e">
            <v>#REF!</v>
          </cell>
          <cell r="BM44"/>
          <cell r="BN44"/>
          <cell r="BO44"/>
          <cell r="BP44"/>
          <cell r="BQ44">
            <v>0</v>
          </cell>
          <cell r="BR44"/>
          <cell r="BS44"/>
          <cell r="BT44"/>
          <cell r="BU44"/>
          <cell r="BV44"/>
          <cell r="BW44"/>
          <cell r="BX44"/>
          <cell r="BY44" t="e">
            <v>#REF!</v>
          </cell>
          <cell r="BZ44"/>
          <cell r="CA44"/>
          <cell r="CB44"/>
          <cell r="CC44"/>
          <cell r="CD44">
            <v>0</v>
          </cell>
          <cell r="CE44"/>
          <cell r="CF44"/>
          <cell r="CG44"/>
          <cell r="CH44"/>
          <cell r="CI44"/>
          <cell r="CJ44"/>
          <cell r="CK44"/>
          <cell r="CL44" t="e">
            <v>#REF!</v>
          </cell>
          <cell r="CM44"/>
          <cell r="CN44"/>
          <cell r="CO44"/>
          <cell r="CP44"/>
          <cell r="CQ44">
            <v>0</v>
          </cell>
          <cell r="CR44"/>
          <cell r="CS44"/>
          <cell r="CT44" t="e">
            <v>#REF!</v>
          </cell>
          <cell r="CU44"/>
          <cell r="CV44"/>
          <cell r="CW44"/>
          <cell r="CX44"/>
          <cell r="CY44" t="str">
            <v>40</v>
          </cell>
        </row>
        <row r="45">
          <cell r="B45" t="str">
            <v>41</v>
          </cell>
          <cell r="C45"/>
          <cell r="D45"/>
          <cell r="E45"/>
          <cell r="F45" t="e">
            <v>#REF!</v>
          </cell>
          <cell r="G45"/>
          <cell r="H45"/>
          <cell r="I45"/>
          <cell r="J45"/>
          <cell r="K45">
            <v>0</v>
          </cell>
          <cell r="L45"/>
          <cell r="M45"/>
          <cell r="N45"/>
          <cell r="O45"/>
          <cell r="P45"/>
          <cell r="Q45"/>
          <cell r="R45"/>
          <cell r="S45" t="e">
            <v>#REF!</v>
          </cell>
          <cell r="T45"/>
          <cell r="U45"/>
          <cell r="V45"/>
          <cell r="W45"/>
          <cell r="X45">
            <v>0</v>
          </cell>
          <cell r="Y45"/>
          <cell r="Z45"/>
          <cell r="AA45"/>
          <cell r="AB45"/>
          <cell r="AC45"/>
          <cell r="AD45"/>
          <cell r="AE45"/>
          <cell r="AF45" t="e">
            <v>#REF!</v>
          </cell>
          <cell r="AG45"/>
          <cell r="AH45"/>
          <cell r="AI45"/>
          <cell r="AJ45"/>
          <cell r="AK45">
            <v>0</v>
          </cell>
          <cell r="AL45"/>
          <cell r="AM45"/>
          <cell r="AN45" t="e">
            <v>#REF!</v>
          </cell>
          <cell r="AO45"/>
          <cell r="AP45"/>
          <cell r="AQ45"/>
          <cell r="AR45"/>
          <cell r="AS45">
            <v>4656</v>
          </cell>
          <cell r="AT45" t="str">
            <v>Tire Sales - Warranty - NCV</v>
          </cell>
          <cell r="AU45"/>
          <cell r="AV45"/>
          <cell r="AW45"/>
          <cell r="AX45"/>
          <cell r="AY45"/>
          <cell r="AZ45"/>
          <cell r="BA45"/>
          <cell r="BB45"/>
          <cell r="BC45"/>
          <cell r="BD45"/>
          <cell r="BE45"/>
          <cell r="BF45"/>
          <cell r="BG45"/>
          <cell r="BH45"/>
          <cell r="BI45"/>
          <cell r="BJ45"/>
          <cell r="BK45"/>
          <cell r="BL45" t="e">
            <v>#REF!</v>
          </cell>
          <cell r="BM45"/>
          <cell r="BN45"/>
          <cell r="BO45"/>
          <cell r="BP45"/>
          <cell r="BQ45">
            <v>0</v>
          </cell>
          <cell r="BR45"/>
          <cell r="BS45"/>
          <cell r="BT45"/>
          <cell r="BU45"/>
          <cell r="BV45"/>
          <cell r="BW45"/>
          <cell r="BX45"/>
          <cell r="BY45" t="e">
            <v>#REF!</v>
          </cell>
          <cell r="BZ45"/>
          <cell r="CA45"/>
          <cell r="CB45"/>
          <cell r="CC45"/>
          <cell r="CD45">
            <v>0</v>
          </cell>
          <cell r="CE45"/>
          <cell r="CF45"/>
          <cell r="CG45"/>
          <cell r="CH45"/>
          <cell r="CI45"/>
          <cell r="CJ45"/>
          <cell r="CK45"/>
          <cell r="CL45" t="e">
            <v>#REF!</v>
          </cell>
          <cell r="CM45"/>
          <cell r="CN45"/>
          <cell r="CO45"/>
          <cell r="CP45"/>
          <cell r="CQ45">
            <v>0</v>
          </cell>
          <cell r="CR45"/>
          <cell r="CS45"/>
          <cell r="CT45" t="e">
            <v>#REF!</v>
          </cell>
          <cell r="CU45"/>
          <cell r="CV45"/>
          <cell r="CW45"/>
          <cell r="CX45"/>
          <cell r="CY45" t="str">
            <v>41</v>
          </cell>
        </row>
        <row r="46">
          <cell r="B46" t="str">
            <v>42</v>
          </cell>
          <cell r="C46"/>
          <cell r="D46"/>
          <cell r="E46"/>
          <cell r="F46" t="e">
            <v>#REF!</v>
          </cell>
          <cell r="G46"/>
          <cell r="H46"/>
          <cell r="I46"/>
          <cell r="J46"/>
          <cell r="K46">
            <v>0</v>
          </cell>
          <cell r="L46"/>
          <cell r="M46"/>
          <cell r="N46"/>
          <cell r="O46"/>
          <cell r="P46"/>
          <cell r="Q46"/>
          <cell r="R46"/>
          <cell r="S46" t="e">
            <v>#REF!</v>
          </cell>
          <cell r="T46"/>
          <cell r="U46"/>
          <cell r="V46"/>
          <cell r="W46"/>
          <cell r="X46">
            <v>0</v>
          </cell>
          <cell r="Y46"/>
          <cell r="Z46"/>
          <cell r="AA46"/>
          <cell r="AB46"/>
          <cell r="AC46"/>
          <cell r="AD46"/>
          <cell r="AE46"/>
          <cell r="AF46" t="e">
            <v>#REF!</v>
          </cell>
          <cell r="AG46"/>
          <cell r="AH46"/>
          <cell r="AI46"/>
          <cell r="AJ46"/>
          <cell r="AK46">
            <v>0</v>
          </cell>
          <cell r="AL46"/>
          <cell r="AM46"/>
          <cell r="AN46" t="e">
            <v>#REF!</v>
          </cell>
          <cell r="AO46"/>
          <cell r="AP46"/>
          <cell r="AQ46"/>
          <cell r="AR46"/>
          <cell r="AS46">
            <v>4658</v>
          </cell>
          <cell r="AT46" t="str">
            <v>Parts &amp; Access. - Internal - NCV</v>
          </cell>
          <cell r="AU46"/>
          <cell r="AV46"/>
          <cell r="AW46"/>
          <cell r="AX46"/>
          <cell r="AY46"/>
          <cell r="AZ46"/>
          <cell r="BA46"/>
          <cell r="BB46"/>
          <cell r="BC46"/>
          <cell r="BD46"/>
          <cell r="BE46"/>
          <cell r="BF46"/>
          <cell r="BG46"/>
          <cell r="BH46"/>
          <cell r="BI46"/>
          <cell r="BJ46"/>
          <cell r="BK46"/>
          <cell r="BL46" t="e">
            <v>#REF!</v>
          </cell>
          <cell r="BM46"/>
          <cell r="BN46"/>
          <cell r="BO46"/>
          <cell r="BP46"/>
          <cell r="BQ46">
            <v>0</v>
          </cell>
          <cell r="BR46"/>
          <cell r="BS46"/>
          <cell r="BT46"/>
          <cell r="BU46"/>
          <cell r="BV46"/>
          <cell r="BW46"/>
          <cell r="BX46"/>
          <cell r="BY46" t="e">
            <v>#REF!</v>
          </cell>
          <cell r="BZ46"/>
          <cell r="CA46"/>
          <cell r="CB46"/>
          <cell r="CC46"/>
          <cell r="CD46">
            <v>0</v>
          </cell>
          <cell r="CE46"/>
          <cell r="CF46"/>
          <cell r="CG46"/>
          <cell r="CH46"/>
          <cell r="CI46"/>
          <cell r="CJ46"/>
          <cell r="CK46"/>
          <cell r="CL46" t="e">
            <v>#REF!</v>
          </cell>
          <cell r="CM46"/>
          <cell r="CN46"/>
          <cell r="CO46"/>
          <cell r="CP46"/>
          <cell r="CQ46">
            <v>0</v>
          </cell>
          <cell r="CR46"/>
          <cell r="CS46"/>
          <cell r="CT46" t="e">
            <v>#REF!</v>
          </cell>
          <cell r="CU46"/>
          <cell r="CV46"/>
          <cell r="CW46"/>
          <cell r="CX46"/>
          <cell r="CY46" t="str">
            <v>42</v>
          </cell>
        </row>
        <row r="47">
          <cell r="B47" t="str">
            <v>43</v>
          </cell>
          <cell r="C47"/>
          <cell r="D47"/>
          <cell r="E47"/>
          <cell r="F47" t="e">
            <v>#REF!</v>
          </cell>
          <cell r="G47"/>
          <cell r="H47"/>
          <cell r="I47"/>
          <cell r="J47"/>
          <cell r="K47">
            <v>0</v>
          </cell>
          <cell r="L47"/>
          <cell r="M47"/>
          <cell r="N47"/>
          <cell r="O47"/>
          <cell r="P47"/>
          <cell r="Q47"/>
          <cell r="R47"/>
          <cell r="S47" t="e">
            <v>#REF!</v>
          </cell>
          <cell r="T47"/>
          <cell r="U47"/>
          <cell r="V47"/>
          <cell r="W47"/>
          <cell r="X47">
            <v>0</v>
          </cell>
          <cell r="Y47"/>
          <cell r="Z47"/>
          <cell r="AA47"/>
          <cell r="AB47"/>
          <cell r="AC47"/>
          <cell r="AD47"/>
          <cell r="AE47"/>
          <cell r="AF47" t="e">
            <v>#REF!</v>
          </cell>
          <cell r="AG47"/>
          <cell r="AH47"/>
          <cell r="AI47"/>
          <cell r="AJ47"/>
          <cell r="AK47">
            <v>0</v>
          </cell>
          <cell r="AL47"/>
          <cell r="AM47"/>
          <cell r="AN47" t="e">
            <v>#REF!</v>
          </cell>
          <cell r="AO47"/>
          <cell r="AP47"/>
          <cell r="AQ47"/>
          <cell r="AR47"/>
          <cell r="AS47">
            <v>4659</v>
          </cell>
          <cell r="AT47" t="str">
            <v>Tire Sales - Internal - NCV</v>
          </cell>
          <cell r="AU47"/>
          <cell r="AV47"/>
          <cell r="AW47"/>
          <cell r="AX47"/>
          <cell r="AY47"/>
          <cell r="AZ47"/>
          <cell r="BA47"/>
          <cell r="BB47"/>
          <cell r="BC47"/>
          <cell r="BD47"/>
          <cell r="BE47"/>
          <cell r="BF47"/>
          <cell r="BG47"/>
          <cell r="BH47"/>
          <cell r="BI47"/>
          <cell r="BJ47"/>
          <cell r="BK47"/>
          <cell r="BL47" t="e">
            <v>#REF!</v>
          </cell>
          <cell r="BM47"/>
          <cell r="BN47"/>
          <cell r="BO47"/>
          <cell r="BP47"/>
          <cell r="BQ47">
            <v>0</v>
          </cell>
          <cell r="BR47"/>
          <cell r="BS47"/>
          <cell r="BT47"/>
          <cell r="BU47"/>
          <cell r="BV47"/>
          <cell r="BW47"/>
          <cell r="BX47"/>
          <cell r="BY47" t="e">
            <v>#REF!</v>
          </cell>
          <cell r="BZ47"/>
          <cell r="CA47"/>
          <cell r="CB47"/>
          <cell r="CC47"/>
          <cell r="CD47">
            <v>0</v>
          </cell>
          <cell r="CE47"/>
          <cell r="CF47"/>
          <cell r="CG47"/>
          <cell r="CH47"/>
          <cell r="CI47"/>
          <cell r="CJ47"/>
          <cell r="CK47"/>
          <cell r="CL47" t="e">
            <v>#REF!</v>
          </cell>
          <cell r="CM47"/>
          <cell r="CN47"/>
          <cell r="CO47"/>
          <cell r="CP47"/>
          <cell r="CQ47">
            <v>0</v>
          </cell>
          <cell r="CR47"/>
          <cell r="CS47"/>
          <cell r="CT47" t="e">
            <v>#REF!</v>
          </cell>
          <cell r="CU47"/>
          <cell r="CV47"/>
          <cell r="CW47"/>
          <cell r="CX47"/>
          <cell r="CY47" t="str">
            <v>43</v>
          </cell>
        </row>
        <row r="48">
          <cell r="B48" t="str">
            <v>44</v>
          </cell>
          <cell r="C48"/>
          <cell r="D48"/>
          <cell r="E48"/>
          <cell r="F48" t="e">
            <v>#REF!</v>
          </cell>
          <cell r="G48"/>
          <cell r="H48"/>
          <cell r="I48"/>
          <cell r="J48"/>
          <cell r="K48">
            <v>0</v>
          </cell>
          <cell r="L48"/>
          <cell r="M48"/>
          <cell r="N48"/>
          <cell r="O48"/>
          <cell r="P48"/>
          <cell r="Q48"/>
          <cell r="R48"/>
          <cell r="S48" t="e">
            <v>#REF!</v>
          </cell>
          <cell r="T48"/>
          <cell r="U48"/>
          <cell r="V48"/>
          <cell r="W48"/>
          <cell r="X48">
            <v>0</v>
          </cell>
          <cell r="Y48"/>
          <cell r="Z48"/>
          <cell r="AA48"/>
          <cell r="AB48"/>
          <cell r="AC48"/>
          <cell r="AD48"/>
          <cell r="AE48"/>
          <cell r="AF48" t="e">
            <v>#REF!</v>
          </cell>
          <cell r="AG48"/>
          <cell r="AH48"/>
          <cell r="AI48"/>
          <cell r="AJ48"/>
          <cell r="AK48">
            <v>0</v>
          </cell>
          <cell r="AL48"/>
          <cell r="AM48"/>
          <cell r="AN48" t="e">
            <v>#REF!</v>
          </cell>
          <cell r="AO48"/>
          <cell r="AP48"/>
          <cell r="AQ48"/>
          <cell r="AR48"/>
          <cell r="AS48">
            <v>4629</v>
          </cell>
          <cell r="AT48" t="str">
            <v>Parts &amp; Access. - R.O. Body Shop - NCV</v>
          </cell>
          <cell r="AU48"/>
          <cell r="AV48"/>
          <cell r="AW48"/>
          <cell r="AX48"/>
          <cell r="AY48"/>
          <cell r="AZ48"/>
          <cell r="BA48"/>
          <cell r="BB48"/>
          <cell r="BC48"/>
          <cell r="BD48"/>
          <cell r="BE48"/>
          <cell r="BF48"/>
          <cell r="BG48"/>
          <cell r="BH48"/>
          <cell r="BI48"/>
          <cell r="BJ48"/>
          <cell r="BK48"/>
          <cell r="BL48" t="e">
            <v>#REF!</v>
          </cell>
          <cell r="BM48"/>
          <cell r="BN48"/>
          <cell r="BO48"/>
          <cell r="BP48"/>
          <cell r="BQ48">
            <v>0</v>
          </cell>
          <cell r="BR48"/>
          <cell r="BS48"/>
          <cell r="BT48"/>
          <cell r="BU48"/>
          <cell r="BV48"/>
          <cell r="BW48"/>
          <cell r="BX48"/>
          <cell r="BY48" t="e">
            <v>#REF!</v>
          </cell>
          <cell r="BZ48"/>
          <cell r="CA48"/>
          <cell r="CB48"/>
          <cell r="CC48"/>
          <cell r="CD48">
            <v>0</v>
          </cell>
          <cell r="CE48"/>
          <cell r="CF48"/>
          <cell r="CG48"/>
          <cell r="CH48"/>
          <cell r="CI48"/>
          <cell r="CJ48"/>
          <cell r="CK48"/>
          <cell r="CL48" t="e">
            <v>#REF!</v>
          </cell>
          <cell r="CM48"/>
          <cell r="CN48"/>
          <cell r="CO48"/>
          <cell r="CP48"/>
          <cell r="CQ48">
            <v>0</v>
          </cell>
          <cell r="CR48"/>
          <cell r="CS48"/>
          <cell r="CT48" t="e">
            <v>#REF!</v>
          </cell>
          <cell r="CU48"/>
          <cell r="CV48"/>
          <cell r="CW48"/>
          <cell r="CX48"/>
          <cell r="CY48" t="str">
            <v>44</v>
          </cell>
        </row>
        <row r="49">
          <cell r="B49" t="str">
            <v>45</v>
          </cell>
          <cell r="C49">
            <v>0</v>
          </cell>
          <cell r="D49"/>
          <cell r="E49"/>
          <cell r="F49" t="e">
            <v>#REF!</v>
          </cell>
          <cell r="G49"/>
          <cell r="H49"/>
          <cell r="I49"/>
          <cell r="J49"/>
          <cell r="K49">
            <v>0</v>
          </cell>
          <cell r="L49"/>
          <cell r="M49"/>
          <cell r="N49"/>
          <cell r="O49"/>
          <cell r="P49"/>
          <cell r="Q49"/>
          <cell r="R49"/>
          <cell r="S49" t="e">
            <v>#REF!</v>
          </cell>
          <cell r="T49"/>
          <cell r="U49"/>
          <cell r="V49"/>
          <cell r="W49"/>
          <cell r="X49">
            <v>0</v>
          </cell>
          <cell r="Y49"/>
          <cell r="Z49"/>
          <cell r="AA49"/>
          <cell r="AB49"/>
          <cell r="AC49"/>
          <cell r="AD49"/>
          <cell r="AE49"/>
          <cell r="AF49" t="e">
            <v>#REF!</v>
          </cell>
          <cell r="AG49"/>
          <cell r="AH49"/>
          <cell r="AI49"/>
          <cell r="AJ49"/>
          <cell r="AK49">
            <v>0</v>
          </cell>
          <cell r="AL49"/>
          <cell r="AM49"/>
          <cell r="AN49" t="e">
            <v>#REF!</v>
          </cell>
          <cell r="AO49"/>
          <cell r="AP49"/>
          <cell r="AQ49"/>
          <cell r="AR49"/>
          <cell r="AS49">
            <v>4669</v>
          </cell>
          <cell r="AT49" t="str">
            <v>Parts &amp; Access. - Counter Retail - NCV</v>
          </cell>
          <cell r="AU49"/>
          <cell r="AV49"/>
          <cell r="AW49"/>
          <cell r="AX49"/>
          <cell r="AY49"/>
          <cell r="AZ49"/>
          <cell r="BA49"/>
          <cell r="BB49"/>
          <cell r="BC49"/>
          <cell r="BD49"/>
          <cell r="BE49"/>
          <cell r="BF49"/>
          <cell r="BG49"/>
          <cell r="BH49"/>
          <cell r="BI49">
            <v>0</v>
          </cell>
          <cell r="BJ49"/>
          <cell r="BK49"/>
          <cell r="BL49" t="e">
            <v>#REF!</v>
          </cell>
          <cell r="BM49"/>
          <cell r="BN49"/>
          <cell r="BO49"/>
          <cell r="BP49"/>
          <cell r="BQ49">
            <v>0</v>
          </cell>
          <cell r="BR49"/>
          <cell r="BS49"/>
          <cell r="BT49"/>
          <cell r="BU49"/>
          <cell r="BV49"/>
          <cell r="BW49"/>
          <cell r="BX49"/>
          <cell r="BY49" t="e">
            <v>#REF!</v>
          </cell>
          <cell r="BZ49"/>
          <cell r="CA49"/>
          <cell r="CB49"/>
          <cell r="CC49"/>
          <cell r="CD49">
            <v>0</v>
          </cell>
          <cell r="CE49"/>
          <cell r="CF49"/>
          <cell r="CG49"/>
          <cell r="CH49"/>
          <cell r="CI49"/>
          <cell r="CJ49"/>
          <cell r="CK49"/>
          <cell r="CL49" t="e">
            <v>#REF!</v>
          </cell>
          <cell r="CM49"/>
          <cell r="CN49"/>
          <cell r="CO49"/>
          <cell r="CP49"/>
          <cell r="CQ49">
            <v>0</v>
          </cell>
          <cell r="CR49"/>
          <cell r="CS49"/>
          <cell r="CT49" t="e">
            <v>#REF!</v>
          </cell>
          <cell r="CU49"/>
          <cell r="CV49"/>
          <cell r="CW49"/>
          <cell r="CX49"/>
          <cell r="CY49" t="str">
            <v>45</v>
          </cell>
        </row>
        <row r="50">
          <cell r="B50" t="str">
            <v>46</v>
          </cell>
          <cell r="C50">
            <v>0</v>
          </cell>
          <cell r="D50"/>
          <cell r="E50"/>
          <cell r="F50" t="e">
            <v>#REF!</v>
          </cell>
          <cell r="G50"/>
          <cell r="H50"/>
          <cell r="I50"/>
          <cell r="J50"/>
          <cell r="K50">
            <v>0</v>
          </cell>
          <cell r="L50"/>
          <cell r="M50"/>
          <cell r="N50"/>
          <cell r="O50"/>
          <cell r="P50"/>
          <cell r="Q50"/>
          <cell r="R50"/>
          <cell r="S50" t="e">
            <v>#REF!</v>
          </cell>
          <cell r="T50"/>
          <cell r="U50"/>
          <cell r="V50"/>
          <cell r="W50"/>
          <cell r="X50">
            <v>0</v>
          </cell>
          <cell r="Y50"/>
          <cell r="Z50"/>
          <cell r="AA50"/>
          <cell r="AB50"/>
          <cell r="AC50"/>
          <cell r="AD50"/>
          <cell r="AE50"/>
          <cell r="AF50" t="e">
            <v>#REF!</v>
          </cell>
          <cell r="AG50"/>
          <cell r="AH50"/>
          <cell r="AI50"/>
          <cell r="AJ50"/>
          <cell r="AK50">
            <v>0</v>
          </cell>
          <cell r="AL50"/>
          <cell r="AM50"/>
          <cell r="AN50" t="e">
            <v>#REF!</v>
          </cell>
          <cell r="AO50"/>
          <cell r="AP50"/>
          <cell r="AQ50"/>
          <cell r="AR50"/>
          <cell r="AS50">
            <v>4679</v>
          </cell>
          <cell r="AT50" t="str">
            <v>Parts &amp; Access. - Wholesale - NCV</v>
          </cell>
          <cell r="AU50"/>
          <cell r="AV50"/>
          <cell r="AW50"/>
          <cell r="AX50"/>
          <cell r="AY50"/>
          <cell r="AZ50"/>
          <cell r="BA50"/>
          <cell r="BB50"/>
          <cell r="BC50"/>
          <cell r="BD50"/>
          <cell r="BE50"/>
          <cell r="BF50"/>
          <cell r="BG50"/>
          <cell r="BH50"/>
          <cell r="BI50">
            <v>0</v>
          </cell>
          <cell r="BJ50"/>
          <cell r="BK50"/>
          <cell r="BL50" t="e">
            <v>#REF!</v>
          </cell>
          <cell r="BM50"/>
          <cell r="BN50"/>
          <cell r="BO50"/>
          <cell r="BP50"/>
          <cell r="BQ50">
            <v>0</v>
          </cell>
          <cell r="BR50"/>
          <cell r="BS50"/>
          <cell r="BT50"/>
          <cell r="BU50"/>
          <cell r="BV50"/>
          <cell r="BW50"/>
          <cell r="BX50"/>
          <cell r="BY50" t="e">
            <v>#REF!</v>
          </cell>
          <cell r="BZ50"/>
          <cell r="CA50"/>
          <cell r="CB50"/>
          <cell r="CC50"/>
          <cell r="CD50">
            <v>0</v>
          </cell>
          <cell r="CE50"/>
          <cell r="CF50"/>
          <cell r="CG50"/>
          <cell r="CH50"/>
          <cell r="CI50"/>
          <cell r="CJ50"/>
          <cell r="CK50"/>
          <cell r="CL50" t="e">
            <v>#REF!</v>
          </cell>
          <cell r="CM50"/>
          <cell r="CN50"/>
          <cell r="CO50"/>
          <cell r="CP50"/>
          <cell r="CQ50">
            <v>0</v>
          </cell>
          <cell r="CR50"/>
          <cell r="CS50"/>
          <cell r="CT50" t="e">
            <v>#REF!</v>
          </cell>
          <cell r="CU50"/>
          <cell r="CV50"/>
          <cell r="CW50"/>
          <cell r="CX50"/>
          <cell r="CY50" t="str">
            <v>46</v>
          </cell>
        </row>
        <row r="51">
          <cell r="B51" t="str">
            <v>47</v>
          </cell>
          <cell r="C51">
            <v>0</v>
          </cell>
          <cell r="D51"/>
          <cell r="E51"/>
          <cell r="F51" t="e">
            <v>#REF!</v>
          </cell>
          <cell r="G51"/>
          <cell r="H51"/>
          <cell r="I51"/>
          <cell r="J51"/>
          <cell r="K51">
            <v>0</v>
          </cell>
          <cell r="L51"/>
          <cell r="M51"/>
          <cell r="N51"/>
          <cell r="O51"/>
          <cell r="P51"/>
          <cell r="Q51"/>
          <cell r="R51"/>
          <cell r="S51" t="e">
            <v>#REF!</v>
          </cell>
          <cell r="T51"/>
          <cell r="U51"/>
          <cell r="V51"/>
          <cell r="W51"/>
          <cell r="X51">
            <v>0</v>
          </cell>
          <cell r="Y51"/>
          <cell r="Z51"/>
          <cell r="AA51"/>
          <cell r="AB51"/>
          <cell r="AC51"/>
          <cell r="AD51"/>
          <cell r="AE51"/>
          <cell r="AF51" t="e">
            <v>#REF!</v>
          </cell>
          <cell r="AG51"/>
          <cell r="AH51"/>
          <cell r="AI51"/>
          <cell r="AJ51"/>
          <cell r="AK51">
            <v>0</v>
          </cell>
          <cell r="AL51"/>
          <cell r="AM51"/>
          <cell r="AN51" t="e">
            <v>#REF!</v>
          </cell>
          <cell r="AO51"/>
          <cell r="AP51"/>
          <cell r="AQ51"/>
          <cell r="AR51"/>
          <cell r="AS51"/>
          <cell r="AT51" t="str">
            <v>SUBTOTAL - NCV P&amp;A</v>
          </cell>
          <cell r="AU51"/>
          <cell r="AV51"/>
          <cell r="AW51"/>
          <cell r="AX51"/>
          <cell r="AY51"/>
          <cell r="AZ51"/>
          <cell r="BA51"/>
          <cell r="BB51"/>
          <cell r="BC51"/>
          <cell r="BD51"/>
          <cell r="BE51"/>
          <cell r="BF51"/>
          <cell r="BG51"/>
          <cell r="BH51" t="str">
            <v xml:space="preserve">(Lines 36 to 46) </v>
          </cell>
          <cell r="BI51">
            <v>0</v>
          </cell>
          <cell r="BJ51"/>
          <cell r="BK51"/>
          <cell r="BL51" t="e">
            <v>#REF!</v>
          </cell>
          <cell r="BM51"/>
          <cell r="BN51"/>
          <cell r="BO51"/>
          <cell r="BP51"/>
          <cell r="BQ51">
            <v>0</v>
          </cell>
          <cell r="BR51"/>
          <cell r="BS51"/>
          <cell r="BT51"/>
          <cell r="BU51"/>
          <cell r="BV51"/>
          <cell r="BW51"/>
          <cell r="BX51"/>
          <cell r="BY51" t="e">
            <v>#REF!</v>
          </cell>
          <cell r="BZ51"/>
          <cell r="CA51"/>
          <cell r="CB51"/>
          <cell r="CC51"/>
          <cell r="CD51">
            <v>0</v>
          </cell>
          <cell r="CE51"/>
          <cell r="CF51"/>
          <cell r="CG51"/>
          <cell r="CH51"/>
          <cell r="CI51"/>
          <cell r="CJ51"/>
          <cell r="CK51"/>
          <cell r="CL51" t="e">
            <v>#REF!</v>
          </cell>
          <cell r="CM51"/>
          <cell r="CN51"/>
          <cell r="CO51"/>
          <cell r="CP51"/>
          <cell r="CQ51">
            <v>0</v>
          </cell>
          <cell r="CR51"/>
          <cell r="CS51"/>
          <cell r="CT51" t="e">
            <v>#REF!</v>
          </cell>
          <cell r="CU51"/>
          <cell r="CV51"/>
          <cell r="CW51"/>
          <cell r="CX51"/>
          <cell r="CY51" t="str">
            <v>47</v>
          </cell>
        </row>
        <row r="52">
          <cell r="B52" t="str">
            <v>48</v>
          </cell>
          <cell r="C52"/>
          <cell r="D52"/>
          <cell r="E52"/>
          <cell r="F52" t="e">
            <v>#REF!</v>
          </cell>
          <cell r="G52"/>
          <cell r="H52"/>
          <cell r="I52"/>
          <cell r="J52"/>
          <cell r="K52">
            <v>0</v>
          </cell>
          <cell r="L52"/>
          <cell r="M52"/>
          <cell r="N52"/>
          <cell r="O52"/>
          <cell r="P52"/>
          <cell r="Q52"/>
          <cell r="R52"/>
          <cell r="S52" t="e">
            <v>#REF!</v>
          </cell>
          <cell r="T52"/>
          <cell r="U52"/>
          <cell r="V52"/>
          <cell r="W52"/>
          <cell r="X52">
            <v>0</v>
          </cell>
          <cell r="Y52"/>
          <cell r="Z52"/>
          <cell r="AA52"/>
          <cell r="AB52"/>
          <cell r="AC52"/>
          <cell r="AD52"/>
          <cell r="AE52"/>
          <cell r="AF52" t="e">
            <v>#REF!</v>
          </cell>
          <cell r="AG52"/>
          <cell r="AH52"/>
          <cell r="AI52"/>
          <cell r="AJ52"/>
          <cell r="AK52">
            <v>0</v>
          </cell>
          <cell r="AL52"/>
          <cell r="AM52"/>
          <cell r="AN52" t="e">
            <v>#REF!</v>
          </cell>
          <cell r="AO52"/>
          <cell r="AP52"/>
          <cell r="AQ52"/>
          <cell r="AR52"/>
          <cell r="AS52">
            <v>4610</v>
          </cell>
          <cell r="AT52" t="str">
            <v>Parts &amp; Access. - R.O. - Other Makes Veh.</v>
          </cell>
          <cell r="AU52"/>
          <cell r="AV52"/>
          <cell r="AW52"/>
          <cell r="AX52"/>
          <cell r="AY52"/>
          <cell r="AZ52"/>
          <cell r="BA52"/>
          <cell r="BB52"/>
          <cell r="BC52"/>
          <cell r="BD52"/>
          <cell r="BE52"/>
          <cell r="BF52"/>
          <cell r="BG52"/>
          <cell r="BH52"/>
          <cell r="BI52"/>
          <cell r="BJ52"/>
          <cell r="BK52"/>
          <cell r="BL52" t="e">
            <v>#REF!</v>
          </cell>
          <cell r="BM52"/>
          <cell r="BN52"/>
          <cell r="BO52"/>
          <cell r="BP52"/>
          <cell r="BQ52">
            <v>0</v>
          </cell>
          <cell r="BR52"/>
          <cell r="BS52"/>
          <cell r="BT52"/>
          <cell r="BU52"/>
          <cell r="BV52"/>
          <cell r="BW52"/>
          <cell r="BX52"/>
          <cell r="BY52" t="e">
            <v>#REF!</v>
          </cell>
          <cell r="BZ52"/>
          <cell r="CA52"/>
          <cell r="CB52"/>
          <cell r="CC52"/>
          <cell r="CD52">
            <v>0</v>
          </cell>
          <cell r="CE52"/>
          <cell r="CF52"/>
          <cell r="CG52"/>
          <cell r="CH52"/>
          <cell r="CI52"/>
          <cell r="CJ52"/>
          <cell r="CK52"/>
          <cell r="CL52" t="e">
            <v>#REF!</v>
          </cell>
          <cell r="CM52"/>
          <cell r="CN52"/>
          <cell r="CO52"/>
          <cell r="CP52"/>
          <cell r="CQ52">
            <v>0</v>
          </cell>
          <cell r="CR52"/>
          <cell r="CS52"/>
          <cell r="CT52" t="e">
            <v>#REF!</v>
          </cell>
          <cell r="CU52"/>
          <cell r="CV52"/>
          <cell r="CW52"/>
          <cell r="CX52"/>
          <cell r="CY52" t="str">
            <v>48</v>
          </cell>
        </row>
        <row r="53">
          <cell r="B53" t="str">
            <v>49</v>
          </cell>
          <cell r="C53"/>
          <cell r="D53"/>
          <cell r="E53"/>
          <cell r="F53" t="e">
            <v>#REF!</v>
          </cell>
          <cell r="G53"/>
          <cell r="H53"/>
          <cell r="I53"/>
          <cell r="J53"/>
          <cell r="K53">
            <v>0</v>
          </cell>
          <cell r="L53"/>
          <cell r="M53"/>
          <cell r="N53"/>
          <cell r="O53"/>
          <cell r="P53"/>
          <cell r="Q53"/>
          <cell r="R53"/>
          <cell r="S53" t="e">
            <v>#REF!</v>
          </cell>
          <cell r="T53"/>
          <cell r="U53"/>
          <cell r="V53"/>
          <cell r="W53"/>
          <cell r="X53">
            <v>0</v>
          </cell>
          <cell r="Y53"/>
          <cell r="Z53"/>
          <cell r="AA53"/>
          <cell r="AB53"/>
          <cell r="AC53"/>
          <cell r="AD53"/>
          <cell r="AE53"/>
          <cell r="AF53" t="e">
            <v>#REF!</v>
          </cell>
          <cell r="AG53"/>
          <cell r="AH53"/>
          <cell r="AI53"/>
          <cell r="AJ53"/>
          <cell r="AK53">
            <v>0</v>
          </cell>
          <cell r="AL53"/>
          <cell r="AM53"/>
          <cell r="AN53" t="e">
            <v>#REF!</v>
          </cell>
          <cell r="AO53"/>
          <cell r="AP53"/>
          <cell r="AQ53"/>
          <cell r="AR53"/>
          <cell r="AS53">
            <v>4612</v>
          </cell>
          <cell r="AT53" t="str">
            <v>Express Service Parts - Other Makes Veh.</v>
          </cell>
          <cell r="AU53"/>
          <cell r="AV53"/>
          <cell r="AW53"/>
          <cell r="AX53"/>
          <cell r="AY53"/>
          <cell r="AZ53"/>
          <cell r="BA53"/>
          <cell r="BB53"/>
          <cell r="BC53"/>
          <cell r="BD53"/>
          <cell r="BE53"/>
          <cell r="BF53"/>
          <cell r="BG53"/>
          <cell r="BH53"/>
          <cell r="BI53"/>
          <cell r="BJ53"/>
          <cell r="BK53"/>
          <cell r="BL53" t="e">
            <v>#REF!</v>
          </cell>
          <cell r="BM53"/>
          <cell r="BN53"/>
          <cell r="BO53"/>
          <cell r="BP53"/>
          <cell r="BQ53">
            <v>0</v>
          </cell>
          <cell r="BR53"/>
          <cell r="BS53"/>
          <cell r="BT53"/>
          <cell r="BU53"/>
          <cell r="BV53"/>
          <cell r="BW53"/>
          <cell r="BX53"/>
          <cell r="BY53" t="e">
            <v>#REF!</v>
          </cell>
          <cell r="BZ53"/>
          <cell r="CA53"/>
          <cell r="CB53"/>
          <cell r="CC53"/>
          <cell r="CD53">
            <v>0</v>
          </cell>
          <cell r="CE53"/>
          <cell r="CF53"/>
          <cell r="CG53"/>
          <cell r="CH53"/>
          <cell r="CI53"/>
          <cell r="CJ53"/>
          <cell r="CK53"/>
          <cell r="CL53" t="e">
            <v>#REF!</v>
          </cell>
          <cell r="CM53"/>
          <cell r="CN53"/>
          <cell r="CO53"/>
          <cell r="CP53"/>
          <cell r="CQ53">
            <v>0</v>
          </cell>
          <cell r="CR53"/>
          <cell r="CS53"/>
          <cell r="CT53" t="e">
            <v>#REF!</v>
          </cell>
          <cell r="CU53"/>
          <cell r="CV53"/>
          <cell r="CW53"/>
          <cell r="CX53"/>
          <cell r="CY53" t="str">
            <v>49</v>
          </cell>
        </row>
        <row r="54">
          <cell r="B54" t="str">
            <v>50</v>
          </cell>
          <cell r="C54"/>
          <cell r="D54"/>
          <cell r="E54"/>
          <cell r="F54" t="e">
            <v>#REF!</v>
          </cell>
          <cell r="G54"/>
          <cell r="H54"/>
          <cell r="I54"/>
          <cell r="J54"/>
          <cell r="K54">
            <v>0</v>
          </cell>
          <cell r="L54"/>
          <cell r="M54"/>
          <cell r="N54"/>
          <cell r="O54"/>
          <cell r="P54"/>
          <cell r="Q54"/>
          <cell r="R54"/>
          <cell r="S54" t="e">
            <v>#REF!</v>
          </cell>
          <cell r="T54"/>
          <cell r="U54"/>
          <cell r="V54"/>
          <cell r="W54"/>
          <cell r="X54">
            <v>0</v>
          </cell>
          <cell r="Y54"/>
          <cell r="Z54"/>
          <cell r="AA54"/>
          <cell r="AB54"/>
          <cell r="AC54"/>
          <cell r="AD54"/>
          <cell r="AE54"/>
          <cell r="AF54" t="e">
            <v>#REF!</v>
          </cell>
          <cell r="AG54"/>
          <cell r="AH54"/>
          <cell r="AI54"/>
          <cell r="AJ54"/>
          <cell r="AK54">
            <v>0</v>
          </cell>
          <cell r="AL54"/>
          <cell r="AM54"/>
          <cell r="AN54" t="e">
            <v>#REF!</v>
          </cell>
          <cell r="AO54"/>
          <cell r="AP54"/>
          <cell r="AQ54"/>
          <cell r="AR54"/>
          <cell r="AS54">
            <v>4644</v>
          </cell>
          <cell r="AT54" t="str">
            <v>Serv. / Maint. Contract Parts - Other Makes Veh.</v>
          </cell>
          <cell r="AU54"/>
          <cell r="AV54"/>
          <cell r="AW54"/>
          <cell r="AX54"/>
          <cell r="AY54"/>
          <cell r="AZ54"/>
          <cell r="BA54"/>
          <cell r="BB54"/>
          <cell r="BC54"/>
          <cell r="BD54"/>
          <cell r="BE54"/>
          <cell r="BF54"/>
          <cell r="BG54"/>
          <cell r="BH54"/>
          <cell r="BI54"/>
          <cell r="BJ54"/>
          <cell r="BK54"/>
          <cell r="BL54" t="e">
            <v>#REF!</v>
          </cell>
          <cell r="BM54"/>
          <cell r="BN54"/>
          <cell r="BO54"/>
          <cell r="BP54"/>
          <cell r="BQ54">
            <v>0</v>
          </cell>
          <cell r="BR54"/>
          <cell r="BS54"/>
          <cell r="BT54"/>
          <cell r="BU54"/>
          <cell r="BV54"/>
          <cell r="BW54"/>
          <cell r="BX54"/>
          <cell r="BY54" t="e">
            <v>#REF!</v>
          </cell>
          <cell r="BZ54"/>
          <cell r="CA54"/>
          <cell r="CB54"/>
          <cell r="CC54"/>
          <cell r="CD54">
            <v>0</v>
          </cell>
          <cell r="CE54"/>
          <cell r="CF54"/>
          <cell r="CG54"/>
          <cell r="CH54"/>
          <cell r="CI54"/>
          <cell r="CJ54"/>
          <cell r="CK54"/>
          <cell r="CL54" t="e">
            <v>#REF!</v>
          </cell>
          <cell r="CM54"/>
          <cell r="CN54"/>
          <cell r="CO54"/>
          <cell r="CP54"/>
          <cell r="CQ54">
            <v>0</v>
          </cell>
          <cell r="CR54"/>
          <cell r="CS54"/>
          <cell r="CT54" t="e">
            <v>#REF!</v>
          </cell>
          <cell r="CU54"/>
          <cell r="CV54"/>
          <cell r="CW54"/>
          <cell r="CX54"/>
          <cell r="CY54" t="str">
            <v>50</v>
          </cell>
        </row>
        <row r="55">
          <cell r="B55" t="str">
            <v>51</v>
          </cell>
          <cell r="C55"/>
          <cell r="D55"/>
          <cell r="E55"/>
          <cell r="F55" t="e">
            <v>#REF!</v>
          </cell>
          <cell r="G55"/>
          <cell r="H55"/>
          <cell r="I55"/>
          <cell r="J55"/>
          <cell r="K55">
            <v>0</v>
          </cell>
          <cell r="L55"/>
          <cell r="M55"/>
          <cell r="N55"/>
          <cell r="O55"/>
          <cell r="P55"/>
          <cell r="Q55"/>
          <cell r="R55"/>
          <cell r="S55" t="e">
            <v>#REF!</v>
          </cell>
          <cell r="T55"/>
          <cell r="U55"/>
          <cell r="V55"/>
          <cell r="W55"/>
          <cell r="X55">
            <v>0</v>
          </cell>
          <cell r="Y55"/>
          <cell r="Z55"/>
          <cell r="AA55"/>
          <cell r="AB55"/>
          <cell r="AC55"/>
          <cell r="AD55"/>
          <cell r="AE55"/>
          <cell r="AF55" t="e">
            <v>#REF!</v>
          </cell>
          <cell r="AG55"/>
          <cell r="AH55"/>
          <cell r="AI55"/>
          <cell r="AJ55"/>
          <cell r="AK55">
            <v>0</v>
          </cell>
          <cell r="AL55"/>
          <cell r="AM55"/>
          <cell r="AN55" t="e">
            <v>#REF!</v>
          </cell>
          <cell r="AO55"/>
          <cell r="AP55"/>
          <cell r="AQ55"/>
          <cell r="AR55"/>
          <cell r="AS55">
            <v>4645</v>
          </cell>
          <cell r="AT55" t="str">
            <v>Parts &amp; Access. - Warranty Claims - Other Makes Veh.</v>
          </cell>
          <cell r="AU55"/>
          <cell r="AV55"/>
          <cell r="AW55"/>
          <cell r="AX55"/>
          <cell r="AY55"/>
          <cell r="AZ55"/>
          <cell r="BA55"/>
          <cell r="BB55"/>
          <cell r="BC55"/>
          <cell r="BD55"/>
          <cell r="BE55"/>
          <cell r="BF55"/>
          <cell r="BG55"/>
          <cell r="BH55"/>
          <cell r="BI55"/>
          <cell r="BJ55"/>
          <cell r="BK55"/>
          <cell r="BL55" t="e">
            <v>#REF!</v>
          </cell>
          <cell r="BM55"/>
          <cell r="BN55"/>
          <cell r="BO55"/>
          <cell r="BP55"/>
          <cell r="BQ55">
            <v>0</v>
          </cell>
          <cell r="BR55"/>
          <cell r="BS55"/>
          <cell r="BT55"/>
          <cell r="BU55"/>
          <cell r="BV55"/>
          <cell r="BW55"/>
          <cell r="BX55"/>
          <cell r="BY55" t="e">
            <v>#REF!</v>
          </cell>
          <cell r="BZ55"/>
          <cell r="CA55"/>
          <cell r="CB55"/>
          <cell r="CC55"/>
          <cell r="CD55">
            <v>0</v>
          </cell>
          <cell r="CE55"/>
          <cell r="CF55"/>
          <cell r="CG55"/>
          <cell r="CH55"/>
          <cell r="CI55"/>
          <cell r="CJ55"/>
          <cell r="CK55"/>
          <cell r="CL55" t="e">
            <v>#REF!</v>
          </cell>
          <cell r="CM55"/>
          <cell r="CN55"/>
          <cell r="CO55"/>
          <cell r="CP55"/>
          <cell r="CQ55">
            <v>0</v>
          </cell>
          <cell r="CR55"/>
          <cell r="CS55"/>
          <cell r="CT55" t="e">
            <v>#REF!</v>
          </cell>
          <cell r="CU55"/>
          <cell r="CV55"/>
          <cell r="CW55"/>
          <cell r="CX55"/>
          <cell r="CY55" t="str">
            <v>51</v>
          </cell>
        </row>
        <row r="56">
          <cell r="B56" t="str">
            <v>52</v>
          </cell>
          <cell r="C56"/>
          <cell r="D56"/>
          <cell r="E56"/>
          <cell r="F56" t="e">
            <v>#REF!</v>
          </cell>
          <cell r="G56"/>
          <cell r="H56"/>
          <cell r="I56"/>
          <cell r="J56"/>
          <cell r="K56">
            <v>0</v>
          </cell>
          <cell r="L56"/>
          <cell r="M56"/>
          <cell r="N56"/>
          <cell r="O56"/>
          <cell r="P56"/>
          <cell r="Q56"/>
          <cell r="R56"/>
          <cell r="S56" t="e">
            <v>#REF!</v>
          </cell>
          <cell r="T56"/>
          <cell r="U56"/>
          <cell r="V56"/>
          <cell r="W56"/>
          <cell r="X56">
            <v>0</v>
          </cell>
          <cell r="Y56"/>
          <cell r="Z56"/>
          <cell r="AA56"/>
          <cell r="AB56"/>
          <cell r="AC56"/>
          <cell r="AD56"/>
          <cell r="AE56"/>
          <cell r="AF56" t="e">
            <v>#REF!</v>
          </cell>
          <cell r="AG56"/>
          <cell r="AH56"/>
          <cell r="AI56"/>
          <cell r="AJ56"/>
          <cell r="AK56">
            <v>0</v>
          </cell>
          <cell r="AL56"/>
          <cell r="AM56"/>
          <cell r="AN56" t="e">
            <v>#REF!</v>
          </cell>
          <cell r="AO56"/>
          <cell r="AP56"/>
          <cell r="AQ56"/>
          <cell r="AR56"/>
          <cell r="AS56">
            <v>4655</v>
          </cell>
          <cell r="AT56" t="str">
            <v>Parts &amp; Access. - Internal - Other Makes Veh.</v>
          </cell>
          <cell r="AU56"/>
          <cell r="AV56"/>
          <cell r="AW56"/>
          <cell r="AX56"/>
          <cell r="AY56"/>
          <cell r="AZ56"/>
          <cell r="BA56"/>
          <cell r="BB56"/>
          <cell r="BC56"/>
          <cell r="BD56"/>
          <cell r="BE56"/>
          <cell r="BF56"/>
          <cell r="BG56"/>
          <cell r="BH56"/>
          <cell r="BI56"/>
          <cell r="BJ56"/>
          <cell r="BK56"/>
          <cell r="BL56" t="e">
            <v>#REF!</v>
          </cell>
          <cell r="BM56"/>
          <cell r="BN56"/>
          <cell r="BO56"/>
          <cell r="BP56"/>
          <cell r="BQ56">
            <v>0</v>
          </cell>
          <cell r="BR56"/>
          <cell r="BS56"/>
          <cell r="BT56"/>
          <cell r="BU56"/>
          <cell r="BV56"/>
          <cell r="BW56"/>
          <cell r="BX56"/>
          <cell r="BY56" t="e">
            <v>#REF!</v>
          </cell>
          <cell r="BZ56"/>
          <cell r="CA56"/>
          <cell r="CB56"/>
          <cell r="CC56"/>
          <cell r="CD56">
            <v>0</v>
          </cell>
          <cell r="CE56"/>
          <cell r="CF56"/>
          <cell r="CG56"/>
          <cell r="CH56"/>
          <cell r="CI56"/>
          <cell r="CJ56"/>
          <cell r="CK56"/>
          <cell r="CL56" t="e">
            <v>#REF!</v>
          </cell>
          <cell r="CM56"/>
          <cell r="CN56"/>
          <cell r="CO56"/>
          <cell r="CP56"/>
          <cell r="CQ56">
            <v>0</v>
          </cell>
          <cell r="CR56"/>
          <cell r="CS56"/>
          <cell r="CT56" t="e">
            <v>#REF!</v>
          </cell>
          <cell r="CU56"/>
          <cell r="CV56"/>
          <cell r="CW56"/>
          <cell r="CX56"/>
          <cell r="CY56" t="str">
            <v>52</v>
          </cell>
        </row>
        <row r="57">
          <cell r="B57" t="str">
            <v>53</v>
          </cell>
          <cell r="C57"/>
          <cell r="D57"/>
          <cell r="E57"/>
          <cell r="F57" t="e">
            <v>#REF!</v>
          </cell>
          <cell r="G57"/>
          <cell r="H57"/>
          <cell r="I57"/>
          <cell r="J57"/>
          <cell r="K57">
            <v>0</v>
          </cell>
          <cell r="L57"/>
          <cell r="M57"/>
          <cell r="N57"/>
          <cell r="O57"/>
          <cell r="P57"/>
          <cell r="Q57"/>
          <cell r="R57"/>
          <cell r="S57" t="e">
            <v>#REF!</v>
          </cell>
          <cell r="T57"/>
          <cell r="U57"/>
          <cell r="V57"/>
          <cell r="W57"/>
          <cell r="X57">
            <v>0</v>
          </cell>
          <cell r="Y57"/>
          <cell r="Z57"/>
          <cell r="AA57"/>
          <cell r="AB57"/>
          <cell r="AC57"/>
          <cell r="AD57"/>
          <cell r="AE57"/>
          <cell r="AF57" t="e">
            <v>#REF!</v>
          </cell>
          <cell r="AG57"/>
          <cell r="AH57"/>
          <cell r="AI57"/>
          <cell r="AJ57"/>
          <cell r="AK57">
            <v>0</v>
          </cell>
          <cell r="AL57"/>
          <cell r="AM57"/>
          <cell r="AN57" t="e">
            <v>#REF!</v>
          </cell>
          <cell r="AO57"/>
          <cell r="AP57"/>
          <cell r="AQ57"/>
          <cell r="AR57"/>
          <cell r="AS57">
            <v>4625</v>
          </cell>
          <cell r="AT57" t="str">
            <v>Parts &amp; Access. - R.O. Body Shop - Other Makes Veh.</v>
          </cell>
          <cell r="AU57"/>
          <cell r="AV57"/>
          <cell r="AW57"/>
          <cell r="AX57"/>
          <cell r="AY57"/>
          <cell r="AZ57"/>
          <cell r="BA57"/>
          <cell r="BB57"/>
          <cell r="BC57"/>
          <cell r="BD57"/>
          <cell r="BE57"/>
          <cell r="BF57"/>
          <cell r="BG57"/>
          <cell r="BH57"/>
          <cell r="BI57"/>
          <cell r="BJ57"/>
          <cell r="BK57"/>
          <cell r="BL57" t="e">
            <v>#REF!</v>
          </cell>
          <cell r="BM57"/>
          <cell r="BN57"/>
          <cell r="BO57"/>
          <cell r="BP57"/>
          <cell r="BQ57">
            <v>0</v>
          </cell>
          <cell r="BR57"/>
          <cell r="BS57"/>
          <cell r="BT57"/>
          <cell r="BU57"/>
          <cell r="BV57"/>
          <cell r="BW57"/>
          <cell r="BX57"/>
          <cell r="BY57" t="e">
            <v>#REF!</v>
          </cell>
          <cell r="BZ57"/>
          <cell r="CA57"/>
          <cell r="CB57"/>
          <cell r="CC57"/>
          <cell r="CD57">
            <v>0</v>
          </cell>
          <cell r="CE57"/>
          <cell r="CF57"/>
          <cell r="CG57"/>
          <cell r="CH57"/>
          <cell r="CI57"/>
          <cell r="CJ57"/>
          <cell r="CK57"/>
          <cell r="CL57" t="e">
            <v>#REF!</v>
          </cell>
          <cell r="CM57"/>
          <cell r="CN57"/>
          <cell r="CO57"/>
          <cell r="CP57"/>
          <cell r="CQ57">
            <v>0</v>
          </cell>
          <cell r="CR57"/>
          <cell r="CS57"/>
          <cell r="CT57" t="e">
            <v>#REF!</v>
          </cell>
          <cell r="CU57"/>
          <cell r="CV57"/>
          <cell r="CW57"/>
          <cell r="CX57"/>
          <cell r="CY57" t="str">
            <v>53</v>
          </cell>
        </row>
        <row r="58">
          <cell r="B58" t="str">
            <v>54</v>
          </cell>
          <cell r="C58">
            <v>0</v>
          </cell>
          <cell r="D58"/>
          <cell r="E58"/>
          <cell r="F58" t="e">
            <v>#REF!</v>
          </cell>
          <cell r="G58"/>
          <cell r="H58"/>
          <cell r="I58"/>
          <cell r="J58"/>
          <cell r="K58">
            <v>0</v>
          </cell>
          <cell r="L58"/>
          <cell r="M58"/>
          <cell r="N58"/>
          <cell r="O58"/>
          <cell r="P58"/>
          <cell r="Q58"/>
          <cell r="R58"/>
          <cell r="S58" t="e">
            <v>#REF!</v>
          </cell>
          <cell r="T58"/>
          <cell r="U58"/>
          <cell r="V58"/>
          <cell r="W58"/>
          <cell r="X58">
            <v>0</v>
          </cell>
          <cell r="Y58"/>
          <cell r="Z58"/>
          <cell r="AA58"/>
          <cell r="AB58"/>
          <cell r="AC58"/>
          <cell r="AD58"/>
          <cell r="AE58"/>
          <cell r="AF58" t="e">
            <v>#REF!</v>
          </cell>
          <cell r="AG58"/>
          <cell r="AH58"/>
          <cell r="AI58"/>
          <cell r="AJ58"/>
          <cell r="AK58">
            <v>0</v>
          </cell>
          <cell r="AL58"/>
          <cell r="AM58"/>
          <cell r="AN58" t="e">
            <v>#REF!</v>
          </cell>
          <cell r="AO58"/>
          <cell r="AP58"/>
          <cell r="AQ58"/>
          <cell r="AR58"/>
          <cell r="AS58">
            <v>4665</v>
          </cell>
          <cell r="AT58" t="str">
            <v>Parts &amp; Access. - Counter Retail - Other Makes Veh.</v>
          </cell>
          <cell r="AU58"/>
          <cell r="AV58"/>
          <cell r="AW58"/>
          <cell r="AX58"/>
          <cell r="AY58"/>
          <cell r="AZ58"/>
          <cell r="BA58"/>
          <cell r="BB58"/>
          <cell r="BC58"/>
          <cell r="BD58"/>
          <cell r="BE58"/>
          <cell r="BF58"/>
          <cell r="BG58"/>
          <cell r="BH58"/>
          <cell r="BI58">
            <v>0</v>
          </cell>
          <cell r="BJ58"/>
          <cell r="BK58"/>
          <cell r="BL58" t="e">
            <v>#REF!</v>
          </cell>
          <cell r="BM58"/>
          <cell r="BN58"/>
          <cell r="BO58"/>
          <cell r="BP58"/>
          <cell r="BQ58">
            <v>0</v>
          </cell>
          <cell r="BR58"/>
          <cell r="BS58"/>
          <cell r="BT58"/>
          <cell r="BU58"/>
          <cell r="BV58"/>
          <cell r="BW58"/>
          <cell r="BX58"/>
          <cell r="BY58" t="e">
            <v>#REF!</v>
          </cell>
          <cell r="BZ58"/>
          <cell r="CA58"/>
          <cell r="CB58"/>
          <cell r="CC58"/>
          <cell r="CD58">
            <v>0</v>
          </cell>
          <cell r="CE58"/>
          <cell r="CF58"/>
          <cell r="CG58"/>
          <cell r="CH58"/>
          <cell r="CI58"/>
          <cell r="CJ58"/>
          <cell r="CK58"/>
          <cell r="CL58" t="e">
            <v>#REF!</v>
          </cell>
          <cell r="CM58"/>
          <cell r="CN58"/>
          <cell r="CO58"/>
          <cell r="CP58"/>
          <cell r="CQ58">
            <v>0</v>
          </cell>
          <cell r="CR58"/>
          <cell r="CS58"/>
          <cell r="CT58" t="e">
            <v>#REF!</v>
          </cell>
          <cell r="CU58"/>
          <cell r="CV58"/>
          <cell r="CW58"/>
          <cell r="CX58"/>
          <cell r="CY58" t="str">
            <v>54</v>
          </cell>
        </row>
        <row r="59">
          <cell r="B59" t="str">
            <v>55</v>
          </cell>
          <cell r="C59">
            <v>0</v>
          </cell>
          <cell r="D59"/>
          <cell r="E59"/>
          <cell r="F59" t="e">
            <v>#REF!</v>
          </cell>
          <cell r="G59"/>
          <cell r="H59"/>
          <cell r="I59"/>
          <cell r="J59"/>
          <cell r="K59">
            <v>0</v>
          </cell>
          <cell r="L59"/>
          <cell r="M59"/>
          <cell r="N59"/>
          <cell r="O59"/>
          <cell r="P59"/>
          <cell r="Q59"/>
          <cell r="R59"/>
          <cell r="S59" t="e">
            <v>#REF!</v>
          </cell>
          <cell r="T59"/>
          <cell r="U59"/>
          <cell r="V59"/>
          <cell r="W59"/>
          <cell r="X59">
            <v>0</v>
          </cell>
          <cell r="Y59"/>
          <cell r="Z59"/>
          <cell r="AA59"/>
          <cell r="AB59"/>
          <cell r="AC59"/>
          <cell r="AD59"/>
          <cell r="AE59"/>
          <cell r="AF59" t="e">
            <v>#REF!</v>
          </cell>
          <cell r="AG59"/>
          <cell r="AH59"/>
          <cell r="AI59"/>
          <cell r="AJ59"/>
          <cell r="AK59">
            <v>0</v>
          </cell>
          <cell r="AL59"/>
          <cell r="AM59"/>
          <cell r="AN59" t="e">
            <v>#REF!</v>
          </cell>
          <cell r="AO59"/>
          <cell r="AP59"/>
          <cell r="AQ59"/>
          <cell r="AR59"/>
          <cell r="AS59">
            <v>4675</v>
          </cell>
          <cell r="AT59" t="str">
            <v>Parts &amp; Access. - Wholesale - Other Makes Veh.</v>
          </cell>
          <cell r="AU59"/>
          <cell r="AV59"/>
          <cell r="AW59"/>
          <cell r="AX59"/>
          <cell r="AY59"/>
          <cell r="AZ59"/>
          <cell r="BA59"/>
          <cell r="BB59"/>
          <cell r="BC59"/>
          <cell r="BD59"/>
          <cell r="BE59"/>
          <cell r="BF59"/>
          <cell r="BG59"/>
          <cell r="BH59"/>
          <cell r="BI59">
            <v>0</v>
          </cell>
          <cell r="BJ59"/>
          <cell r="BK59"/>
          <cell r="BL59" t="e">
            <v>#REF!</v>
          </cell>
          <cell r="BM59"/>
          <cell r="BN59"/>
          <cell r="BO59"/>
          <cell r="BP59"/>
          <cell r="BQ59">
            <v>0</v>
          </cell>
          <cell r="BR59"/>
          <cell r="BS59"/>
          <cell r="BT59"/>
          <cell r="BU59"/>
          <cell r="BV59"/>
          <cell r="BW59"/>
          <cell r="BX59"/>
          <cell r="BY59" t="e">
            <v>#REF!</v>
          </cell>
          <cell r="BZ59"/>
          <cell r="CA59"/>
          <cell r="CB59"/>
          <cell r="CC59"/>
          <cell r="CD59">
            <v>0</v>
          </cell>
          <cell r="CE59"/>
          <cell r="CF59"/>
          <cell r="CG59"/>
          <cell r="CH59"/>
          <cell r="CI59"/>
          <cell r="CJ59"/>
          <cell r="CK59"/>
          <cell r="CL59" t="e">
            <v>#REF!</v>
          </cell>
          <cell r="CM59"/>
          <cell r="CN59"/>
          <cell r="CO59"/>
          <cell r="CP59"/>
          <cell r="CQ59">
            <v>0</v>
          </cell>
          <cell r="CR59"/>
          <cell r="CS59"/>
          <cell r="CT59" t="e">
            <v>#REF!</v>
          </cell>
          <cell r="CU59"/>
          <cell r="CV59"/>
          <cell r="CW59"/>
          <cell r="CX59"/>
          <cell r="CY59" t="str">
            <v>55</v>
          </cell>
        </row>
        <row r="60">
          <cell r="B60" t="str">
            <v>56</v>
          </cell>
          <cell r="C60">
            <v>0</v>
          </cell>
          <cell r="D60"/>
          <cell r="E60"/>
          <cell r="F60" t="e">
            <v>#REF!</v>
          </cell>
          <cell r="G60"/>
          <cell r="H60"/>
          <cell r="I60"/>
          <cell r="J60"/>
          <cell r="K60">
            <v>0</v>
          </cell>
          <cell r="L60"/>
          <cell r="M60"/>
          <cell r="N60"/>
          <cell r="O60"/>
          <cell r="P60"/>
          <cell r="Q60"/>
          <cell r="R60"/>
          <cell r="S60" t="e">
            <v>#REF!</v>
          </cell>
          <cell r="T60"/>
          <cell r="U60"/>
          <cell r="V60"/>
          <cell r="W60"/>
          <cell r="X60">
            <v>0</v>
          </cell>
          <cell r="Y60"/>
          <cell r="Z60"/>
          <cell r="AA60"/>
          <cell r="AB60"/>
          <cell r="AC60"/>
          <cell r="AD60"/>
          <cell r="AE60"/>
          <cell r="AF60" t="e">
            <v>#REF!</v>
          </cell>
          <cell r="AG60"/>
          <cell r="AH60"/>
          <cell r="AI60"/>
          <cell r="AJ60"/>
          <cell r="AK60">
            <v>0</v>
          </cell>
          <cell r="AL60"/>
          <cell r="AM60"/>
          <cell r="AN60" t="e">
            <v>#REF!</v>
          </cell>
          <cell r="AO60"/>
          <cell r="AP60"/>
          <cell r="AQ60"/>
          <cell r="AR60"/>
          <cell r="AS60"/>
          <cell r="AT60" t="str">
            <v>SUBTOTAL - P &amp; A OTHER MAKES</v>
          </cell>
          <cell r="AU60"/>
          <cell r="AV60"/>
          <cell r="AW60"/>
          <cell r="AX60"/>
          <cell r="AY60"/>
          <cell r="AZ60"/>
          <cell r="BA60"/>
          <cell r="BB60"/>
          <cell r="BC60"/>
          <cell r="BD60"/>
          <cell r="BE60"/>
          <cell r="BF60"/>
          <cell r="BG60"/>
          <cell r="BH60" t="str">
            <v xml:space="preserve">(Lines 48 to 55) </v>
          </cell>
          <cell r="BI60">
            <v>0</v>
          </cell>
          <cell r="BJ60"/>
          <cell r="BK60"/>
          <cell r="BL60" t="e">
            <v>#REF!</v>
          </cell>
          <cell r="BM60"/>
          <cell r="BN60"/>
          <cell r="BO60"/>
          <cell r="BP60"/>
          <cell r="BQ60">
            <v>0</v>
          </cell>
          <cell r="BR60"/>
          <cell r="BS60"/>
          <cell r="BT60"/>
          <cell r="BU60"/>
          <cell r="BV60"/>
          <cell r="BW60"/>
          <cell r="BX60"/>
          <cell r="BY60" t="e">
            <v>#REF!</v>
          </cell>
          <cell r="BZ60"/>
          <cell r="CA60"/>
          <cell r="CB60"/>
          <cell r="CC60"/>
          <cell r="CD60">
            <v>0</v>
          </cell>
          <cell r="CE60"/>
          <cell r="CF60"/>
          <cell r="CG60"/>
          <cell r="CH60"/>
          <cell r="CI60"/>
          <cell r="CJ60"/>
          <cell r="CK60"/>
          <cell r="CL60" t="e">
            <v>#REF!</v>
          </cell>
          <cell r="CM60"/>
          <cell r="CN60"/>
          <cell r="CO60"/>
          <cell r="CP60"/>
          <cell r="CQ60">
            <v>0</v>
          </cell>
          <cell r="CR60"/>
          <cell r="CS60"/>
          <cell r="CT60" t="e">
            <v>#REF!</v>
          </cell>
          <cell r="CU60"/>
          <cell r="CV60"/>
          <cell r="CW60"/>
          <cell r="CX60"/>
          <cell r="CY60" t="str">
            <v>56</v>
          </cell>
        </row>
        <row r="61">
          <cell r="B61" t="str">
            <v>57</v>
          </cell>
          <cell r="C61"/>
          <cell r="D61"/>
          <cell r="E61"/>
          <cell r="F61" t="e">
            <v>#REF!</v>
          </cell>
          <cell r="G61"/>
          <cell r="H61"/>
          <cell r="I61"/>
          <cell r="J61"/>
          <cell r="K61">
            <v>0</v>
          </cell>
          <cell r="L61"/>
          <cell r="M61"/>
          <cell r="N61"/>
          <cell r="O61"/>
          <cell r="P61"/>
          <cell r="Q61"/>
          <cell r="R61"/>
          <cell r="S61" t="e">
            <v>#REF!</v>
          </cell>
          <cell r="T61"/>
          <cell r="U61"/>
          <cell r="V61"/>
          <cell r="W61"/>
          <cell r="X61">
            <v>0</v>
          </cell>
          <cell r="Y61"/>
          <cell r="Z61"/>
          <cell r="AA61"/>
          <cell r="AB61"/>
          <cell r="AC61"/>
          <cell r="AD61"/>
          <cell r="AE61"/>
          <cell r="AF61" t="e">
            <v>#REF!</v>
          </cell>
          <cell r="AG61"/>
          <cell r="AH61"/>
          <cell r="AI61"/>
          <cell r="AJ61"/>
          <cell r="AK61">
            <v>0</v>
          </cell>
          <cell r="AL61"/>
          <cell r="AM61"/>
          <cell r="AN61" t="e">
            <v>#REF!</v>
          </cell>
          <cell r="AO61"/>
          <cell r="AP61"/>
          <cell r="AQ61"/>
          <cell r="AR61"/>
          <cell r="AS61">
            <v>4680</v>
          </cell>
          <cell r="AT61" t="str">
            <v>Parts &amp; Access. - Miscellaneous</v>
          </cell>
          <cell r="AU61"/>
          <cell r="AV61"/>
          <cell r="AW61"/>
          <cell r="AX61"/>
          <cell r="AY61"/>
          <cell r="AZ61"/>
          <cell r="BA61"/>
          <cell r="BB61"/>
          <cell r="BC61"/>
          <cell r="BD61"/>
          <cell r="BE61"/>
          <cell r="BF61"/>
          <cell r="BG61"/>
          <cell r="BH61"/>
          <cell r="BI61"/>
          <cell r="BJ61"/>
          <cell r="BK61"/>
          <cell r="BL61" t="e">
            <v>#REF!</v>
          </cell>
          <cell r="BM61"/>
          <cell r="BN61"/>
          <cell r="BO61"/>
          <cell r="BP61"/>
          <cell r="BQ61">
            <v>0</v>
          </cell>
          <cell r="BR61"/>
          <cell r="BS61"/>
          <cell r="BT61"/>
          <cell r="BU61"/>
          <cell r="BV61"/>
          <cell r="BW61"/>
          <cell r="BX61"/>
          <cell r="BY61" t="e">
            <v>#REF!</v>
          </cell>
          <cell r="BZ61"/>
          <cell r="CA61"/>
          <cell r="CB61"/>
          <cell r="CC61"/>
          <cell r="CD61">
            <v>0</v>
          </cell>
          <cell r="CE61"/>
          <cell r="CF61"/>
          <cell r="CG61"/>
          <cell r="CH61"/>
          <cell r="CI61"/>
          <cell r="CJ61"/>
          <cell r="CK61"/>
          <cell r="CL61" t="e">
            <v>#REF!</v>
          </cell>
          <cell r="CM61"/>
          <cell r="CN61"/>
          <cell r="CO61"/>
          <cell r="CP61"/>
          <cell r="CQ61">
            <v>0</v>
          </cell>
          <cell r="CR61"/>
          <cell r="CS61"/>
          <cell r="CT61" t="e">
            <v>#REF!</v>
          </cell>
          <cell r="CU61"/>
          <cell r="CV61"/>
          <cell r="CW61"/>
          <cell r="CX61"/>
          <cell r="CY61" t="str">
            <v>57</v>
          </cell>
        </row>
        <row r="62">
          <cell r="B62" t="str">
            <v>58</v>
          </cell>
          <cell r="C62"/>
          <cell r="D62"/>
          <cell r="E62"/>
          <cell r="F62" t="e">
            <v>#REF!</v>
          </cell>
          <cell r="G62"/>
          <cell r="H62"/>
          <cell r="I62"/>
          <cell r="J62"/>
          <cell r="K62">
            <v>7430</v>
          </cell>
          <cell r="L62"/>
          <cell r="M62"/>
          <cell r="N62"/>
          <cell r="O62"/>
          <cell r="P62"/>
          <cell r="Q62"/>
          <cell r="R62"/>
          <cell r="S62" t="e">
            <v>#REF!</v>
          </cell>
          <cell r="T62"/>
          <cell r="U62"/>
          <cell r="V62"/>
          <cell r="W62"/>
          <cell r="X62">
            <v>2704</v>
          </cell>
          <cell r="Y62"/>
          <cell r="Z62"/>
          <cell r="AA62"/>
          <cell r="AB62"/>
          <cell r="AC62"/>
          <cell r="AD62"/>
          <cell r="AE62"/>
          <cell r="AF62" t="e">
            <v>#REF!</v>
          </cell>
          <cell r="AG62"/>
          <cell r="AH62"/>
          <cell r="AI62"/>
          <cell r="AJ62"/>
          <cell r="AK62">
            <v>36.4</v>
          </cell>
          <cell r="AL62"/>
          <cell r="AM62"/>
          <cell r="AN62" t="e">
            <v>#REF!</v>
          </cell>
          <cell r="AO62"/>
          <cell r="AP62"/>
          <cell r="AQ62"/>
          <cell r="AR62"/>
          <cell r="AS62">
            <v>4700</v>
          </cell>
          <cell r="AT62" t="str">
            <v>Gas, Oil, &amp; Grease</v>
          </cell>
          <cell r="AU62"/>
          <cell r="AV62"/>
          <cell r="AW62"/>
          <cell r="AX62"/>
          <cell r="AY62"/>
          <cell r="AZ62"/>
          <cell r="BA62"/>
          <cell r="BB62"/>
          <cell r="BC62"/>
          <cell r="BD62"/>
          <cell r="BE62"/>
          <cell r="BF62"/>
          <cell r="BG62"/>
          <cell r="BH62"/>
          <cell r="BI62"/>
          <cell r="BJ62"/>
          <cell r="BK62"/>
          <cell r="BL62" t="e">
            <v>#REF!</v>
          </cell>
          <cell r="BM62"/>
          <cell r="BN62"/>
          <cell r="BO62"/>
          <cell r="BP62"/>
          <cell r="BQ62">
            <v>129686</v>
          </cell>
          <cell r="BR62"/>
          <cell r="BS62"/>
          <cell r="BT62"/>
          <cell r="BU62"/>
          <cell r="BV62"/>
          <cell r="BW62"/>
          <cell r="BX62"/>
          <cell r="BY62" t="e">
            <v>#REF!</v>
          </cell>
          <cell r="BZ62"/>
          <cell r="CA62"/>
          <cell r="CB62"/>
          <cell r="CC62"/>
          <cell r="CD62">
            <v>41498</v>
          </cell>
          <cell r="CE62"/>
          <cell r="CF62"/>
          <cell r="CG62"/>
          <cell r="CH62"/>
          <cell r="CI62"/>
          <cell r="CJ62"/>
          <cell r="CK62"/>
          <cell r="CL62" t="e">
            <v>#REF!</v>
          </cell>
          <cell r="CM62"/>
          <cell r="CN62"/>
          <cell r="CO62"/>
          <cell r="CP62"/>
          <cell r="CQ62">
            <v>32</v>
          </cell>
          <cell r="CR62"/>
          <cell r="CS62"/>
          <cell r="CT62" t="e">
            <v>#REF!</v>
          </cell>
          <cell r="CU62"/>
          <cell r="CV62"/>
          <cell r="CW62"/>
          <cell r="CX62"/>
          <cell r="CY62" t="str">
            <v>58</v>
          </cell>
        </row>
        <row r="63">
          <cell r="B63" t="str">
            <v>59</v>
          </cell>
          <cell r="C63"/>
          <cell r="D63"/>
          <cell r="E63"/>
          <cell r="F63" t="e">
            <v>#REF!</v>
          </cell>
          <cell r="G63"/>
          <cell r="H63"/>
          <cell r="I63"/>
          <cell r="J63"/>
          <cell r="K63"/>
          <cell r="L63"/>
          <cell r="M63"/>
          <cell r="N63"/>
          <cell r="O63"/>
          <cell r="P63"/>
          <cell r="Q63"/>
          <cell r="R63"/>
          <cell r="S63" t="e">
            <v>#REF!</v>
          </cell>
          <cell r="T63"/>
          <cell r="U63"/>
          <cell r="V63"/>
          <cell r="W63"/>
          <cell r="X63">
            <v>0</v>
          </cell>
          <cell r="Y63"/>
          <cell r="Z63"/>
          <cell r="AA63"/>
          <cell r="AB63"/>
          <cell r="AC63"/>
          <cell r="AD63"/>
          <cell r="AE63"/>
          <cell r="AF63" t="e">
            <v>#REF!</v>
          </cell>
          <cell r="AG63"/>
          <cell r="AH63"/>
          <cell r="AI63"/>
          <cell r="AJ63"/>
          <cell r="AK63"/>
          <cell r="AL63"/>
          <cell r="AM63"/>
          <cell r="AN63" t="e">
            <v>#REF!</v>
          </cell>
          <cell r="AO63"/>
          <cell r="AP63"/>
          <cell r="AQ63"/>
          <cell r="AR63"/>
          <cell r="AS63">
            <v>6695</v>
          </cell>
          <cell r="AT63" t="str">
            <v>Purchase Discounts Taken</v>
          </cell>
          <cell r="AU63"/>
          <cell r="AV63"/>
          <cell r="AW63"/>
          <cell r="AX63"/>
          <cell r="AY63"/>
          <cell r="AZ63"/>
          <cell r="BA63"/>
          <cell r="BB63"/>
          <cell r="BC63"/>
          <cell r="BD63"/>
          <cell r="BE63"/>
          <cell r="BF63"/>
          <cell r="BG63"/>
          <cell r="BH63"/>
          <cell r="BI63"/>
          <cell r="BJ63"/>
          <cell r="BK63"/>
          <cell r="BL63" t="e">
            <v>#REF!</v>
          </cell>
          <cell r="BM63"/>
          <cell r="BN63"/>
          <cell r="BO63"/>
          <cell r="BP63"/>
          <cell r="BQ63"/>
          <cell r="BR63"/>
          <cell r="BS63"/>
          <cell r="BT63"/>
          <cell r="BU63"/>
          <cell r="BV63"/>
          <cell r="BW63"/>
          <cell r="BX63"/>
          <cell r="BY63" t="e">
            <v>#REF!</v>
          </cell>
          <cell r="BZ63"/>
          <cell r="CA63"/>
          <cell r="CB63"/>
          <cell r="CC63"/>
          <cell r="CD63">
            <v>0</v>
          </cell>
          <cell r="CE63"/>
          <cell r="CF63"/>
          <cell r="CG63"/>
          <cell r="CH63"/>
          <cell r="CI63"/>
          <cell r="CJ63"/>
          <cell r="CK63"/>
          <cell r="CL63" t="e">
            <v>#REF!</v>
          </cell>
          <cell r="CM63"/>
          <cell r="CN63"/>
          <cell r="CO63"/>
          <cell r="CP63"/>
          <cell r="CQ63"/>
          <cell r="CR63"/>
          <cell r="CS63"/>
          <cell r="CT63" t="e">
            <v>#REF!</v>
          </cell>
          <cell r="CU63"/>
          <cell r="CV63"/>
          <cell r="CW63"/>
          <cell r="CX63"/>
          <cell r="CY63" t="str">
            <v>59</v>
          </cell>
        </row>
        <row r="64">
          <cell r="B64" t="str">
            <v>60</v>
          </cell>
          <cell r="C64"/>
          <cell r="D64"/>
          <cell r="E64"/>
          <cell r="F64" t="e">
            <v>#REF!</v>
          </cell>
          <cell r="G64"/>
          <cell r="H64"/>
          <cell r="I64"/>
          <cell r="J64"/>
          <cell r="K64"/>
          <cell r="L64"/>
          <cell r="M64"/>
          <cell r="N64"/>
          <cell r="O64"/>
          <cell r="P64"/>
          <cell r="Q64"/>
          <cell r="R64"/>
          <cell r="S64" t="e">
            <v>#REF!</v>
          </cell>
          <cell r="T64"/>
          <cell r="U64"/>
          <cell r="V64"/>
          <cell r="W64"/>
          <cell r="X64">
            <v>2780</v>
          </cell>
          <cell r="Y64"/>
          <cell r="Z64"/>
          <cell r="AA64"/>
          <cell r="AB64"/>
          <cell r="AC64"/>
          <cell r="AD64"/>
          <cell r="AE64"/>
          <cell r="AF64" t="e">
            <v>#REF!</v>
          </cell>
          <cell r="AG64"/>
          <cell r="AH64"/>
          <cell r="AI64"/>
          <cell r="AJ64"/>
          <cell r="AK64"/>
          <cell r="AL64"/>
          <cell r="AM64"/>
          <cell r="AN64" t="e">
            <v>#REF!</v>
          </cell>
          <cell r="AO64"/>
          <cell r="AP64"/>
          <cell r="AQ64"/>
          <cell r="AR64"/>
          <cell r="AS64">
            <v>6690</v>
          </cell>
          <cell r="AT64" t="str">
            <v>Parts &amp; Accessories - Inventory Adjustment</v>
          </cell>
          <cell r="AU64"/>
          <cell r="AV64"/>
          <cell r="AW64"/>
          <cell r="AX64"/>
          <cell r="AY64"/>
          <cell r="AZ64"/>
          <cell r="BA64"/>
          <cell r="BB64"/>
          <cell r="BC64"/>
          <cell r="BD64"/>
          <cell r="BE64"/>
          <cell r="BF64"/>
          <cell r="BG64"/>
          <cell r="BH64"/>
          <cell r="BI64"/>
          <cell r="BJ64"/>
          <cell r="BK64"/>
          <cell r="BL64" t="e">
            <v>#REF!</v>
          </cell>
          <cell r="BM64"/>
          <cell r="BN64"/>
          <cell r="BO64"/>
          <cell r="BP64"/>
          <cell r="BQ64"/>
          <cell r="BR64"/>
          <cell r="BS64"/>
          <cell r="BT64"/>
          <cell r="BU64"/>
          <cell r="BV64"/>
          <cell r="BW64"/>
          <cell r="BX64"/>
          <cell r="BY64" t="e">
            <v>#REF!</v>
          </cell>
          <cell r="BZ64"/>
          <cell r="CA64"/>
          <cell r="CB64"/>
          <cell r="CC64"/>
          <cell r="CD64">
            <v>20746</v>
          </cell>
          <cell r="CE64"/>
          <cell r="CF64"/>
          <cell r="CG64"/>
          <cell r="CH64"/>
          <cell r="CI64"/>
          <cell r="CJ64"/>
          <cell r="CK64"/>
          <cell r="CL64" t="e">
            <v>#REF!</v>
          </cell>
          <cell r="CM64"/>
          <cell r="CN64"/>
          <cell r="CO64"/>
          <cell r="CP64"/>
          <cell r="CQ64"/>
          <cell r="CR64"/>
          <cell r="CS64"/>
          <cell r="CT64" t="e">
            <v>#REF!</v>
          </cell>
          <cell r="CU64"/>
          <cell r="CV64"/>
          <cell r="CW64"/>
          <cell r="CX64"/>
          <cell r="CY64" t="str">
            <v>60</v>
          </cell>
        </row>
        <row r="65">
          <cell r="B65" t="str">
            <v>61</v>
          </cell>
          <cell r="C65">
            <v>493</v>
          </cell>
          <cell r="D65"/>
          <cell r="E65"/>
          <cell r="F65" t="e">
            <v>#REF!</v>
          </cell>
          <cell r="G65"/>
          <cell r="H65"/>
          <cell r="I65"/>
          <cell r="J65"/>
          <cell r="K65">
            <v>259640</v>
          </cell>
          <cell r="L65"/>
          <cell r="M65"/>
          <cell r="N65"/>
          <cell r="O65"/>
          <cell r="P65"/>
          <cell r="Q65"/>
          <cell r="R65"/>
          <cell r="S65" t="e">
            <v>#REF!</v>
          </cell>
          <cell r="T65"/>
          <cell r="U65"/>
          <cell r="V65"/>
          <cell r="W65"/>
          <cell r="X65">
            <v>87613</v>
          </cell>
          <cell r="Y65"/>
          <cell r="Z65"/>
          <cell r="AA65"/>
          <cell r="AB65"/>
          <cell r="AC65"/>
          <cell r="AD65"/>
          <cell r="AE65"/>
          <cell r="AF65" t="e">
            <v>#REF!</v>
          </cell>
          <cell r="AG65"/>
          <cell r="AH65"/>
          <cell r="AI65"/>
          <cell r="AJ65"/>
          <cell r="AK65">
            <v>33.700000000000003</v>
          </cell>
          <cell r="AL65"/>
          <cell r="AM65"/>
          <cell r="AN65" t="e">
            <v>#REF!</v>
          </cell>
          <cell r="AO65"/>
          <cell r="AP65"/>
          <cell r="AQ65"/>
          <cell r="AR65"/>
          <cell r="AS65" t="str">
            <v>TT45</v>
          </cell>
          <cell r="AT65" t="str">
            <v>TOTAL - P &amp; A DEPT.</v>
          </cell>
          <cell r="AU65"/>
          <cell r="AV65"/>
          <cell r="AW65"/>
          <cell r="AX65"/>
          <cell r="AY65"/>
          <cell r="AZ65"/>
          <cell r="BA65"/>
          <cell r="BB65"/>
          <cell r="BC65"/>
          <cell r="BD65"/>
          <cell r="BE65"/>
          <cell r="BF65"/>
          <cell r="BG65"/>
          <cell r="BH65" t="str">
            <v>(Lines 29, 35, 47, 56 to 60)</v>
          </cell>
          <cell r="BI65">
            <v>5364</v>
          </cell>
          <cell r="BJ65"/>
          <cell r="BK65"/>
          <cell r="BL65" t="e">
            <v>#REF!</v>
          </cell>
          <cell r="BM65"/>
          <cell r="BN65"/>
          <cell r="BO65"/>
          <cell r="BP65"/>
          <cell r="BQ65">
            <v>2735487</v>
          </cell>
          <cell r="BR65"/>
          <cell r="BS65"/>
          <cell r="BT65"/>
          <cell r="BU65"/>
          <cell r="BV65"/>
          <cell r="BW65"/>
          <cell r="BX65"/>
          <cell r="BY65" t="e">
            <v>#REF!</v>
          </cell>
          <cell r="BZ65"/>
          <cell r="CA65"/>
          <cell r="CB65"/>
          <cell r="CC65"/>
          <cell r="CD65">
            <v>924077</v>
          </cell>
          <cell r="CE65"/>
          <cell r="CF65"/>
          <cell r="CG65"/>
          <cell r="CH65"/>
          <cell r="CI65"/>
          <cell r="CJ65"/>
          <cell r="CK65"/>
          <cell r="CL65" t="e">
            <v>#REF!</v>
          </cell>
          <cell r="CM65"/>
          <cell r="CN65"/>
          <cell r="CO65"/>
          <cell r="CP65"/>
          <cell r="CQ65">
            <v>33.799999999999997</v>
          </cell>
          <cell r="CR65"/>
          <cell r="CS65"/>
          <cell r="CT65" t="e">
            <v>#REF!</v>
          </cell>
          <cell r="CU65"/>
          <cell r="CV65"/>
          <cell r="CW65"/>
          <cell r="CX65"/>
          <cell r="CY65" t="str">
            <v>61</v>
          </cell>
        </row>
        <row r="66">
          <cell r="B66" t="str">
            <v>62</v>
          </cell>
          <cell r="C66" t="str">
            <v># RO's</v>
          </cell>
          <cell r="D66"/>
          <cell r="E66"/>
          <cell r="F66" t="e">
            <v>#REF!</v>
          </cell>
          <cell r="G66"/>
          <cell r="H66"/>
          <cell r="I66"/>
          <cell r="J66"/>
          <cell r="K66"/>
          <cell r="L66"/>
          <cell r="M66"/>
          <cell r="N66"/>
          <cell r="O66"/>
          <cell r="P66"/>
          <cell r="Q66"/>
          <cell r="R66"/>
          <cell r="S66" t="e">
            <v>#REF!</v>
          </cell>
          <cell r="T66"/>
          <cell r="U66"/>
          <cell r="V66"/>
          <cell r="W66"/>
          <cell r="X66"/>
          <cell r="Y66"/>
          <cell r="Z66"/>
          <cell r="AA66"/>
          <cell r="AB66"/>
          <cell r="AC66"/>
          <cell r="AD66"/>
          <cell r="AE66"/>
          <cell r="AF66" t="e">
            <v>#REF!</v>
          </cell>
          <cell r="AG66"/>
          <cell r="AH66"/>
          <cell r="AI66"/>
          <cell r="AJ66"/>
          <cell r="AK66"/>
          <cell r="AL66"/>
          <cell r="AM66"/>
          <cell r="AN66" t="e">
            <v>#REF!</v>
          </cell>
          <cell r="AO66"/>
          <cell r="AP66"/>
          <cell r="AQ66"/>
          <cell r="AR66"/>
          <cell r="AS66"/>
          <cell r="AT66" t="str">
            <v>BODY SHOP DEPARTMENT (E)</v>
          </cell>
          <cell r="AU66"/>
          <cell r="AV66"/>
          <cell r="AW66"/>
          <cell r="AX66"/>
          <cell r="AY66"/>
          <cell r="AZ66"/>
          <cell r="BA66"/>
          <cell r="BB66"/>
          <cell r="BC66"/>
          <cell r="BD66"/>
          <cell r="BE66"/>
          <cell r="BF66"/>
          <cell r="BG66"/>
          <cell r="BH66"/>
          <cell r="BI66" t="str">
            <v># RO's</v>
          </cell>
          <cell r="BJ66"/>
          <cell r="BK66"/>
          <cell r="BL66" t="e">
            <v>#REF!</v>
          </cell>
          <cell r="BM66"/>
          <cell r="BN66"/>
          <cell r="BO66"/>
          <cell r="BP66"/>
          <cell r="BQ66"/>
          <cell r="BR66"/>
          <cell r="BS66"/>
          <cell r="BT66"/>
          <cell r="BU66"/>
          <cell r="BV66"/>
          <cell r="BW66"/>
          <cell r="BX66"/>
          <cell r="BY66" t="e">
            <v>#REF!</v>
          </cell>
          <cell r="BZ66"/>
          <cell r="CA66"/>
          <cell r="CB66"/>
          <cell r="CC66"/>
          <cell r="CD66"/>
          <cell r="CE66"/>
          <cell r="CF66"/>
          <cell r="CG66"/>
          <cell r="CH66"/>
          <cell r="CI66"/>
          <cell r="CJ66"/>
          <cell r="CK66"/>
          <cell r="CL66" t="e">
            <v>#REF!</v>
          </cell>
          <cell r="CM66"/>
          <cell r="CN66"/>
          <cell r="CO66"/>
          <cell r="CP66"/>
          <cell r="CQ66"/>
          <cell r="CR66"/>
          <cell r="CS66"/>
          <cell r="CT66" t="e">
            <v>#REF!</v>
          </cell>
          <cell r="CU66"/>
          <cell r="CV66"/>
          <cell r="CW66"/>
          <cell r="CX66"/>
          <cell r="CY66" t="str">
            <v>62</v>
          </cell>
        </row>
        <row r="67">
          <cell r="B67" t="str">
            <v>63</v>
          </cell>
          <cell r="C67">
            <v>0</v>
          </cell>
          <cell r="D67"/>
          <cell r="E67"/>
          <cell r="F67" t="e">
            <v>#REF!</v>
          </cell>
          <cell r="G67"/>
          <cell r="H67"/>
          <cell r="I67"/>
          <cell r="J67"/>
          <cell r="K67">
            <v>0</v>
          </cell>
          <cell r="L67"/>
          <cell r="M67"/>
          <cell r="N67"/>
          <cell r="O67"/>
          <cell r="P67"/>
          <cell r="Q67"/>
          <cell r="R67"/>
          <cell r="S67" t="e">
            <v>#REF!</v>
          </cell>
          <cell r="T67"/>
          <cell r="U67"/>
          <cell r="V67"/>
          <cell r="W67"/>
          <cell r="X67">
            <v>0</v>
          </cell>
          <cell r="Y67"/>
          <cell r="Z67"/>
          <cell r="AA67"/>
          <cell r="AB67"/>
          <cell r="AC67"/>
          <cell r="AD67"/>
          <cell r="AE67"/>
          <cell r="AF67" t="e">
            <v>#REF!</v>
          </cell>
          <cell r="AG67"/>
          <cell r="AH67"/>
          <cell r="AI67"/>
          <cell r="AJ67"/>
          <cell r="AK67">
            <v>0</v>
          </cell>
          <cell r="AL67"/>
          <cell r="AM67"/>
          <cell r="AN67" t="e">
            <v>#REF!</v>
          </cell>
          <cell r="AO67"/>
          <cell r="AP67"/>
          <cell r="AQ67"/>
          <cell r="AR67"/>
          <cell r="AS67">
            <v>4900</v>
          </cell>
          <cell r="AT67" t="str">
            <v>Customer Body Shop Labor - Vehicles</v>
          </cell>
          <cell r="AU67"/>
          <cell r="AV67"/>
          <cell r="AW67"/>
          <cell r="AX67"/>
          <cell r="AY67"/>
          <cell r="AZ67"/>
          <cell r="BA67"/>
          <cell r="BB67"/>
          <cell r="BC67"/>
          <cell r="BD67"/>
          <cell r="BE67"/>
          <cell r="BF67"/>
          <cell r="BG67"/>
          <cell r="BH67"/>
          <cell r="BI67">
            <v>0</v>
          </cell>
          <cell r="BJ67"/>
          <cell r="BK67"/>
          <cell r="BL67" t="e">
            <v>#REF!</v>
          </cell>
          <cell r="BM67"/>
          <cell r="BN67"/>
          <cell r="BO67"/>
          <cell r="BP67"/>
          <cell r="BQ67">
            <v>0</v>
          </cell>
          <cell r="BR67"/>
          <cell r="BS67"/>
          <cell r="BT67"/>
          <cell r="BU67"/>
          <cell r="BV67"/>
          <cell r="BW67"/>
          <cell r="BX67"/>
          <cell r="BY67" t="e">
            <v>#REF!</v>
          </cell>
          <cell r="BZ67"/>
          <cell r="CA67"/>
          <cell r="CB67"/>
          <cell r="CC67"/>
          <cell r="CD67">
            <v>0</v>
          </cell>
          <cell r="CE67"/>
          <cell r="CF67"/>
          <cell r="CG67"/>
          <cell r="CH67"/>
          <cell r="CI67"/>
          <cell r="CJ67"/>
          <cell r="CK67"/>
          <cell r="CL67" t="e">
            <v>#REF!</v>
          </cell>
          <cell r="CM67"/>
          <cell r="CN67"/>
          <cell r="CO67"/>
          <cell r="CP67"/>
          <cell r="CQ67">
            <v>0</v>
          </cell>
          <cell r="CR67"/>
          <cell r="CS67"/>
          <cell r="CT67" t="e">
            <v>#REF!</v>
          </cell>
          <cell r="CU67"/>
          <cell r="CV67"/>
          <cell r="CW67"/>
          <cell r="CX67"/>
          <cell r="CY67" t="str">
            <v>63</v>
          </cell>
        </row>
        <row r="68">
          <cell r="B68" t="str">
            <v>64</v>
          </cell>
          <cell r="C68">
            <v>0</v>
          </cell>
          <cell r="D68"/>
          <cell r="E68"/>
          <cell r="F68" t="e">
            <v>#REF!</v>
          </cell>
          <cell r="G68"/>
          <cell r="H68"/>
          <cell r="I68"/>
          <cell r="J68"/>
          <cell r="K68">
            <v>0</v>
          </cell>
          <cell r="L68"/>
          <cell r="M68"/>
          <cell r="N68"/>
          <cell r="O68"/>
          <cell r="P68"/>
          <cell r="Q68"/>
          <cell r="R68"/>
          <cell r="S68" t="e">
            <v>#REF!</v>
          </cell>
          <cell r="T68"/>
          <cell r="U68"/>
          <cell r="V68"/>
          <cell r="W68"/>
          <cell r="X68">
            <v>0</v>
          </cell>
          <cell r="Y68"/>
          <cell r="Z68"/>
          <cell r="AA68"/>
          <cell r="AB68"/>
          <cell r="AC68"/>
          <cell r="AD68"/>
          <cell r="AE68"/>
          <cell r="AF68" t="e">
            <v>#REF!</v>
          </cell>
          <cell r="AG68"/>
          <cell r="AH68"/>
          <cell r="AI68"/>
          <cell r="AJ68"/>
          <cell r="AK68">
            <v>0</v>
          </cell>
          <cell r="AL68"/>
          <cell r="AM68"/>
          <cell r="AN68" t="e">
            <v>#REF!</v>
          </cell>
          <cell r="AO68"/>
          <cell r="AP68"/>
          <cell r="AQ68"/>
          <cell r="AR68"/>
          <cell r="AS68">
            <v>4940</v>
          </cell>
          <cell r="AT68" t="str">
            <v>Warranty Claims Body Shop Labor</v>
          </cell>
          <cell r="AU68"/>
          <cell r="AV68"/>
          <cell r="AW68"/>
          <cell r="AX68"/>
          <cell r="AY68"/>
          <cell r="AZ68"/>
          <cell r="BA68"/>
          <cell r="BB68"/>
          <cell r="BC68"/>
          <cell r="BD68"/>
          <cell r="BE68"/>
          <cell r="BF68"/>
          <cell r="BG68"/>
          <cell r="BH68"/>
          <cell r="BI68">
            <v>0</v>
          </cell>
          <cell r="BJ68"/>
          <cell r="BK68"/>
          <cell r="BL68" t="e">
            <v>#REF!</v>
          </cell>
          <cell r="BM68"/>
          <cell r="BN68"/>
          <cell r="BO68"/>
          <cell r="BP68"/>
          <cell r="BQ68">
            <v>0</v>
          </cell>
          <cell r="BR68"/>
          <cell r="BS68"/>
          <cell r="BT68"/>
          <cell r="BU68"/>
          <cell r="BV68"/>
          <cell r="BW68"/>
          <cell r="BX68"/>
          <cell r="BY68" t="e">
            <v>#REF!</v>
          </cell>
          <cell r="BZ68"/>
          <cell r="CA68"/>
          <cell r="CB68"/>
          <cell r="CC68"/>
          <cell r="CD68">
            <v>0</v>
          </cell>
          <cell r="CE68"/>
          <cell r="CF68"/>
          <cell r="CG68"/>
          <cell r="CH68"/>
          <cell r="CI68"/>
          <cell r="CJ68"/>
          <cell r="CK68"/>
          <cell r="CL68" t="e">
            <v>#REF!</v>
          </cell>
          <cell r="CM68"/>
          <cell r="CN68"/>
          <cell r="CO68"/>
          <cell r="CP68"/>
          <cell r="CQ68">
            <v>0</v>
          </cell>
          <cell r="CR68"/>
          <cell r="CS68"/>
          <cell r="CT68" t="e">
            <v>#REF!</v>
          </cell>
          <cell r="CU68"/>
          <cell r="CV68"/>
          <cell r="CW68"/>
          <cell r="CX68"/>
          <cell r="CY68" t="str">
            <v>64</v>
          </cell>
        </row>
        <row r="69">
          <cell r="B69" t="str">
            <v>65</v>
          </cell>
          <cell r="C69">
            <v>0</v>
          </cell>
          <cell r="D69"/>
          <cell r="E69"/>
          <cell r="F69" t="e">
            <v>#REF!</v>
          </cell>
          <cell r="G69"/>
          <cell r="H69"/>
          <cell r="I69"/>
          <cell r="J69"/>
          <cell r="K69">
            <v>0</v>
          </cell>
          <cell r="L69"/>
          <cell r="M69"/>
          <cell r="N69"/>
          <cell r="O69"/>
          <cell r="P69"/>
          <cell r="Q69"/>
          <cell r="R69"/>
          <cell r="S69" t="e">
            <v>#REF!</v>
          </cell>
          <cell r="T69"/>
          <cell r="U69"/>
          <cell r="V69"/>
          <cell r="W69"/>
          <cell r="X69">
            <v>0</v>
          </cell>
          <cell r="Y69"/>
          <cell r="Z69"/>
          <cell r="AA69"/>
          <cell r="AB69"/>
          <cell r="AC69"/>
          <cell r="AD69"/>
          <cell r="AE69"/>
          <cell r="AF69" t="e">
            <v>#REF!</v>
          </cell>
          <cell r="AG69"/>
          <cell r="AH69"/>
          <cell r="AI69"/>
          <cell r="AJ69"/>
          <cell r="AK69">
            <v>0</v>
          </cell>
          <cell r="AL69"/>
          <cell r="AM69"/>
          <cell r="AN69" t="e">
            <v>#REF!</v>
          </cell>
          <cell r="AO69"/>
          <cell r="AP69"/>
          <cell r="AQ69"/>
          <cell r="AR69"/>
          <cell r="AS69">
            <v>4950</v>
          </cell>
          <cell r="AT69" t="str">
            <v>Internal Body Shop Labor</v>
          </cell>
          <cell r="AU69"/>
          <cell r="AV69"/>
          <cell r="AW69"/>
          <cell r="AX69"/>
          <cell r="AY69"/>
          <cell r="AZ69"/>
          <cell r="BA69"/>
          <cell r="BB69"/>
          <cell r="BC69"/>
          <cell r="BD69"/>
          <cell r="BE69"/>
          <cell r="BF69"/>
          <cell r="BG69"/>
          <cell r="BH69"/>
          <cell r="BI69">
            <v>0</v>
          </cell>
          <cell r="BJ69"/>
          <cell r="BK69"/>
          <cell r="BL69" t="e">
            <v>#REF!</v>
          </cell>
          <cell r="BM69"/>
          <cell r="BN69"/>
          <cell r="BO69"/>
          <cell r="BP69"/>
          <cell r="BQ69">
            <v>0</v>
          </cell>
          <cell r="BR69"/>
          <cell r="BS69"/>
          <cell r="BT69"/>
          <cell r="BU69"/>
          <cell r="BV69"/>
          <cell r="BW69"/>
          <cell r="BX69"/>
          <cell r="BY69" t="e">
            <v>#REF!</v>
          </cell>
          <cell r="BZ69"/>
          <cell r="CA69"/>
          <cell r="CB69"/>
          <cell r="CC69"/>
          <cell r="CD69">
            <v>0</v>
          </cell>
          <cell r="CE69"/>
          <cell r="CF69"/>
          <cell r="CG69"/>
          <cell r="CH69"/>
          <cell r="CI69"/>
          <cell r="CJ69"/>
          <cell r="CK69"/>
          <cell r="CL69" t="e">
            <v>#REF!</v>
          </cell>
          <cell r="CM69"/>
          <cell r="CN69"/>
          <cell r="CO69"/>
          <cell r="CP69"/>
          <cell r="CQ69">
            <v>0</v>
          </cell>
          <cell r="CR69"/>
          <cell r="CS69"/>
          <cell r="CT69" t="e">
            <v>#REF!</v>
          </cell>
          <cell r="CU69"/>
          <cell r="CV69"/>
          <cell r="CW69"/>
          <cell r="CX69"/>
          <cell r="CY69" t="str">
            <v>65</v>
          </cell>
        </row>
        <row r="70">
          <cell r="B70" t="str">
            <v>66</v>
          </cell>
          <cell r="C70"/>
          <cell r="D70"/>
          <cell r="E70"/>
          <cell r="F70" t="e">
            <v>#REF!</v>
          </cell>
          <cell r="G70"/>
          <cell r="H70"/>
          <cell r="I70"/>
          <cell r="J70"/>
          <cell r="K70">
            <v>0</v>
          </cell>
          <cell r="L70"/>
          <cell r="M70"/>
          <cell r="N70"/>
          <cell r="O70"/>
          <cell r="P70"/>
          <cell r="Q70"/>
          <cell r="R70"/>
          <cell r="S70" t="e">
            <v>#REF!</v>
          </cell>
          <cell r="T70"/>
          <cell r="U70"/>
          <cell r="V70"/>
          <cell r="W70"/>
          <cell r="X70">
            <v>0</v>
          </cell>
          <cell r="Y70"/>
          <cell r="Z70"/>
          <cell r="AA70"/>
          <cell r="AB70"/>
          <cell r="AC70"/>
          <cell r="AD70"/>
          <cell r="AE70"/>
          <cell r="AF70" t="e">
            <v>#REF!</v>
          </cell>
          <cell r="AG70"/>
          <cell r="AH70"/>
          <cell r="AI70"/>
          <cell r="AJ70"/>
          <cell r="AK70">
            <v>0</v>
          </cell>
          <cell r="AL70"/>
          <cell r="AM70"/>
          <cell r="AN70" t="e">
            <v>#REF!</v>
          </cell>
          <cell r="AO70"/>
          <cell r="AP70"/>
          <cell r="AQ70"/>
          <cell r="AR70"/>
          <cell r="AS70">
            <v>4960</v>
          </cell>
          <cell r="AT70" t="str">
            <v>Sublet Repairs Body Shop</v>
          </cell>
          <cell r="AU70"/>
          <cell r="AV70"/>
          <cell r="AW70"/>
          <cell r="AX70"/>
          <cell r="AY70"/>
          <cell r="AZ70"/>
          <cell r="BA70"/>
          <cell r="BB70"/>
          <cell r="BC70"/>
          <cell r="BD70"/>
          <cell r="BE70"/>
          <cell r="BF70"/>
          <cell r="BG70"/>
          <cell r="BH70"/>
          <cell r="BI70"/>
          <cell r="BJ70"/>
          <cell r="BK70"/>
          <cell r="BL70" t="e">
            <v>#REF!</v>
          </cell>
          <cell r="BM70"/>
          <cell r="BN70"/>
          <cell r="BO70"/>
          <cell r="BP70"/>
          <cell r="BQ70">
            <v>0</v>
          </cell>
          <cell r="BR70"/>
          <cell r="BS70"/>
          <cell r="BT70"/>
          <cell r="BU70"/>
          <cell r="BV70"/>
          <cell r="BW70"/>
          <cell r="BX70"/>
          <cell r="BY70" t="e">
            <v>#REF!</v>
          </cell>
          <cell r="BZ70"/>
          <cell r="CA70"/>
          <cell r="CB70"/>
          <cell r="CC70"/>
          <cell r="CD70">
            <v>0</v>
          </cell>
          <cell r="CE70"/>
          <cell r="CF70"/>
          <cell r="CG70"/>
          <cell r="CH70"/>
          <cell r="CI70"/>
          <cell r="CJ70"/>
          <cell r="CK70"/>
          <cell r="CL70" t="e">
            <v>#REF!</v>
          </cell>
          <cell r="CM70"/>
          <cell r="CN70"/>
          <cell r="CO70"/>
          <cell r="CP70"/>
          <cell r="CQ70">
            <v>0</v>
          </cell>
          <cell r="CR70"/>
          <cell r="CS70"/>
          <cell r="CT70" t="e">
            <v>#REF!</v>
          </cell>
          <cell r="CU70"/>
          <cell r="CV70"/>
          <cell r="CW70"/>
          <cell r="CX70"/>
          <cell r="CY70" t="str">
            <v>66</v>
          </cell>
        </row>
        <row r="71">
          <cell r="B71" t="str">
            <v>67</v>
          </cell>
          <cell r="C71"/>
          <cell r="D71"/>
          <cell r="E71"/>
          <cell r="F71" t="e">
            <v>#REF!</v>
          </cell>
          <cell r="G71"/>
          <cell r="H71"/>
          <cell r="I71"/>
          <cell r="J71"/>
          <cell r="K71">
            <v>0</v>
          </cell>
          <cell r="L71"/>
          <cell r="M71"/>
          <cell r="N71"/>
          <cell r="O71"/>
          <cell r="P71"/>
          <cell r="Q71"/>
          <cell r="R71"/>
          <cell r="S71" t="e">
            <v>#REF!</v>
          </cell>
          <cell r="T71"/>
          <cell r="U71"/>
          <cell r="V71"/>
          <cell r="W71"/>
          <cell r="X71">
            <v>0</v>
          </cell>
          <cell r="Y71"/>
          <cell r="Z71"/>
          <cell r="AA71"/>
          <cell r="AB71"/>
          <cell r="AC71"/>
          <cell r="AD71"/>
          <cell r="AE71"/>
          <cell r="AF71" t="e">
            <v>#REF!</v>
          </cell>
          <cell r="AG71"/>
          <cell r="AH71"/>
          <cell r="AI71"/>
          <cell r="AJ71"/>
          <cell r="AK71">
            <v>0</v>
          </cell>
          <cell r="AL71"/>
          <cell r="AM71"/>
          <cell r="AN71" t="e">
            <v>#REF!</v>
          </cell>
          <cell r="AO71"/>
          <cell r="AP71"/>
          <cell r="AQ71"/>
          <cell r="AR71"/>
          <cell r="AS71">
            <v>4970</v>
          </cell>
          <cell r="AT71" t="str">
            <v>Body Shop Materials</v>
          </cell>
          <cell r="AU71"/>
          <cell r="AV71"/>
          <cell r="AW71"/>
          <cell r="AX71"/>
          <cell r="AY71"/>
          <cell r="AZ71"/>
          <cell r="BA71"/>
          <cell r="BB71"/>
          <cell r="BC71"/>
          <cell r="BD71"/>
          <cell r="BE71"/>
          <cell r="BF71"/>
          <cell r="BG71"/>
          <cell r="BH71"/>
          <cell r="BI71"/>
          <cell r="BJ71"/>
          <cell r="BK71"/>
          <cell r="BL71" t="e">
            <v>#REF!</v>
          </cell>
          <cell r="BM71"/>
          <cell r="BN71"/>
          <cell r="BO71"/>
          <cell r="BP71"/>
          <cell r="BQ71">
            <v>0</v>
          </cell>
          <cell r="BR71"/>
          <cell r="BS71"/>
          <cell r="BT71"/>
          <cell r="BU71"/>
          <cell r="BV71"/>
          <cell r="BW71"/>
          <cell r="BX71"/>
          <cell r="BY71" t="e">
            <v>#REF!</v>
          </cell>
          <cell r="BZ71"/>
          <cell r="CA71"/>
          <cell r="CB71"/>
          <cell r="CC71"/>
          <cell r="CD71">
            <v>0</v>
          </cell>
          <cell r="CE71"/>
          <cell r="CF71"/>
          <cell r="CG71"/>
          <cell r="CH71"/>
          <cell r="CI71"/>
          <cell r="CJ71"/>
          <cell r="CK71"/>
          <cell r="CL71" t="e">
            <v>#REF!</v>
          </cell>
          <cell r="CM71"/>
          <cell r="CN71"/>
          <cell r="CO71"/>
          <cell r="CP71"/>
          <cell r="CQ71">
            <v>0</v>
          </cell>
          <cell r="CR71"/>
          <cell r="CS71"/>
          <cell r="CT71" t="e">
            <v>#REF!</v>
          </cell>
          <cell r="CU71"/>
          <cell r="CV71"/>
          <cell r="CW71"/>
          <cell r="CX71"/>
          <cell r="CY71" t="str">
            <v>67</v>
          </cell>
        </row>
        <row r="72">
          <cell r="B72" t="str">
            <v>68</v>
          </cell>
          <cell r="C72"/>
          <cell r="D72"/>
          <cell r="E72"/>
          <cell r="F72" t="e">
            <v>#REF!</v>
          </cell>
          <cell r="G72"/>
          <cell r="H72"/>
          <cell r="I72"/>
          <cell r="J72"/>
          <cell r="K72">
            <v>0</v>
          </cell>
          <cell r="L72"/>
          <cell r="M72"/>
          <cell r="N72"/>
          <cell r="O72"/>
          <cell r="P72"/>
          <cell r="Q72"/>
          <cell r="R72"/>
          <cell r="S72" t="e">
            <v>#REF!</v>
          </cell>
          <cell r="T72"/>
          <cell r="U72"/>
          <cell r="V72"/>
          <cell r="W72"/>
          <cell r="X72">
            <v>0</v>
          </cell>
          <cell r="Y72"/>
          <cell r="Z72"/>
          <cell r="AA72"/>
          <cell r="AB72"/>
          <cell r="AC72"/>
          <cell r="AD72"/>
          <cell r="AE72"/>
          <cell r="AF72" t="e">
            <v>#REF!</v>
          </cell>
          <cell r="AG72"/>
          <cell r="AH72"/>
          <cell r="AI72"/>
          <cell r="AJ72"/>
          <cell r="AK72">
            <v>0</v>
          </cell>
          <cell r="AL72"/>
          <cell r="AM72"/>
          <cell r="AN72" t="e">
            <v>#REF!</v>
          </cell>
          <cell r="AO72"/>
          <cell r="AP72"/>
          <cell r="AQ72"/>
          <cell r="AR72"/>
          <cell r="AS72">
            <v>4980</v>
          </cell>
          <cell r="AT72" t="str">
            <v>Miscellaneous Body Shop</v>
          </cell>
          <cell r="AU72"/>
          <cell r="AV72"/>
          <cell r="AW72"/>
          <cell r="AX72"/>
          <cell r="AY72"/>
          <cell r="AZ72"/>
          <cell r="BA72"/>
          <cell r="BB72"/>
          <cell r="BC72"/>
          <cell r="BD72"/>
          <cell r="BE72"/>
          <cell r="BF72"/>
          <cell r="BG72"/>
          <cell r="BH72"/>
          <cell r="BI72"/>
          <cell r="BJ72"/>
          <cell r="BK72"/>
          <cell r="BL72" t="e">
            <v>#REF!</v>
          </cell>
          <cell r="BM72"/>
          <cell r="BN72"/>
          <cell r="BO72"/>
          <cell r="BP72"/>
          <cell r="BQ72">
            <v>0</v>
          </cell>
          <cell r="BR72"/>
          <cell r="BS72"/>
          <cell r="BT72"/>
          <cell r="BU72"/>
          <cell r="BV72"/>
          <cell r="BW72"/>
          <cell r="BX72"/>
          <cell r="BY72" t="e">
            <v>#REF!</v>
          </cell>
          <cell r="BZ72"/>
          <cell r="CA72"/>
          <cell r="CB72"/>
          <cell r="CC72"/>
          <cell r="CD72">
            <v>0</v>
          </cell>
          <cell r="CE72"/>
          <cell r="CF72"/>
          <cell r="CG72"/>
          <cell r="CH72"/>
          <cell r="CI72"/>
          <cell r="CJ72"/>
          <cell r="CK72"/>
          <cell r="CL72" t="e">
            <v>#REF!</v>
          </cell>
          <cell r="CM72"/>
          <cell r="CN72"/>
          <cell r="CO72"/>
          <cell r="CP72"/>
          <cell r="CQ72">
            <v>0</v>
          </cell>
          <cell r="CR72"/>
          <cell r="CS72"/>
          <cell r="CT72" t="e">
            <v>#REF!</v>
          </cell>
          <cell r="CU72"/>
          <cell r="CV72"/>
          <cell r="CW72"/>
          <cell r="CX72"/>
          <cell r="CY72" t="str">
            <v>68</v>
          </cell>
        </row>
        <row r="73">
          <cell r="B73" t="str">
            <v>69</v>
          </cell>
          <cell r="C73"/>
          <cell r="D73"/>
          <cell r="E73"/>
          <cell r="F73" t="e">
            <v>#REF!</v>
          </cell>
          <cell r="G73"/>
          <cell r="H73"/>
          <cell r="I73"/>
          <cell r="J73"/>
          <cell r="K73"/>
          <cell r="L73"/>
          <cell r="M73"/>
          <cell r="N73"/>
          <cell r="O73"/>
          <cell r="P73"/>
          <cell r="Q73"/>
          <cell r="R73"/>
          <cell r="S73" t="e">
            <v>#REF!</v>
          </cell>
          <cell r="T73"/>
          <cell r="U73"/>
          <cell r="V73"/>
          <cell r="W73"/>
          <cell r="X73">
            <v>0</v>
          </cell>
          <cell r="Y73"/>
          <cell r="Z73"/>
          <cell r="AA73"/>
          <cell r="AB73"/>
          <cell r="AC73"/>
          <cell r="AD73"/>
          <cell r="AE73"/>
          <cell r="AF73" t="e">
            <v>#REF!</v>
          </cell>
          <cell r="AG73"/>
          <cell r="AH73"/>
          <cell r="AI73"/>
          <cell r="AJ73"/>
          <cell r="AK73"/>
          <cell r="AL73"/>
          <cell r="AM73"/>
          <cell r="AN73" t="e">
            <v>#REF!</v>
          </cell>
          <cell r="AO73"/>
          <cell r="AP73"/>
          <cell r="AQ73"/>
          <cell r="AR73"/>
          <cell r="AS73">
            <v>6990</v>
          </cell>
          <cell r="AT73" t="str">
            <v>Adj. Cost of Labor Sales - Body Shop</v>
          </cell>
          <cell r="AU73"/>
          <cell r="AV73"/>
          <cell r="AW73"/>
          <cell r="AX73"/>
          <cell r="AY73"/>
          <cell r="AZ73"/>
          <cell r="BA73"/>
          <cell r="BB73"/>
          <cell r="BC73"/>
          <cell r="BD73"/>
          <cell r="BE73"/>
          <cell r="BF73"/>
          <cell r="BG73"/>
          <cell r="BH73"/>
          <cell r="BI73"/>
          <cell r="BJ73"/>
          <cell r="BK73"/>
          <cell r="BL73" t="e">
            <v>#REF!</v>
          </cell>
          <cell r="BM73"/>
          <cell r="BN73"/>
          <cell r="BO73"/>
          <cell r="BP73"/>
          <cell r="BQ73"/>
          <cell r="BR73"/>
          <cell r="BS73"/>
          <cell r="BT73"/>
          <cell r="BU73"/>
          <cell r="BV73"/>
          <cell r="BW73"/>
          <cell r="BX73"/>
          <cell r="BY73" t="e">
            <v>#REF!</v>
          </cell>
          <cell r="BZ73"/>
          <cell r="CA73"/>
          <cell r="CB73"/>
          <cell r="CC73"/>
          <cell r="CD73">
            <v>0</v>
          </cell>
          <cell r="CE73"/>
          <cell r="CF73"/>
          <cell r="CG73"/>
          <cell r="CH73"/>
          <cell r="CI73"/>
          <cell r="CJ73"/>
          <cell r="CK73"/>
          <cell r="CL73" t="e">
            <v>#REF!</v>
          </cell>
          <cell r="CM73"/>
          <cell r="CN73"/>
          <cell r="CO73"/>
          <cell r="CP73"/>
          <cell r="CQ73"/>
          <cell r="CR73"/>
          <cell r="CS73"/>
          <cell r="CT73"/>
          <cell r="CU73"/>
          <cell r="CV73"/>
          <cell r="CW73"/>
          <cell r="CX73"/>
          <cell r="CY73" t="str">
            <v>69</v>
          </cell>
        </row>
        <row r="74">
          <cell r="B74" t="str">
            <v>70</v>
          </cell>
          <cell r="C74">
            <v>0</v>
          </cell>
          <cell r="D74"/>
          <cell r="E74"/>
          <cell r="F74" t="e">
            <v>#REF!</v>
          </cell>
          <cell r="G74"/>
          <cell r="H74"/>
          <cell r="I74"/>
          <cell r="J74"/>
          <cell r="K74">
            <v>0</v>
          </cell>
          <cell r="L74"/>
          <cell r="M74"/>
          <cell r="N74"/>
          <cell r="O74"/>
          <cell r="P74"/>
          <cell r="Q74"/>
          <cell r="R74"/>
          <cell r="S74" t="e">
            <v>#REF!</v>
          </cell>
          <cell r="T74"/>
          <cell r="U74"/>
          <cell r="V74"/>
          <cell r="W74"/>
          <cell r="X74">
            <v>0</v>
          </cell>
          <cell r="Y74"/>
          <cell r="Z74"/>
          <cell r="AA74"/>
          <cell r="AB74"/>
          <cell r="AC74"/>
          <cell r="AD74"/>
          <cell r="AE74"/>
          <cell r="AF74" t="e">
            <v>#REF!</v>
          </cell>
          <cell r="AG74"/>
          <cell r="AH74"/>
          <cell r="AI74"/>
          <cell r="AJ74"/>
          <cell r="AK74">
            <v>0</v>
          </cell>
          <cell r="AL74"/>
          <cell r="AM74"/>
          <cell r="AN74" t="e">
            <v>#REF!</v>
          </cell>
          <cell r="AO74"/>
          <cell r="AP74"/>
          <cell r="AQ74"/>
          <cell r="AR74"/>
          <cell r="AS74" t="str">
            <v>TT46</v>
          </cell>
          <cell r="AT74" t="str">
            <v>TOTAL BODY SHOP DEPT.</v>
          </cell>
          <cell r="AU74"/>
          <cell r="AV74"/>
          <cell r="AW74"/>
          <cell r="AX74"/>
          <cell r="AY74"/>
          <cell r="AZ74"/>
          <cell r="BA74"/>
          <cell r="BB74"/>
          <cell r="BC74"/>
          <cell r="BD74"/>
          <cell r="BE74"/>
          <cell r="BF74"/>
          <cell r="BG74"/>
          <cell r="BH74" t="str">
            <v xml:space="preserve">(Lines 63 to 69) </v>
          </cell>
          <cell r="BI74">
            <v>0</v>
          </cell>
          <cell r="BJ74"/>
          <cell r="BK74"/>
          <cell r="BL74" t="e">
            <v>#REF!</v>
          </cell>
          <cell r="BM74"/>
          <cell r="BN74"/>
          <cell r="BO74"/>
          <cell r="BP74"/>
          <cell r="BQ74">
            <v>0</v>
          </cell>
          <cell r="BR74"/>
          <cell r="BS74"/>
          <cell r="BT74"/>
          <cell r="BU74"/>
          <cell r="BV74"/>
          <cell r="BW74"/>
          <cell r="BX74"/>
          <cell r="BY74" t="e">
            <v>#REF!</v>
          </cell>
          <cell r="BZ74"/>
          <cell r="CA74"/>
          <cell r="CB74"/>
          <cell r="CC74"/>
          <cell r="CD74">
            <v>0</v>
          </cell>
          <cell r="CE74"/>
          <cell r="CF74"/>
          <cell r="CG74"/>
          <cell r="CH74"/>
          <cell r="CI74"/>
          <cell r="CJ74"/>
          <cell r="CK74"/>
          <cell r="CL74" t="e">
            <v>#REF!</v>
          </cell>
          <cell r="CM74"/>
          <cell r="CN74"/>
          <cell r="CO74"/>
          <cell r="CP74"/>
          <cell r="CQ74">
            <v>0</v>
          </cell>
          <cell r="CR74"/>
          <cell r="CS74"/>
          <cell r="CT74"/>
          <cell r="CU74"/>
          <cell r="CV74"/>
          <cell r="CW74"/>
          <cell r="CX74"/>
          <cell r="CY74" t="str">
            <v>70</v>
          </cell>
        </row>
        <row r="75">
          <cell r="B75" t="str">
            <v>71</v>
          </cell>
          <cell r="C75"/>
          <cell r="D75"/>
          <cell r="E75"/>
          <cell r="F75"/>
          <cell r="G75"/>
          <cell r="H75"/>
          <cell r="I75"/>
          <cell r="J75"/>
          <cell r="K75">
            <v>498107</v>
          </cell>
          <cell r="L75"/>
          <cell r="M75"/>
          <cell r="N75"/>
          <cell r="O75"/>
          <cell r="P75"/>
          <cell r="Q75"/>
          <cell r="R75"/>
          <cell r="S75"/>
          <cell r="T75"/>
          <cell r="U75"/>
          <cell r="V75"/>
          <cell r="W75"/>
          <cell r="X75">
            <v>238585</v>
          </cell>
          <cell r="Y75"/>
          <cell r="Z75"/>
          <cell r="AA75"/>
          <cell r="AB75"/>
          <cell r="AC75"/>
          <cell r="AD75"/>
          <cell r="AE75"/>
          <cell r="AF75"/>
          <cell r="AG75"/>
          <cell r="AH75"/>
          <cell r="AI75"/>
          <cell r="AJ75"/>
          <cell r="AK75">
            <v>47.9</v>
          </cell>
          <cell r="AL75"/>
          <cell r="AM75"/>
          <cell r="AN75"/>
          <cell r="AO75"/>
          <cell r="AP75"/>
          <cell r="AQ75"/>
          <cell r="AR75"/>
          <cell r="AS75"/>
          <cell r="AT75" t="str">
            <v>TOTAL SERVICE, PARTS &amp; B.S.</v>
          </cell>
          <cell r="AU75"/>
          <cell r="AV75"/>
          <cell r="AW75"/>
          <cell r="AX75"/>
          <cell r="AY75"/>
          <cell r="AZ75"/>
          <cell r="BA75"/>
          <cell r="BB75"/>
          <cell r="BC75"/>
          <cell r="BD75"/>
          <cell r="BE75"/>
          <cell r="BF75"/>
          <cell r="BG75"/>
          <cell r="BH75" t="str">
            <v xml:space="preserve">(Lines 17, 61 &amp; 70) </v>
          </cell>
          <cell r="BI75"/>
          <cell r="BJ75"/>
          <cell r="BK75"/>
          <cell r="BL75"/>
          <cell r="BM75"/>
          <cell r="BN75"/>
          <cell r="BO75"/>
          <cell r="BP75"/>
          <cell r="BQ75">
            <v>5520637</v>
          </cell>
          <cell r="BR75"/>
          <cell r="BS75"/>
          <cell r="BT75"/>
          <cell r="BU75"/>
          <cell r="BV75"/>
          <cell r="BW75"/>
          <cell r="BX75"/>
          <cell r="BY75" t="e">
            <v>#REF!</v>
          </cell>
          <cell r="BZ75"/>
          <cell r="CA75"/>
          <cell r="CB75"/>
          <cell r="CC75"/>
          <cell r="CD75">
            <v>2741215</v>
          </cell>
          <cell r="CE75"/>
          <cell r="CF75"/>
          <cell r="CG75"/>
          <cell r="CH75"/>
          <cell r="CI75"/>
          <cell r="CJ75"/>
          <cell r="CK75"/>
          <cell r="CL75" t="e">
            <v>#REF!</v>
          </cell>
          <cell r="CM75"/>
          <cell r="CN75"/>
          <cell r="CO75"/>
          <cell r="CP75"/>
          <cell r="CQ75">
            <v>49.7</v>
          </cell>
          <cell r="CR75"/>
          <cell r="CS75"/>
          <cell r="CT75"/>
          <cell r="CU75"/>
          <cell r="CV75"/>
          <cell r="CW75"/>
          <cell r="CX75"/>
          <cell r="CY75" t="str">
            <v>71</v>
          </cell>
        </row>
        <row r="76">
          <cell r="B76" t="str">
            <v>72</v>
          </cell>
          <cell r="C76" t="str">
            <v>EEEB</v>
          </cell>
          <cell r="D76"/>
          <cell r="E76"/>
          <cell r="F76"/>
          <cell r="G76"/>
          <cell r="H76"/>
          <cell r="I76"/>
          <cell r="J76"/>
          <cell r="K76">
            <v>8001923</v>
          </cell>
          <cell r="L76"/>
          <cell r="M76"/>
          <cell r="N76"/>
          <cell r="O76"/>
          <cell r="P76"/>
          <cell r="Q76"/>
          <cell r="R76"/>
          <cell r="S76"/>
          <cell r="T76"/>
          <cell r="U76"/>
          <cell r="V76"/>
          <cell r="W76"/>
          <cell r="X76">
            <v>658822</v>
          </cell>
          <cell r="Y76"/>
          <cell r="Z76"/>
          <cell r="AA76"/>
          <cell r="AB76"/>
          <cell r="AC76"/>
          <cell r="AD76"/>
          <cell r="AE76"/>
          <cell r="AF76"/>
          <cell r="AG76"/>
          <cell r="AH76"/>
          <cell r="AI76"/>
          <cell r="AJ76"/>
          <cell r="AK76">
            <v>8.1999999999999993</v>
          </cell>
          <cell r="AL76"/>
          <cell r="AM76"/>
          <cell r="AN76"/>
          <cell r="AO76"/>
          <cell r="AP76"/>
          <cell r="AQ76"/>
          <cell r="AR76"/>
          <cell r="AS76" t="str">
            <v>EEEC</v>
          </cell>
          <cell r="AT76" t="str">
            <v>TOTAL ALL DEPTS.</v>
          </cell>
          <cell r="AU76"/>
          <cell r="AV76"/>
          <cell r="AW76"/>
          <cell r="AX76"/>
          <cell r="AY76"/>
          <cell r="AZ76"/>
          <cell r="BA76"/>
          <cell r="BB76"/>
          <cell r="BC76"/>
          <cell r="BD76"/>
          <cell r="BE76"/>
          <cell r="BF76"/>
          <cell r="BG76"/>
          <cell r="BH76" t="str">
            <v xml:space="preserve">(P5, Ln 63 &amp; P6, Ln 71) </v>
          </cell>
          <cell r="BI76"/>
          <cell r="BJ76"/>
          <cell r="BK76"/>
          <cell r="BL76"/>
          <cell r="BM76"/>
          <cell r="BN76"/>
          <cell r="BO76"/>
          <cell r="BP76"/>
          <cell r="BQ76">
            <v>86346129</v>
          </cell>
          <cell r="BR76"/>
          <cell r="BS76"/>
          <cell r="BT76"/>
          <cell r="BU76"/>
          <cell r="BV76"/>
          <cell r="BW76"/>
          <cell r="BX76"/>
          <cell r="BY76" t="e">
            <v>#REF!</v>
          </cell>
          <cell r="BZ76"/>
          <cell r="CA76"/>
          <cell r="CB76"/>
          <cell r="CC76"/>
          <cell r="CD76">
            <v>7735758</v>
          </cell>
          <cell r="CE76"/>
          <cell r="CF76"/>
          <cell r="CG76"/>
          <cell r="CH76"/>
          <cell r="CI76"/>
          <cell r="CJ76"/>
          <cell r="CK76"/>
          <cell r="CL76" t="e">
            <v>#REF!</v>
          </cell>
          <cell r="CM76"/>
          <cell r="CN76"/>
          <cell r="CO76"/>
          <cell r="CP76"/>
          <cell r="CQ76">
            <v>9</v>
          </cell>
          <cell r="CR76"/>
          <cell r="CS76"/>
          <cell r="CT76"/>
          <cell r="CU76"/>
          <cell r="CV76"/>
          <cell r="CW76"/>
          <cell r="CX76"/>
          <cell r="CY76" t="str">
            <v>72</v>
          </cell>
        </row>
        <row r="77">
          <cell r="B77" t="str">
            <v>73</v>
          </cell>
          <cell r="C77"/>
          <cell r="D77"/>
          <cell r="E77"/>
          <cell r="F77"/>
          <cell r="G77"/>
          <cell r="H77"/>
          <cell r="I77"/>
          <cell r="J77"/>
          <cell r="K77" t="str">
            <v>Labor Rates</v>
          </cell>
          <cell r="L77"/>
          <cell r="M77"/>
          <cell r="N77"/>
          <cell r="O77"/>
          <cell r="P77"/>
          <cell r="Q77"/>
          <cell r="R77"/>
          <cell r="S77"/>
          <cell r="T77"/>
          <cell r="U77"/>
          <cell r="V77"/>
          <cell r="W77"/>
          <cell r="X77"/>
          <cell r="Y77"/>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cell r="BD77"/>
          <cell r="BE77"/>
          <cell r="BF77"/>
          <cell r="BG77"/>
          <cell r="BH77"/>
          <cell r="BI77" t="str">
            <v>Total Number of Service Bays</v>
          </cell>
          <cell r="BJ77"/>
          <cell r="BK77"/>
          <cell r="BL77"/>
          <cell r="BM77"/>
          <cell r="BN77"/>
          <cell r="BO77"/>
          <cell r="BP77"/>
          <cell r="BQ77"/>
          <cell r="BR77"/>
          <cell r="BS77"/>
          <cell r="BT77"/>
          <cell r="BU77"/>
          <cell r="BV77"/>
          <cell r="BW77"/>
          <cell r="BX77"/>
          <cell r="BY77"/>
          <cell r="BZ77"/>
          <cell r="CA77"/>
          <cell r="CB77"/>
          <cell r="CC77"/>
          <cell r="CD77"/>
          <cell r="CE77"/>
          <cell r="CF77" t="str">
            <v>890A</v>
          </cell>
          <cell r="CG77"/>
          <cell r="CH77"/>
          <cell r="CI77">
            <v>10</v>
          </cell>
          <cell r="CJ77"/>
          <cell r="CK77"/>
          <cell r="CL77"/>
          <cell r="CM77"/>
          <cell r="CN77"/>
          <cell r="CO77"/>
          <cell r="CP77"/>
          <cell r="CQ77"/>
          <cell r="CR77"/>
          <cell r="CS77"/>
          <cell r="CT77"/>
          <cell r="CU77"/>
          <cell r="CV77"/>
          <cell r="CW77"/>
          <cell r="CX77"/>
          <cell r="CY77" t="str">
            <v>73</v>
          </cell>
        </row>
        <row r="78">
          <cell r="B78" t="str">
            <v>74</v>
          </cell>
          <cell r="C78" t="str">
            <v>Nissan</v>
          </cell>
          <cell r="D78"/>
          <cell r="E78"/>
          <cell r="F78"/>
          <cell r="G78"/>
          <cell r="H78"/>
          <cell r="I78"/>
          <cell r="J78"/>
          <cell r="K78" t="str">
            <v>Customer</v>
          </cell>
          <cell r="L78"/>
          <cell r="M78"/>
          <cell r="N78" t="str">
            <v>875A</v>
          </cell>
          <cell r="O78"/>
          <cell r="P78">
            <v>95</v>
          </cell>
          <cell r="Q78"/>
          <cell r="R78"/>
          <cell r="S78"/>
          <cell r="T78"/>
          <cell r="U78"/>
          <cell r="V78"/>
          <cell r="W78"/>
          <cell r="X78" t="str">
            <v>Warranty</v>
          </cell>
          <cell r="Y78"/>
          <cell r="Z78"/>
          <cell r="AA78"/>
          <cell r="AB78" t="str">
            <v>877A</v>
          </cell>
          <cell r="AC78"/>
          <cell r="AD78">
            <v>104.5</v>
          </cell>
          <cell r="AE78"/>
          <cell r="AF78"/>
          <cell r="AG78"/>
          <cell r="AH78"/>
          <cell r="AI78"/>
          <cell r="AJ78"/>
          <cell r="AK78"/>
          <cell r="AL78"/>
          <cell r="AM78" t="str">
            <v>Internal</v>
          </cell>
          <cell r="AN78"/>
          <cell r="AO78"/>
          <cell r="AP78"/>
          <cell r="AQ78"/>
          <cell r="AR78"/>
          <cell r="AS78"/>
          <cell r="AT78"/>
          <cell r="AU78" t="str">
            <v>878A</v>
          </cell>
          <cell r="AV78"/>
          <cell r="AW78">
            <v>95</v>
          </cell>
          <cell r="AX78"/>
          <cell r="AY78"/>
          <cell r="AZ78"/>
          <cell r="BA78" t="str">
            <v>Body Shop</v>
          </cell>
          <cell r="BB78"/>
          <cell r="BC78"/>
          <cell r="BD78"/>
          <cell r="BE78"/>
          <cell r="BF78" t="str">
            <v>876A</v>
          </cell>
          <cell r="BG78">
            <v>0</v>
          </cell>
          <cell r="BH78"/>
          <cell r="BI78" t="str">
            <v>Number of NCV Svc Bays (memo)</v>
          </cell>
          <cell r="BJ78"/>
          <cell r="BK78"/>
          <cell r="BL78"/>
          <cell r="BM78"/>
          <cell r="BN78"/>
          <cell r="BO78"/>
          <cell r="BP78"/>
          <cell r="BQ78"/>
          <cell r="BR78"/>
          <cell r="BS78"/>
          <cell r="BT78"/>
          <cell r="BU78"/>
          <cell r="BV78"/>
          <cell r="BW78"/>
          <cell r="BX78"/>
          <cell r="BY78"/>
          <cell r="BZ78"/>
          <cell r="CA78"/>
          <cell r="CB78"/>
          <cell r="CC78"/>
          <cell r="CD78"/>
          <cell r="CE78"/>
          <cell r="CF78" t="str">
            <v>899A</v>
          </cell>
          <cell r="CG78"/>
          <cell r="CH78"/>
          <cell r="CI78">
            <v>0</v>
          </cell>
          <cell r="CJ78"/>
          <cell r="CK78"/>
          <cell r="CL78"/>
          <cell r="CM78"/>
          <cell r="CN78"/>
          <cell r="CO78"/>
          <cell r="CP78"/>
          <cell r="CQ78"/>
          <cell r="CR78"/>
          <cell r="CS78"/>
          <cell r="CY78" t="str">
            <v>74</v>
          </cell>
        </row>
        <row r="79">
          <cell r="B79" t="str">
            <v>75</v>
          </cell>
          <cell r="C79" t="str">
            <v>Other Makes</v>
          </cell>
          <cell r="D79"/>
          <cell r="E79"/>
          <cell r="F79"/>
          <cell r="G79"/>
          <cell r="H79"/>
          <cell r="I79"/>
          <cell r="J79"/>
          <cell r="K79" t="str">
            <v>Customer</v>
          </cell>
          <cell r="L79"/>
          <cell r="M79"/>
          <cell r="N79" t="str">
            <v>875B</v>
          </cell>
          <cell r="O79"/>
          <cell r="P79">
            <v>0</v>
          </cell>
          <cell r="Q79"/>
          <cell r="R79"/>
          <cell r="S79"/>
          <cell r="T79"/>
          <cell r="U79"/>
          <cell r="V79"/>
          <cell r="W79"/>
          <cell r="X79" t="str">
            <v>Warranty</v>
          </cell>
          <cell r="Y79"/>
          <cell r="Z79"/>
          <cell r="AA79"/>
          <cell r="AB79" t="str">
            <v>877B</v>
          </cell>
          <cell r="AC79"/>
          <cell r="AD79">
            <v>0</v>
          </cell>
          <cell r="AE79"/>
          <cell r="AF79"/>
          <cell r="AG79"/>
          <cell r="AH79"/>
          <cell r="AI79"/>
          <cell r="AJ79"/>
          <cell r="AK79"/>
          <cell r="AL79"/>
          <cell r="AM79" t="str">
            <v>Internal</v>
          </cell>
          <cell r="AN79"/>
          <cell r="AO79"/>
          <cell r="AP79"/>
          <cell r="AQ79"/>
          <cell r="AR79"/>
          <cell r="AS79"/>
          <cell r="AT79"/>
          <cell r="AU79" t="str">
            <v>878B</v>
          </cell>
          <cell r="AV79"/>
          <cell r="AW79">
            <v>0</v>
          </cell>
          <cell r="AX79"/>
          <cell r="AY79"/>
          <cell r="AZ79"/>
          <cell r="BA79" t="str">
            <v>Body Shop</v>
          </cell>
          <cell r="BB79"/>
          <cell r="BC79"/>
          <cell r="BD79"/>
          <cell r="BE79"/>
          <cell r="BF79" t="str">
            <v>876B</v>
          </cell>
          <cell r="BG79">
            <v>0</v>
          </cell>
          <cell r="BH79"/>
          <cell r="BI79" t="str">
            <v>Num. of ES Svc. Bays</v>
          </cell>
          <cell r="BJ79"/>
          <cell r="BK79"/>
          <cell r="BL79"/>
          <cell r="BM79"/>
          <cell r="BN79"/>
          <cell r="BO79"/>
          <cell r="BP79"/>
          <cell r="BQ79"/>
          <cell r="BR79"/>
          <cell r="BS79"/>
          <cell r="BT79"/>
          <cell r="BU79"/>
          <cell r="BV79"/>
          <cell r="BW79"/>
          <cell r="BX79"/>
          <cell r="BY79"/>
          <cell r="BZ79"/>
          <cell r="CA79"/>
          <cell r="CB79"/>
          <cell r="CC79"/>
          <cell r="CD79"/>
          <cell r="CE79"/>
          <cell r="CF79" t="str">
            <v>891A</v>
          </cell>
          <cell r="CG79"/>
          <cell r="CH79"/>
          <cell r="CI79">
            <v>0</v>
          </cell>
          <cell r="CJ79"/>
          <cell r="CK79"/>
          <cell r="CL79"/>
          <cell r="CM79"/>
          <cell r="CN79"/>
          <cell r="CO79"/>
          <cell r="CP79"/>
          <cell r="CQ79"/>
          <cell r="CR79"/>
          <cell r="CS79"/>
          <cell r="CY79" t="str">
            <v>75</v>
          </cell>
        </row>
      </sheetData>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Page 3"/>
      <sheetName val="Page 4"/>
      <sheetName val="Page 5"/>
      <sheetName val="Page6"/>
      <sheetName val="FS Data"/>
    </sheetNames>
    <sheetDataSet>
      <sheetData sheetId="0" refreshError="1"/>
      <sheetData sheetId="1" refreshError="1">
        <row r="1">
          <cell r="L1"/>
        </row>
        <row r="2">
          <cell r="L2"/>
        </row>
        <row r="3">
          <cell r="B3"/>
          <cell r="C3"/>
          <cell r="D3"/>
          <cell r="E3"/>
          <cell r="F3" t="str">
            <v>DEPARTMENTAL INCOME AND EXPENSE</v>
          </cell>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cell r="AZ3"/>
          <cell r="BA3"/>
          <cell r="BB3"/>
          <cell r="BC3"/>
          <cell r="BD3"/>
          <cell r="BE3"/>
          <cell r="BF3"/>
          <cell r="BG3"/>
          <cell r="BH3"/>
          <cell r="BI3"/>
          <cell r="BJ3"/>
          <cell r="BK3"/>
          <cell r="BL3"/>
          <cell r="BM3"/>
          <cell r="BN3"/>
          <cell r="BO3"/>
          <cell r="BP3"/>
          <cell r="BQ3"/>
          <cell r="BR3"/>
          <cell r="BS3"/>
          <cell r="BT3"/>
          <cell r="BU3"/>
          <cell r="BV3"/>
          <cell r="BW3"/>
          <cell r="BX3"/>
          <cell r="BY3"/>
          <cell r="BZ3"/>
          <cell r="CA3"/>
          <cell r="CB3"/>
          <cell r="CC3"/>
          <cell r="CD3"/>
          <cell r="CE3"/>
          <cell r="CF3"/>
          <cell r="CG3"/>
          <cell r="CH3"/>
          <cell r="CI3"/>
          <cell r="CJ3"/>
          <cell r="CK3"/>
          <cell r="CL3"/>
          <cell r="CM3"/>
          <cell r="CN3"/>
          <cell r="CO3"/>
          <cell r="CP3"/>
          <cell r="CQ3"/>
          <cell r="CR3"/>
          <cell r="CS3"/>
          <cell r="CT3"/>
          <cell r="CU3"/>
          <cell r="CV3"/>
          <cell r="CW3"/>
          <cell r="CX3"/>
          <cell r="CY3"/>
          <cell r="CZ3"/>
          <cell r="DA3"/>
          <cell r="DB3"/>
          <cell r="DC3"/>
          <cell r="DD3"/>
          <cell r="DE3"/>
          <cell r="DF3"/>
          <cell r="DG3"/>
          <cell r="DH3"/>
          <cell r="DI3"/>
          <cell r="DJ3"/>
          <cell r="DK3"/>
          <cell r="DL3"/>
          <cell r="DM3"/>
          <cell r="DN3"/>
          <cell r="DO3"/>
          <cell r="DP3"/>
        </row>
        <row r="4">
          <cell r="B4" t="str">
            <v>PAGE 2</v>
          </cell>
          <cell r="C4"/>
          <cell r="D4"/>
          <cell r="E4"/>
          <cell r="F4"/>
          <cell r="G4"/>
          <cell r="H4"/>
          <cell r="I4"/>
          <cell r="J4"/>
          <cell r="K4" t="str">
            <v>(Month, Year)</v>
          </cell>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cell r="BF4"/>
          <cell r="BG4"/>
          <cell r="BH4"/>
          <cell r="BI4"/>
          <cell r="BJ4"/>
          <cell r="BK4"/>
          <cell r="BL4"/>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cell r="CV4"/>
          <cell r="CW4"/>
          <cell r="CX4"/>
          <cell r="CY4"/>
          <cell r="CZ4"/>
          <cell r="DA4"/>
          <cell r="DB4"/>
          <cell r="DC4"/>
          <cell r="DD4"/>
          <cell r="DE4"/>
          <cell r="DF4"/>
          <cell r="DG4"/>
          <cell r="DH4"/>
          <cell r="DI4"/>
          <cell r="DJ4"/>
          <cell r="DK4"/>
          <cell r="DL4"/>
          <cell r="DM4"/>
          <cell r="DN4"/>
          <cell r="DO4"/>
          <cell r="DP4"/>
        </row>
        <row r="5">
          <cell r="B5" t="str">
            <v>LINE</v>
          </cell>
          <cell r="C5"/>
          <cell r="D5" t="str">
            <v>NAME OF ACCOUNT</v>
          </cell>
          <cell r="E5"/>
          <cell r="F5"/>
          <cell r="G5"/>
          <cell r="H5"/>
          <cell r="I5"/>
          <cell r="J5"/>
          <cell r="K5"/>
          <cell r="L5"/>
          <cell r="M5" t="str">
            <v>ACCT</v>
          </cell>
          <cell r="N5" t="str">
            <v>TOTAL INCOME &amp; EXPENSE</v>
          </cell>
          <cell r="O5"/>
          <cell r="P5"/>
          <cell r="Q5"/>
          <cell r="R5"/>
          <cell r="S5"/>
          <cell r="T5"/>
          <cell r="U5"/>
          <cell r="V5"/>
          <cell r="W5"/>
          <cell r="X5"/>
          <cell r="Y5"/>
          <cell r="Z5"/>
          <cell r="AA5"/>
          <cell r="AB5"/>
          <cell r="AC5"/>
          <cell r="AD5"/>
          <cell r="AE5"/>
          <cell r="AF5"/>
          <cell r="AG5"/>
          <cell r="AH5"/>
          <cell r="AI5"/>
          <cell r="AJ5"/>
          <cell r="AK5"/>
          <cell r="AL5"/>
          <cell r="AM5"/>
          <cell r="AN5"/>
          <cell r="AO5"/>
          <cell r="AP5"/>
          <cell r="AQ5" t="str">
            <v>A - NEW VEHICLE DEPT.</v>
          </cell>
          <cell r="AR5"/>
          <cell r="AS5"/>
          <cell r="AT5"/>
          <cell r="AU5"/>
          <cell r="AV5"/>
          <cell r="AW5"/>
          <cell r="AX5"/>
          <cell r="AY5"/>
          <cell r="AZ5"/>
          <cell r="BA5"/>
          <cell r="BB5"/>
          <cell r="BC5"/>
          <cell r="BD5"/>
          <cell r="BE5"/>
          <cell r="BF5"/>
          <cell r="BG5"/>
          <cell r="BH5"/>
          <cell r="BI5"/>
          <cell r="BJ5"/>
          <cell r="BK5"/>
          <cell r="BL5"/>
          <cell r="BM5"/>
          <cell r="BN5"/>
          <cell r="BO5"/>
          <cell r="BP5"/>
          <cell r="BQ5"/>
          <cell r="BR5"/>
          <cell r="BS5"/>
          <cell r="BT5"/>
          <cell r="BU5"/>
          <cell r="BV5"/>
          <cell r="BW5" t="str">
            <v>B - USED VEHICLE DEPT</v>
          </cell>
          <cell r="BX5"/>
          <cell r="BY5"/>
          <cell r="BZ5"/>
          <cell r="CA5"/>
          <cell r="CB5"/>
          <cell r="CC5"/>
          <cell r="CD5"/>
          <cell r="CE5"/>
          <cell r="CF5"/>
          <cell r="CG5"/>
          <cell r="CH5"/>
          <cell r="CI5"/>
          <cell r="CJ5"/>
          <cell r="CK5"/>
          <cell r="CL5"/>
          <cell r="CM5"/>
          <cell r="CN5"/>
          <cell r="CO5"/>
          <cell r="CP5"/>
          <cell r="CQ5"/>
          <cell r="CR5"/>
          <cell r="CS5"/>
          <cell r="CT5"/>
          <cell r="CU5"/>
          <cell r="CV5"/>
          <cell r="CW5"/>
          <cell r="CX5"/>
          <cell r="CY5"/>
          <cell r="CZ5"/>
          <cell r="DA5"/>
          <cell r="DB5"/>
          <cell r="DC5"/>
          <cell r="DD5"/>
          <cell r="DE5"/>
          <cell r="DF5"/>
          <cell r="DG5"/>
          <cell r="DH5"/>
          <cell r="DI5"/>
          <cell r="DJ5"/>
          <cell r="DK5"/>
          <cell r="DL5"/>
          <cell r="DM5"/>
          <cell r="DN5"/>
          <cell r="DO5" t="str">
            <v>LINE</v>
          </cell>
          <cell r="DP5"/>
        </row>
        <row r="6">
          <cell r="B6" t="str">
            <v>NO</v>
          </cell>
          <cell r="C6"/>
          <cell r="D6"/>
          <cell r="E6"/>
          <cell r="F6"/>
          <cell r="G6"/>
          <cell r="H6"/>
          <cell r="I6"/>
          <cell r="J6"/>
          <cell r="K6"/>
          <cell r="L6"/>
          <cell r="M6" t="str">
            <v>NO</v>
          </cell>
          <cell r="N6" t="str">
            <v>MONTH</v>
          </cell>
          <cell r="O6"/>
          <cell r="P6"/>
          <cell r="Q6"/>
          <cell r="R6"/>
          <cell r="S6"/>
          <cell r="T6"/>
          <cell r="U6"/>
          <cell r="V6"/>
          <cell r="W6"/>
          <cell r="X6"/>
          <cell r="Y6" t="str">
            <v>YEAR TO DATE</v>
          </cell>
          <cell r="Z6"/>
          <cell r="AA6"/>
          <cell r="AB6"/>
          <cell r="AC6"/>
          <cell r="AD6"/>
          <cell r="AE6"/>
          <cell r="AF6"/>
          <cell r="AG6"/>
          <cell r="AH6"/>
          <cell r="AI6"/>
          <cell r="AJ6" t="str">
            <v>% GP</v>
          </cell>
          <cell r="AK6"/>
          <cell r="AL6"/>
          <cell r="AM6"/>
          <cell r="AN6"/>
          <cell r="AO6"/>
          <cell r="AP6"/>
          <cell r="AQ6" t="str">
            <v>MONTH</v>
          </cell>
          <cell r="AR6"/>
          <cell r="AS6"/>
          <cell r="AT6"/>
          <cell r="AU6"/>
          <cell r="AV6"/>
          <cell r="AW6"/>
          <cell r="AX6"/>
          <cell r="AY6"/>
          <cell r="AZ6"/>
          <cell r="BA6"/>
          <cell r="BB6"/>
          <cell r="BC6"/>
          <cell r="BD6"/>
          <cell r="BE6"/>
          <cell r="BF6"/>
          <cell r="BG6" t="str">
            <v>YEAR TO DATE</v>
          </cell>
          <cell r="BH6"/>
          <cell r="BI6"/>
          <cell r="BJ6"/>
          <cell r="BK6"/>
          <cell r="BL6"/>
          <cell r="BM6"/>
          <cell r="BN6"/>
          <cell r="BO6"/>
          <cell r="BP6"/>
          <cell r="BQ6"/>
          <cell r="BR6"/>
          <cell r="BS6"/>
          <cell r="BT6"/>
          <cell r="BU6"/>
          <cell r="BV6"/>
          <cell r="BW6" t="str">
            <v>MONTH</v>
          </cell>
          <cell r="BX6"/>
          <cell r="BY6"/>
          <cell r="BZ6"/>
          <cell r="CA6"/>
          <cell r="CB6"/>
          <cell r="CC6"/>
          <cell r="CD6"/>
          <cell r="CE6"/>
          <cell r="CF6"/>
          <cell r="CG6"/>
          <cell r="CH6"/>
          <cell r="CI6"/>
          <cell r="CJ6"/>
          <cell r="CK6"/>
          <cell r="CL6"/>
          <cell r="CM6"/>
          <cell r="CN6"/>
          <cell r="CO6"/>
          <cell r="CP6"/>
          <cell r="CQ6"/>
          <cell r="CR6" t="str">
            <v>YEAR TO DATE</v>
          </cell>
          <cell r="CS6"/>
          <cell r="CT6"/>
          <cell r="CU6"/>
          <cell r="CV6"/>
          <cell r="CW6"/>
          <cell r="CX6"/>
          <cell r="CY6"/>
          <cell r="CZ6"/>
          <cell r="DA6"/>
          <cell r="DB6"/>
          <cell r="DC6"/>
          <cell r="DD6"/>
          <cell r="DE6"/>
          <cell r="DF6"/>
          <cell r="DG6"/>
          <cell r="DH6"/>
          <cell r="DI6"/>
          <cell r="DJ6"/>
          <cell r="DK6"/>
          <cell r="DL6"/>
          <cell r="DM6"/>
          <cell r="DN6"/>
          <cell r="DO6" t="str">
            <v>NO</v>
          </cell>
          <cell r="DP6"/>
        </row>
        <row r="7">
          <cell r="B7" t="str">
            <v>1</v>
          </cell>
          <cell r="C7"/>
          <cell r="D7" t="str">
            <v>TOTAL SALES</v>
          </cell>
          <cell r="E7"/>
          <cell r="F7"/>
          <cell r="G7"/>
          <cell r="H7"/>
          <cell r="I7"/>
          <cell r="J7"/>
          <cell r="K7"/>
          <cell r="L7" t="str">
            <v xml:space="preserve">(From Pages 4 &amp; 5) </v>
          </cell>
          <cell r="M7"/>
          <cell r="N7">
            <v>7206938</v>
          </cell>
          <cell r="O7"/>
          <cell r="P7"/>
          <cell r="Q7"/>
          <cell r="R7"/>
          <cell r="S7"/>
          <cell r="T7" t="e">
            <v>#REF!</v>
          </cell>
          <cell r="U7"/>
          <cell r="V7"/>
          <cell r="W7"/>
          <cell r="X7"/>
          <cell r="Y7">
            <v>73883052</v>
          </cell>
          <cell r="Z7"/>
          <cell r="AA7"/>
          <cell r="AB7"/>
          <cell r="AC7"/>
          <cell r="AD7"/>
          <cell r="AE7" t="e">
            <v>#REF!</v>
          </cell>
          <cell r="AF7"/>
          <cell r="AG7"/>
          <cell r="AH7"/>
          <cell r="AI7"/>
          <cell r="AJ7" t="str">
            <v xml:space="preserve">  </v>
          </cell>
          <cell r="AK7"/>
          <cell r="AL7" t="e">
            <v>#REF!</v>
          </cell>
          <cell r="AM7"/>
          <cell r="AN7"/>
          <cell r="AO7"/>
          <cell r="AP7"/>
          <cell r="AQ7">
            <v>4143764</v>
          </cell>
          <cell r="AR7"/>
          <cell r="AS7"/>
          <cell r="AT7"/>
          <cell r="AU7"/>
          <cell r="AV7"/>
          <cell r="AW7"/>
          <cell r="AX7"/>
          <cell r="AY7"/>
          <cell r="AZ7"/>
          <cell r="BA7"/>
          <cell r="BB7" t="e">
            <v>#REF!</v>
          </cell>
          <cell r="BC7"/>
          <cell r="BD7"/>
          <cell r="BE7"/>
          <cell r="BF7"/>
          <cell r="BG7">
            <v>41807416</v>
          </cell>
          <cell r="BH7"/>
          <cell r="BI7"/>
          <cell r="BJ7"/>
          <cell r="BK7"/>
          <cell r="BL7"/>
          <cell r="BM7"/>
          <cell r="BN7"/>
          <cell r="BO7"/>
          <cell r="BP7"/>
          <cell r="BQ7"/>
          <cell r="BR7" t="e">
            <v>#REF!</v>
          </cell>
          <cell r="BS7"/>
          <cell r="BT7"/>
          <cell r="BU7"/>
          <cell r="BV7"/>
          <cell r="BW7">
            <v>2242609</v>
          </cell>
          <cell r="BX7"/>
          <cell r="BY7"/>
          <cell r="BZ7"/>
          <cell r="CA7"/>
          <cell r="CB7"/>
          <cell r="CC7"/>
          <cell r="CD7"/>
          <cell r="CE7"/>
          <cell r="CF7"/>
          <cell r="CG7"/>
          <cell r="CH7"/>
          <cell r="CI7"/>
          <cell r="CJ7"/>
          <cell r="CK7"/>
          <cell r="CL7"/>
          <cell r="CM7" t="e">
            <v>#REF!</v>
          </cell>
          <cell r="CN7"/>
          <cell r="CO7"/>
          <cell r="CP7"/>
          <cell r="CQ7"/>
          <cell r="CR7">
            <v>22684489</v>
          </cell>
          <cell r="CS7"/>
          <cell r="CT7"/>
          <cell r="CU7"/>
          <cell r="CV7"/>
          <cell r="CW7"/>
          <cell r="CX7"/>
          <cell r="CY7"/>
          <cell r="CZ7"/>
          <cell r="DA7"/>
          <cell r="DB7"/>
          <cell r="DC7"/>
          <cell r="DD7"/>
          <cell r="DE7"/>
          <cell r="DF7"/>
          <cell r="DG7"/>
          <cell r="DH7"/>
          <cell r="DI7"/>
          <cell r="DJ7" t="e">
            <v>#REF!</v>
          </cell>
          <cell r="DK7"/>
          <cell r="DL7"/>
          <cell r="DM7"/>
          <cell r="DN7"/>
          <cell r="DO7" t="str">
            <v>1</v>
          </cell>
          <cell r="DP7"/>
        </row>
        <row r="8">
          <cell r="B8" t="str">
            <v>2</v>
          </cell>
          <cell r="C8"/>
          <cell r="D8" t="str">
            <v>TOTAL GROSS PROFIT</v>
          </cell>
          <cell r="E8"/>
          <cell r="F8"/>
          <cell r="G8"/>
          <cell r="H8"/>
          <cell r="I8"/>
          <cell r="J8"/>
          <cell r="K8"/>
          <cell r="L8" t="str">
            <v xml:space="preserve">(From Pages 4 &amp; 5) </v>
          </cell>
          <cell r="M8"/>
          <cell r="N8">
            <v>471829</v>
          </cell>
          <cell r="O8"/>
          <cell r="P8"/>
          <cell r="Q8"/>
          <cell r="R8"/>
          <cell r="S8"/>
          <cell r="T8" t="e">
            <v>#REF!</v>
          </cell>
          <cell r="U8"/>
          <cell r="V8"/>
          <cell r="W8"/>
          <cell r="X8"/>
          <cell r="Y8">
            <v>6819200</v>
          </cell>
          <cell r="Z8"/>
          <cell r="AA8"/>
          <cell r="AB8"/>
          <cell r="AC8"/>
          <cell r="AD8"/>
          <cell r="AE8" t="e">
            <v>#REF!</v>
          </cell>
          <cell r="AF8"/>
          <cell r="AG8"/>
          <cell r="AH8"/>
          <cell r="AI8"/>
          <cell r="AJ8" t="str">
            <v xml:space="preserve"> </v>
          </cell>
          <cell r="AK8"/>
          <cell r="AL8" t="e">
            <v>#REF!</v>
          </cell>
          <cell r="AM8"/>
          <cell r="AN8"/>
          <cell r="AO8"/>
          <cell r="AP8"/>
          <cell r="AQ8">
            <v>4728</v>
          </cell>
          <cell r="AR8"/>
          <cell r="AS8"/>
          <cell r="AT8"/>
          <cell r="AU8"/>
          <cell r="AV8"/>
          <cell r="AW8"/>
          <cell r="AX8"/>
          <cell r="AY8"/>
          <cell r="AZ8"/>
          <cell r="BA8"/>
          <cell r="BB8" t="e">
            <v>#REF!</v>
          </cell>
          <cell r="BC8"/>
          <cell r="BD8"/>
          <cell r="BE8"/>
          <cell r="BF8"/>
          <cell r="BG8">
            <v>1336994</v>
          </cell>
          <cell r="BH8"/>
          <cell r="BI8"/>
          <cell r="BJ8"/>
          <cell r="BK8"/>
          <cell r="BL8"/>
          <cell r="BM8"/>
          <cell r="BN8"/>
          <cell r="BO8"/>
          <cell r="BP8"/>
          <cell r="BQ8"/>
          <cell r="BR8" t="e">
            <v>#REF!</v>
          </cell>
          <cell r="BS8"/>
          <cell r="BT8"/>
          <cell r="BU8"/>
          <cell r="BV8"/>
          <cell r="BW8">
            <v>161031</v>
          </cell>
          <cell r="BX8"/>
          <cell r="BY8"/>
          <cell r="BZ8"/>
          <cell r="CA8"/>
          <cell r="CB8"/>
          <cell r="CC8"/>
          <cell r="CD8"/>
          <cell r="CE8"/>
          <cell r="CF8"/>
          <cell r="CG8"/>
          <cell r="CH8"/>
          <cell r="CI8"/>
          <cell r="CJ8"/>
          <cell r="CK8"/>
          <cell r="CL8"/>
          <cell r="CM8" t="e">
            <v>#REF!</v>
          </cell>
          <cell r="CN8"/>
          <cell r="CO8"/>
          <cell r="CP8"/>
          <cell r="CQ8"/>
          <cell r="CR8">
            <v>1533505</v>
          </cell>
          <cell r="CS8"/>
          <cell r="CT8"/>
          <cell r="CU8"/>
          <cell r="CV8"/>
          <cell r="CW8"/>
          <cell r="CX8"/>
          <cell r="CY8"/>
          <cell r="CZ8"/>
          <cell r="DA8"/>
          <cell r="DB8"/>
          <cell r="DC8"/>
          <cell r="DD8"/>
          <cell r="DE8"/>
          <cell r="DF8"/>
          <cell r="DG8"/>
          <cell r="DH8"/>
          <cell r="DI8"/>
          <cell r="DJ8" t="e">
            <v>#REF!</v>
          </cell>
          <cell r="DK8"/>
          <cell r="DL8"/>
          <cell r="DM8"/>
          <cell r="DN8"/>
          <cell r="DO8" t="str">
            <v>2</v>
          </cell>
          <cell r="DP8"/>
        </row>
        <row r="9">
          <cell r="B9" t="str">
            <v>3</v>
          </cell>
          <cell r="C9"/>
          <cell r="D9" t="str">
            <v>Commissions &amp; Incentives</v>
          </cell>
          <cell r="E9"/>
          <cell r="F9"/>
          <cell r="G9"/>
          <cell r="H9"/>
          <cell r="I9"/>
          <cell r="J9"/>
          <cell r="K9"/>
          <cell r="L9"/>
          <cell r="M9" t="str">
            <v>0100</v>
          </cell>
          <cell r="N9">
            <v>112021</v>
          </cell>
          <cell r="O9"/>
          <cell r="P9"/>
          <cell r="Q9"/>
          <cell r="R9"/>
          <cell r="S9"/>
          <cell r="T9" t="e">
            <v>#REF!</v>
          </cell>
          <cell r="U9"/>
          <cell r="V9"/>
          <cell r="W9"/>
          <cell r="X9"/>
          <cell r="Y9">
            <v>1279884</v>
          </cell>
          <cell r="Z9"/>
          <cell r="AA9"/>
          <cell r="AB9"/>
          <cell r="AC9"/>
          <cell r="AD9"/>
          <cell r="AE9" t="e">
            <v>#REF!</v>
          </cell>
          <cell r="AF9"/>
          <cell r="AG9"/>
          <cell r="AH9"/>
          <cell r="AI9"/>
          <cell r="AJ9">
            <v>1.9</v>
          </cell>
          <cell r="AK9"/>
          <cell r="AL9" t="e">
            <v>#REF!</v>
          </cell>
          <cell r="AM9"/>
          <cell r="AN9"/>
          <cell r="AO9"/>
          <cell r="AP9"/>
          <cell r="AQ9">
            <v>36097</v>
          </cell>
          <cell r="AR9"/>
          <cell r="AS9"/>
          <cell r="AT9"/>
          <cell r="AU9"/>
          <cell r="AV9"/>
          <cell r="AW9"/>
          <cell r="AX9"/>
          <cell r="AY9"/>
          <cell r="AZ9"/>
          <cell r="BA9"/>
          <cell r="BB9" t="e">
            <v>#REF!</v>
          </cell>
          <cell r="BC9"/>
          <cell r="BD9"/>
          <cell r="BE9"/>
          <cell r="BF9"/>
          <cell r="BG9">
            <v>426106</v>
          </cell>
          <cell r="BH9"/>
          <cell r="BI9"/>
          <cell r="BJ9"/>
          <cell r="BK9"/>
          <cell r="BL9"/>
          <cell r="BM9"/>
          <cell r="BN9"/>
          <cell r="BO9"/>
          <cell r="BP9"/>
          <cell r="BQ9"/>
          <cell r="BR9" t="e">
            <v>#REF!</v>
          </cell>
          <cell r="BS9"/>
          <cell r="BT9"/>
          <cell r="BU9"/>
          <cell r="BV9"/>
          <cell r="BW9">
            <v>33827</v>
          </cell>
          <cell r="BX9"/>
          <cell r="BY9"/>
          <cell r="BZ9"/>
          <cell r="CA9"/>
          <cell r="CB9"/>
          <cell r="CC9"/>
          <cell r="CD9"/>
          <cell r="CE9"/>
          <cell r="CF9"/>
          <cell r="CG9"/>
          <cell r="CH9"/>
          <cell r="CI9"/>
          <cell r="CJ9"/>
          <cell r="CK9"/>
          <cell r="CL9"/>
          <cell r="CM9" t="e">
            <v>#REF!</v>
          </cell>
          <cell r="CN9"/>
          <cell r="CO9"/>
          <cell r="CP9"/>
          <cell r="CQ9"/>
          <cell r="CR9">
            <v>395391</v>
          </cell>
          <cell r="CS9"/>
          <cell r="CT9"/>
          <cell r="CU9"/>
          <cell r="CV9"/>
          <cell r="CW9"/>
          <cell r="CX9"/>
          <cell r="CY9"/>
          <cell r="CZ9"/>
          <cell r="DA9"/>
          <cell r="DB9"/>
          <cell r="DC9"/>
          <cell r="DD9"/>
          <cell r="DE9"/>
          <cell r="DF9"/>
          <cell r="DG9"/>
          <cell r="DH9"/>
          <cell r="DI9"/>
          <cell r="DJ9" t="e">
            <v>#REF!</v>
          </cell>
          <cell r="DK9"/>
          <cell r="DL9"/>
          <cell r="DM9"/>
          <cell r="DN9"/>
          <cell r="DO9" t="str">
            <v>3</v>
          </cell>
          <cell r="DP9"/>
        </row>
        <row r="10">
          <cell r="B10" t="str">
            <v>4</v>
          </cell>
          <cell r="C10"/>
          <cell r="D10" t="str">
            <v>Salaries - Salespeople</v>
          </cell>
          <cell r="E10"/>
          <cell r="F10"/>
          <cell r="G10"/>
          <cell r="H10"/>
          <cell r="I10"/>
          <cell r="J10"/>
          <cell r="K10"/>
          <cell r="L10"/>
          <cell r="M10" t="str">
            <v>0280</v>
          </cell>
          <cell r="N10">
            <v>0</v>
          </cell>
          <cell r="O10"/>
          <cell r="P10"/>
          <cell r="Q10"/>
          <cell r="R10"/>
          <cell r="S10"/>
          <cell r="T10" t="e">
            <v>#REF!</v>
          </cell>
          <cell r="U10"/>
          <cell r="V10"/>
          <cell r="W10"/>
          <cell r="X10"/>
          <cell r="Y10">
            <v>0</v>
          </cell>
          <cell r="Z10"/>
          <cell r="AA10"/>
          <cell r="AB10"/>
          <cell r="AC10"/>
          <cell r="AD10"/>
          <cell r="AE10" t="e">
            <v>#REF!</v>
          </cell>
          <cell r="AF10"/>
          <cell r="AG10"/>
          <cell r="AH10"/>
          <cell r="AI10"/>
          <cell r="AJ10">
            <v>0</v>
          </cell>
          <cell r="AK10"/>
          <cell r="AL10" t="e">
            <v>#REF!</v>
          </cell>
          <cell r="AM10"/>
          <cell r="AN10"/>
          <cell r="AO10"/>
          <cell r="AP10"/>
          <cell r="AQ10">
            <v>0</v>
          </cell>
          <cell r="AR10"/>
          <cell r="AS10"/>
          <cell r="AT10"/>
          <cell r="AU10"/>
          <cell r="AV10"/>
          <cell r="AW10"/>
          <cell r="AX10"/>
          <cell r="AY10"/>
          <cell r="AZ10"/>
          <cell r="BA10"/>
          <cell r="BB10" t="e">
            <v>#REF!</v>
          </cell>
          <cell r="BC10"/>
          <cell r="BD10"/>
          <cell r="BE10"/>
          <cell r="BF10"/>
          <cell r="BG10">
            <v>0</v>
          </cell>
          <cell r="BH10"/>
          <cell r="BI10"/>
          <cell r="BJ10"/>
          <cell r="BK10"/>
          <cell r="BL10"/>
          <cell r="BM10"/>
          <cell r="BN10"/>
          <cell r="BO10"/>
          <cell r="BP10"/>
          <cell r="BQ10"/>
          <cell r="BR10" t="e">
            <v>#REF!</v>
          </cell>
          <cell r="BS10"/>
          <cell r="BT10"/>
          <cell r="BU10"/>
          <cell r="BV10"/>
          <cell r="BW10">
            <v>0</v>
          </cell>
          <cell r="BX10"/>
          <cell r="BY10"/>
          <cell r="BZ10"/>
          <cell r="CA10"/>
          <cell r="CB10"/>
          <cell r="CC10"/>
          <cell r="CD10"/>
          <cell r="CE10"/>
          <cell r="CF10"/>
          <cell r="CG10"/>
          <cell r="CH10"/>
          <cell r="CI10"/>
          <cell r="CJ10"/>
          <cell r="CK10"/>
          <cell r="CL10"/>
          <cell r="CM10" t="e">
            <v>#REF!</v>
          </cell>
          <cell r="CN10"/>
          <cell r="CO10"/>
          <cell r="CP10"/>
          <cell r="CQ10"/>
          <cell r="CR10">
            <v>0</v>
          </cell>
          <cell r="CS10"/>
          <cell r="CT10"/>
          <cell r="CU10"/>
          <cell r="CV10"/>
          <cell r="CW10"/>
          <cell r="CX10"/>
          <cell r="CY10"/>
          <cell r="CZ10"/>
          <cell r="DA10"/>
          <cell r="DB10"/>
          <cell r="DC10"/>
          <cell r="DD10"/>
          <cell r="DE10"/>
          <cell r="DF10"/>
          <cell r="DG10"/>
          <cell r="DH10"/>
          <cell r="DI10"/>
          <cell r="DJ10" t="e">
            <v>#REF!</v>
          </cell>
          <cell r="DK10"/>
          <cell r="DL10"/>
          <cell r="DM10"/>
          <cell r="DN10"/>
          <cell r="DO10" t="str">
            <v>4</v>
          </cell>
          <cell r="DP10"/>
        </row>
        <row r="11">
          <cell r="B11" t="str">
            <v>5</v>
          </cell>
          <cell r="C11"/>
          <cell r="D11" t="str">
            <v>F &amp; I Commissions &amp; Incentives</v>
          </cell>
          <cell r="E11"/>
          <cell r="F11"/>
          <cell r="G11"/>
          <cell r="H11"/>
          <cell r="I11"/>
          <cell r="J11"/>
          <cell r="K11"/>
          <cell r="L11"/>
          <cell r="M11" t="str">
            <v>0090</v>
          </cell>
          <cell r="N11">
            <v>50404</v>
          </cell>
          <cell r="O11"/>
          <cell r="P11"/>
          <cell r="Q11"/>
          <cell r="R11"/>
          <cell r="S11"/>
          <cell r="T11" t="e">
            <v>#REF!</v>
          </cell>
          <cell r="U11"/>
          <cell r="V11"/>
          <cell r="W11"/>
          <cell r="X11"/>
          <cell r="Y11">
            <v>479298</v>
          </cell>
          <cell r="Z11"/>
          <cell r="AA11"/>
          <cell r="AB11"/>
          <cell r="AC11"/>
          <cell r="AD11"/>
          <cell r="AE11" t="e">
            <v>#REF!</v>
          </cell>
          <cell r="AF11"/>
          <cell r="AG11"/>
          <cell r="AH11"/>
          <cell r="AI11"/>
          <cell r="AJ11">
            <v>0.7</v>
          </cell>
          <cell r="AK11"/>
          <cell r="AL11" t="e">
            <v>#REF!</v>
          </cell>
          <cell r="AM11"/>
          <cell r="AN11"/>
          <cell r="AO11"/>
          <cell r="AP11"/>
          <cell r="AQ11">
            <v>25202</v>
          </cell>
          <cell r="AR11"/>
          <cell r="AS11"/>
          <cell r="AT11"/>
          <cell r="AU11"/>
          <cell r="AV11"/>
          <cell r="AW11"/>
          <cell r="AX11"/>
          <cell r="AY11"/>
          <cell r="AZ11"/>
          <cell r="BA11"/>
          <cell r="BB11" t="e">
            <v>#REF!</v>
          </cell>
          <cell r="BC11"/>
          <cell r="BD11"/>
          <cell r="BE11"/>
          <cell r="BF11"/>
          <cell r="BG11">
            <v>239819</v>
          </cell>
          <cell r="BH11"/>
          <cell r="BI11"/>
          <cell r="BJ11"/>
          <cell r="BK11"/>
          <cell r="BL11"/>
          <cell r="BM11"/>
          <cell r="BN11"/>
          <cell r="BO11"/>
          <cell r="BP11"/>
          <cell r="BQ11"/>
          <cell r="BR11" t="e">
            <v>#REF!</v>
          </cell>
          <cell r="BS11"/>
          <cell r="BT11"/>
          <cell r="BU11"/>
          <cell r="BV11"/>
          <cell r="BW11">
            <v>25202</v>
          </cell>
          <cell r="BX11"/>
          <cell r="BY11"/>
          <cell r="BZ11"/>
          <cell r="CA11"/>
          <cell r="CB11"/>
          <cell r="CC11"/>
          <cell r="CD11"/>
          <cell r="CE11"/>
          <cell r="CF11"/>
          <cell r="CG11"/>
          <cell r="CH11"/>
          <cell r="CI11"/>
          <cell r="CJ11"/>
          <cell r="CK11"/>
          <cell r="CL11"/>
          <cell r="CM11" t="e">
            <v>#REF!</v>
          </cell>
          <cell r="CN11"/>
          <cell r="CO11"/>
          <cell r="CP11"/>
          <cell r="CQ11"/>
          <cell r="CR11">
            <v>239479</v>
          </cell>
          <cell r="CS11"/>
          <cell r="CT11"/>
          <cell r="CU11"/>
          <cell r="CV11"/>
          <cell r="CW11"/>
          <cell r="CX11"/>
          <cell r="CY11"/>
          <cell r="CZ11"/>
          <cell r="DA11"/>
          <cell r="DB11"/>
          <cell r="DC11"/>
          <cell r="DD11"/>
          <cell r="DE11"/>
          <cell r="DF11"/>
          <cell r="DG11"/>
          <cell r="DH11"/>
          <cell r="DI11"/>
          <cell r="DJ11" t="e">
            <v>#REF!</v>
          </cell>
          <cell r="DK11"/>
          <cell r="DL11"/>
          <cell r="DM11"/>
          <cell r="DN11"/>
          <cell r="DO11" t="str">
            <v>5</v>
          </cell>
          <cell r="DP11"/>
        </row>
        <row r="12">
          <cell r="B12" t="str">
            <v>6</v>
          </cell>
          <cell r="C12"/>
          <cell r="D12" t="str">
            <v>Delivery Expense</v>
          </cell>
          <cell r="E12"/>
          <cell r="F12"/>
          <cell r="G12"/>
          <cell r="H12"/>
          <cell r="I12"/>
          <cell r="J12"/>
          <cell r="K12"/>
          <cell r="L12"/>
          <cell r="M12" t="str">
            <v>0110</v>
          </cell>
          <cell r="N12">
            <v>444</v>
          </cell>
          <cell r="O12"/>
          <cell r="P12"/>
          <cell r="Q12"/>
          <cell r="R12"/>
          <cell r="S12"/>
          <cell r="T12" t="e">
            <v>#REF!</v>
          </cell>
          <cell r="U12"/>
          <cell r="V12"/>
          <cell r="W12"/>
          <cell r="X12"/>
          <cell r="Y12">
            <v>36141</v>
          </cell>
          <cell r="Z12"/>
          <cell r="AA12"/>
          <cell r="AB12"/>
          <cell r="AC12"/>
          <cell r="AD12"/>
          <cell r="AE12" t="e">
            <v>#REF!</v>
          </cell>
          <cell r="AF12"/>
          <cell r="AG12"/>
          <cell r="AH12"/>
          <cell r="AI12"/>
          <cell r="AJ12">
            <v>0.1</v>
          </cell>
          <cell r="AK12"/>
          <cell r="AL12" t="e">
            <v>#REF!</v>
          </cell>
          <cell r="AM12"/>
          <cell r="AN12"/>
          <cell r="AO12"/>
          <cell r="AP12"/>
          <cell r="AQ12">
            <v>426</v>
          </cell>
          <cell r="AR12"/>
          <cell r="AS12"/>
          <cell r="AT12"/>
          <cell r="AU12"/>
          <cell r="AV12"/>
          <cell r="AW12"/>
          <cell r="AX12"/>
          <cell r="AY12"/>
          <cell r="AZ12"/>
          <cell r="BA12"/>
          <cell r="BB12" t="e">
            <v>#REF!</v>
          </cell>
          <cell r="BC12"/>
          <cell r="BD12"/>
          <cell r="BE12"/>
          <cell r="BF12"/>
          <cell r="BG12">
            <v>32272</v>
          </cell>
          <cell r="BH12"/>
          <cell r="BI12"/>
          <cell r="BJ12"/>
          <cell r="BK12"/>
          <cell r="BL12"/>
          <cell r="BM12"/>
          <cell r="BN12"/>
          <cell r="BO12"/>
          <cell r="BP12"/>
          <cell r="BQ12"/>
          <cell r="BR12" t="e">
            <v>#REF!</v>
          </cell>
          <cell r="BS12"/>
          <cell r="BT12"/>
          <cell r="BU12"/>
          <cell r="BV12"/>
          <cell r="BW12">
            <v>18</v>
          </cell>
          <cell r="BX12"/>
          <cell r="BY12"/>
          <cell r="BZ12"/>
          <cell r="CA12"/>
          <cell r="CB12"/>
          <cell r="CC12"/>
          <cell r="CD12"/>
          <cell r="CE12"/>
          <cell r="CF12"/>
          <cell r="CG12"/>
          <cell r="CH12"/>
          <cell r="CI12"/>
          <cell r="CJ12"/>
          <cell r="CK12"/>
          <cell r="CL12"/>
          <cell r="CM12" t="e">
            <v>#REF!</v>
          </cell>
          <cell r="CN12"/>
          <cell r="CO12"/>
          <cell r="CP12"/>
          <cell r="CQ12"/>
          <cell r="CR12">
            <v>3869</v>
          </cell>
          <cell r="CS12"/>
          <cell r="CT12"/>
          <cell r="CU12"/>
          <cell r="CV12"/>
          <cell r="CW12"/>
          <cell r="CX12"/>
          <cell r="CY12"/>
          <cell r="CZ12"/>
          <cell r="DA12"/>
          <cell r="DB12"/>
          <cell r="DC12"/>
          <cell r="DD12"/>
          <cell r="DE12"/>
          <cell r="DF12"/>
          <cell r="DG12"/>
          <cell r="DH12"/>
          <cell r="DI12"/>
          <cell r="DJ12" t="e">
            <v>#REF!</v>
          </cell>
          <cell r="DK12"/>
          <cell r="DL12"/>
          <cell r="DM12"/>
          <cell r="DN12"/>
          <cell r="DO12" t="str">
            <v>6</v>
          </cell>
          <cell r="DP12"/>
        </row>
        <row r="13">
          <cell r="B13" t="str">
            <v>7</v>
          </cell>
          <cell r="C13"/>
          <cell r="D13" t="str">
            <v>Policy Adjustment</v>
          </cell>
          <cell r="E13"/>
          <cell r="F13"/>
          <cell r="G13"/>
          <cell r="H13"/>
          <cell r="I13"/>
          <cell r="J13"/>
          <cell r="K13"/>
          <cell r="L13"/>
          <cell r="M13" t="str">
            <v>0130</v>
          </cell>
          <cell r="N13">
            <v>10111</v>
          </cell>
          <cell r="O13"/>
          <cell r="P13"/>
          <cell r="Q13"/>
          <cell r="R13"/>
          <cell r="S13"/>
          <cell r="T13" t="e">
            <v>#REF!</v>
          </cell>
          <cell r="U13"/>
          <cell r="V13"/>
          <cell r="W13"/>
          <cell r="X13"/>
          <cell r="Y13">
            <v>134366</v>
          </cell>
          <cell r="Z13"/>
          <cell r="AA13"/>
          <cell r="AB13"/>
          <cell r="AC13"/>
          <cell r="AD13"/>
          <cell r="AE13" t="e">
            <v>#REF!</v>
          </cell>
          <cell r="AF13"/>
          <cell r="AG13"/>
          <cell r="AH13"/>
          <cell r="AI13"/>
          <cell r="AJ13">
            <v>0.2</v>
          </cell>
          <cell r="AK13"/>
          <cell r="AL13" t="e">
            <v>#REF!</v>
          </cell>
          <cell r="AM13"/>
          <cell r="AN13"/>
          <cell r="AO13"/>
          <cell r="AP13"/>
          <cell r="AQ13">
            <v>85</v>
          </cell>
          <cell r="AR13"/>
          <cell r="AS13"/>
          <cell r="AT13"/>
          <cell r="AU13"/>
          <cell r="AV13"/>
          <cell r="AW13"/>
          <cell r="AX13"/>
          <cell r="AY13"/>
          <cell r="AZ13"/>
          <cell r="BA13"/>
          <cell r="BB13" t="e">
            <v>#REF!</v>
          </cell>
          <cell r="BC13"/>
          <cell r="BD13"/>
          <cell r="BE13"/>
          <cell r="BF13"/>
          <cell r="BG13">
            <v>4630</v>
          </cell>
          <cell r="BH13"/>
          <cell r="BI13"/>
          <cell r="BJ13"/>
          <cell r="BK13"/>
          <cell r="BL13"/>
          <cell r="BM13"/>
          <cell r="BN13"/>
          <cell r="BO13"/>
          <cell r="BP13"/>
          <cell r="BQ13"/>
          <cell r="BR13" t="e">
            <v>#REF!</v>
          </cell>
          <cell r="BS13"/>
          <cell r="BT13"/>
          <cell r="BU13"/>
          <cell r="BV13"/>
          <cell r="BW13">
            <v>1688</v>
          </cell>
          <cell r="BX13"/>
          <cell r="BY13"/>
          <cell r="BZ13"/>
          <cell r="CA13"/>
          <cell r="CB13"/>
          <cell r="CC13"/>
          <cell r="CD13"/>
          <cell r="CE13"/>
          <cell r="CF13"/>
          <cell r="CG13"/>
          <cell r="CH13"/>
          <cell r="CI13"/>
          <cell r="CJ13"/>
          <cell r="CK13"/>
          <cell r="CL13"/>
          <cell r="CM13" t="e">
            <v>#REF!</v>
          </cell>
          <cell r="CN13"/>
          <cell r="CO13"/>
          <cell r="CP13"/>
          <cell r="CQ13"/>
          <cell r="CR13">
            <v>17654</v>
          </cell>
          <cell r="CS13"/>
          <cell r="CT13"/>
          <cell r="CU13"/>
          <cell r="CV13"/>
          <cell r="CW13"/>
          <cell r="CX13"/>
          <cell r="CY13"/>
          <cell r="CZ13"/>
          <cell r="DA13"/>
          <cell r="DB13"/>
          <cell r="DC13"/>
          <cell r="DD13"/>
          <cell r="DE13"/>
          <cell r="DF13"/>
          <cell r="DG13"/>
          <cell r="DH13"/>
          <cell r="DI13"/>
          <cell r="DJ13" t="e">
            <v>#REF!</v>
          </cell>
          <cell r="DK13"/>
          <cell r="DL13"/>
          <cell r="DM13"/>
          <cell r="DN13"/>
          <cell r="DO13" t="str">
            <v>7</v>
          </cell>
          <cell r="DP13"/>
        </row>
        <row r="14">
          <cell r="B14" t="str">
            <v>8</v>
          </cell>
          <cell r="C14"/>
          <cell r="D14" t="str">
            <v>Demonstration</v>
          </cell>
          <cell r="E14"/>
          <cell r="F14"/>
          <cell r="G14"/>
          <cell r="H14"/>
          <cell r="I14"/>
          <cell r="J14"/>
          <cell r="K14"/>
          <cell r="L14"/>
          <cell r="M14" t="str">
            <v>0140</v>
          </cell>
          <cell r="N14">
            <v>65124</v>
          </cell>
          <cell r="O14"/>
          <cell r="P14"/>
          <cell r="Q14"/>
          <cell r="R14"/>
          <cell r="S14"/>
          <cell r="T14" t="e">
            <v>#REF!</v>
          </cell>
          <cell r="U14"/>
          <cell r="V14"/>
          <cell r="W14"/>
          <cell r="X14"/>
          <cell r="Y14">
            <v>690354</v>
          </cell>
          <cell r="Z14"/>
          <cell r="AA14"/>
          <cell r="AB14"/>
          <cell r="AC14"/>
          <cell r="AD14"/>
          <cell r="AE14" t="e">
            <v>#REF!</v>
          </cell>
          <cell r="AF14"/>
          <cell r="AG14"/>
          <cell r="AH14"/>
          <cell r="AI14"/>
          <cell r="AJ14">
            <v>1</v>
          </cell>
          <cell r="AK14"/>
          <cell r="AL14" t="e">
            <v>#REF!</v>
          </cell>
          <cell r="AM14"/>
          <cell r="AN14"/>
          <cell r="AO14"/>
          <cell r="AP14"/>
          <cell r="AQ14">
            <v>32568</v>
          </cell>
          <cell r="AR14"/>
          <cell r="AS14"/>
          <cell r="AT14"/>
          <cell r="AU14"/>
          <cell r="AV14"/>
          <cell r="AW14"/>
          <cell r="AX14"/>
          <cell r="AY14"/>
          <cell r="AZ14"/>
          <cell r="BA14"/>
          <cell r="BB14" t="e">
            <v>#REF!</v>
          </cell>
          <cell r="BC14"/>
          <cell r="BD14"/>
          <cell r="BE14"/>
          <cell r="BF14"/>
          <cell r="BG14">
            <v>344500</v>
          </cell>
          <cell r="BH14"/>
          <cell r="BI14"/>
          <cell r="BJ14"/>
          <cell r="BK14"/>
          <cell r="BL14"/>
          <cell r="BM14"/>
          <cell r="BN14"/>
          <cell r="BO14"/>
          <cell r="BP14"/>
          <cell r="BQ14"/>
          <cell r="BR14" t="e">
            <v>#REF!</v>
          </cell>
          <cell r="BS14"/>
          <cell r="BT14"/>
          <cell r="BU14"/>
          <cell r="BV14"/>
          <cell r="BW14">
            <v>32556</v>
          </cell>
          <cell r="BX14"/>
          <cell r="BY14"/>
          <cell r="BZ14"/>
          <cell r="CA14"/>
          <cell r="CB14"/>
          <cell r="CC14"/>
          <cell r="CD14"/>
          <cell r="CE14"/>
          <cell r="CF14"/>
          <cell r="CG14"/>
          <cell r="CH14"/>
          <cell r="CI14"/>
          <cell r="CJ14"/>
          <cell r="CK14"/>
          <cell r="CL14"/>
          <cell r="CM14" t="e">
            <v>#REF!</v>
          </cell>
          <cell r="CN14"/>
          <cell r="CO14"/>
          <cell r="CP14"/>
          <cell r="CQ14"/>
          <cell r="CR14">
            <v>345854</v>
          </cell>
          <cell r="CS14"/>
          <cell r="CT14"/>
          <cell r="CU14"/>
          <cell r="CV14"/>
          <cell r="CW14"/>
          <cell r="CX14"/>
          <cell r="CY14"/>
          <cell r="CZ14"/>
          <cell r="DA14"/>
          <cell r="DB14"/>
          <cell r="DC14"/>
          <cell r="DD14"/>
          <cell r="DE14"/>
          <cell r="DF14"/>
          <cell r="DG14"/>
          <cell r="DH14"/>
          <cell r="DI14"/>
          <cell r="DJ14" t="e">
            <v>#REF!</v>
          </cell>
          <cell r="DK14"/>
          <cell r="DL14"/>
          <cell r="DM14"/>
          <cell r="DN14"/>
          <cell r="DO14" t="str">
            <v>8</v>
          </cell>
          <cell r="DP14"/>
        </row>
        <row r="15">
          <cell r="B15" t="str">
            <v>9</v>
          </cell>
          <cell r="C15"/>
          <cell r="D15" t="str">
            <v>Advertising</v>
          </cell>
          <cell r="E15"/>
          <cell r="F15"/>
          <cell r="G15"/>
          <cell r="H15"/>
          <cell r="I15"/>
          <cell r="J15"/>
          <cell r="K15"/>
          <cell r="L15"/>
          <cell r="M15" t="str">
            <v>0150</v>
          </cell>
          <cell r="N15">
            <v>15290</v>
          </cell>
          <cell r="O15"/>
          <cell r="P15"/>
          <cell r="Q15"/>
          <cell r="R15"/>
          <cell r="S15"/>
          <cell r="T15" t="e">
            <v>#REF!</v>
          </cell>
          <cell r="U15"/>
          <cell r="V15"/>
          <cell r="W15"/>
          <cell r="X15"/>
          <cell r="Y15">
            <v>295765</v>
          </cell>
          <cell r="Z15"/>
          <cell r="AA15"/>
          <cell r="AB15"/>
          <cell r="AC15"/>
          <cell r="AD15"/>
          <cell r="AE15" t="e">
            <v>#REF!</v>
          </cell>
          <cell r="AF15"/>
          <cell r="AG15"/>
          <cell r="AH15"/>
          <cell r="AI15"/>
          <cell r="AJ15">
            <v>0.4</v>
          </cell>
          <cell r="AK15"/>
          <cell r="AL15" t="e">
            <v>#REF!</v>
          </cell>
          <cell r="AM15"/>
          <cell r="AN15"/>
          <cell r="AO15"/>
          <cell r="AP15"/>
          <cell r="AQ15">
            <v>6070</v>
          </cell>
          <cell r="AR15"/>
          <cell r="AS15"/>
          <cell r="AT15"/>
          <cell r="AU15"/>
          <cell r="AV15"/>
          <cell r="AW15"/>
          <cell r="AX15"/>
          <cell r="AY15"/>
          <cell r="AZ15"/>
          <cell r="BA15"/>
          <cell r="BB15" t="e">
            <v>#REF!</v>
          </cell>
          <cell r="BC15"/>
          <cell r="BD15"/>
          <cell r="BE15"/>
          <cell r="BF15"/>
          <cell r="BG15">
            <v>153138</v>
          </cell>
          <cell r="BH15"/>
          <cell r="BI15"/>
          <cell r="BJ15"/>
          <cell r="BK15"/>
          <cell r="BL15"/>
          <cell r="BM15"/>
          <cell r="BN15"/>
          <cell r="BO15"/>
          <cell r="BP15"/>
          <cell r="BQ15"/>
          <cell r="BR15" t="e">
            <v>#REF!</v>
          </cell>
          <cell r="BS15"/>
          <cell r="BT15"/>
          <cell r="BU15"/>
          <cell r="BV15"/>
          <cell r="BW15">
            <v>9220</v>
          </cell>
          <cell r="BX15"/>
          <cell r="BY15"/>
          <cell r="BZ15"/>
          <cell r="CA15"/>
          <cell r="CB15"/>
          <cell r="CC15"/>
          <cell r="CD15"/>
          <cell r="CE15"/>
          <cell r="CF15"/>
          <cell r="CG15"/>
          <cell r="CH15"/>
          <cell r="CI15"/>
          <cell r="CJ15"/>
          <cell r="CK15"/>
          <cell r="CL15"/>
          <cell r="CM15" t="e">
            <v>#REF!</v>
          </cell>
          <cell r="CN15"/>
          <cell r="CO15"/>
          <cell r="CP15"/>
          <cell r="CQ15"/>
          <cell r="CR15">
            <v>142627</v>
          </cell>
          <cell r="CS15"/>
          <cell r="CT15"/>
          <cell r="CU15"/>
          <cell r="CV15"/>
          <cell r="CW15"/>
          <cell r="CX15"/>
          <cell r="CY15"/>
          <cell r="CZ15"/>
          <cell r="DA15"/>
          <cell r="DB15"/>
          <cell r="DC15"/>
          <cell r="DD15"/>
          <cell r="DE15"/>
          <cell r="DF15"/>
          <cell r="DG15"/>
          <cell r="DH15"/>
          <cell r="DI15"/>
          <cell r="DJ15" t="e">
            <v>#REF!</v>
          </cell>
          <cell r="DK15"/>
          <cell r="DL15"/>
          <cell r="DM15"/>
          <cell r="DN15"/>
          <cell r="DO15" t="str">
            <v>9</v>
          </cell>
          <cell r="DP15"/>
        </row>
        <row r="16">
          <cell r="B16" t="str">
            <v>10</v>
          </cell>
          <cell r="C16"/>
          <cell r="D16" t="str">
            <v>LESS Advertising Reimbursement / Allowances</v>
          </cell>
          <cell r="E16"/>
          <cell r="F16"/>
          <cell r="G16"/>
          <cell r="H16"/>
          <cell r="I16"/>
          <cell r="J16"/>
          <cell r="K16"/>
          <cell r="L16"/>
          <cell r="M16" t="str">
            <v>0170</v>
          </cell>
          <cell r="N16">
            <v>16650</v>
          </cell>
          <cell r="O16"/>
          <cell r="P16"/>
          <cell r="Q16"/>
          <cell r="R16"/>
          <cell r="S16"/>
          <cell r="T16" t="e">
            <v>#REF!</v>
          </cell>
          <cell r="U16"/>
          <cell r="V16"/>
          <cell r="W16"/>
          <cell r="X16"/>
          <cell r="Y16">
            <v>200373</v>
          </cell>
          <cell r="Z16"/>
          <cell r="AA16"/>
          <cell r="AB16"/>
          <cell r="AC16"/>
          <cell r="AD16"/>
          <cell r="AE16" t="e">
            <v>#REF!</v>
          </cell>
          <cell r="AF16"/>
          <cell r="AG16"/>
          <cell r="AH16"/>
          <cell r="AI16"/>
          <cell r="AJ16">
            <v>-0.3</v>
          </cell>
          <cell r="AK16"/>
          <cell r="AL16" t="e">
            <v>#REF!</v>
          </cell>
          <cell r="AM16"/>
          <cell r="AN16"/>
          <cell r="AO16"/>
          <cell r="AP16"/>
          <cell r="AQ16">
            <v>16650</v>
          </cell>
          <cell r="AR16"/>
          <cell r="AS16"/>
          <cell r="AT16"/>
          <cell r="AU16"/>
          <cell r="AV16"/>
          <cell r="AW16"/>
          <cell r="AX16"/>
          <cell r="AY16"/>
          <cell r="AZ16"/>
          <cell r="BA16"/>
          <cell r="BB16" t="e">
            <v>#REF!</v>
          </cell>
          <cell r="BC16"/>
          <cell r="BD16"/>
          <cell r="BE16"/>
          <cell r="BF16"/>
          <cell r="BG16">
            <v>200373</v>
          </cell>
          <cell r="BH16"/>
          <cell r="BI16"/>
          <cell r="BJ16"/>
          <cell r="BK16"/>
          <cell r="BL16"/>
          <cell r="BM16"/>
          <cell r="BN16"/>
          <cell r="BO16"/>
          <cell r="BP16"/>
          <cell r="BQ16"/>
          <cell r="BR16" t="e">
            <v>#REF!</v>
          </cell>
          <cell r="BS16"/>
          <cell r="BT16"/>
          <cell r="BU16"/>
          <cell r="BV16"/>
          <cell r="BW16">
            <v>0</v>
          </cell>
          <cell r="BX16"/>
          <cell r="BY16"/>
          <cell r="BZ16"/>
          <cell r="CA16"/>
          <cell r="CB16"/>
          <cell r="CC16"/>
          <cell r="CD16"/>
          <cell r="CE16"/>
          <cell r="CF16"/>
          <cell r="CG16"/>
          <cell r="CH16"/>
          <cell r="CI16"/>
          <cell r="CJ16"/>
          <cell r="CK16"/>
          <cell r="CL16"/>
          <cell r="CM16" t="e">
            <v>#REF!</v>
          </cell>
          <cell r="CN16"/>
          <cell r="CO16"/>
          <cell r="CP16"/>
          <cell r="CQ16"/>
          <cell r="CR16">
            <v>0</v>
          </cell>
          <cell r="CS16"/>
          <cell r="CT16"/>
          <cell r="CU16"/>
          <cell r="CV16"/>
          <cell r="CW16"/>
          <cell r="CX16"/>
          <cell r="CY16"/>
          <cell r="CZ16"/>
          <cell r="DA16"/>
          <cell r="DB16"/>
          <cell r="DC16"/>
          <cell r="DD16"/>
          <cell r="DE16"/>
          <cell r="DF16"/>
          <cell r="DG16"/>
          <cell r="DH16"/>
          <cell r="DI16"/>
          <cell r="DJ16" t="e">
            <v>#REF!</v>
          </cell>
          <cell r="DK16"/>
          <cell r="DL16"/>
          <cell r="DM16"/>
          <cell r="DN16"/>
          <cell r="DO16" t="str">
            <v>10</v>
          </cell>
          <cell r="DP16"/>
        </row>
        <row r="17">
          <cell r="B17" t="str">
            <v>11</v>
          </cell>
          <cell r="C17"/>
          <cell r="D17" t="str">
            <v>Interest - Floor Plan - Vehicles</v>
          </cell>
          <cell r="E17"/>
          <cell r="F17"/>
          <cell r="G17"/>
          <cell r="H17"/>
          <cell r="I17"/>
          <cell r="J17"/>
          <cell r="K17"/>
          <cell r="L17"/>
          <cell r="M17" t="str">
            <v>0160</v>
          </cell>
          <cell r="N17">
            <v>39942</v>
          </cell>
          <cell r="O17"/>
          <cell r="P17"/>
          <cell r="Q17"/>
          <cell r="R17"/>
          <cell r="S17"/>
          <cell r="T17" t="e">
            <v>#REF!</v>
          </cell>
          <cell r="U17"/>
          <cell r="V17"/>
          <cell r="W17"/>
          <cell r="X17"/>
          <cell r="Y17">
            <v>364768</v>
          </cell>
          <cell r="Z17"/>
          <cell r="AA17"/>
          <cell r="AB17"/>
          <cell r="AC17"/>
          <cell r="AD17"/>
          <cell r="AE17" t="e">
            <v>#REF!</v>
          </cell>
          <cell r="AF17"/>
          <cell r="AG17"/>
          <cell r="AH17"/>
          <cell r="AI17"/>
          <cell r="AJ17">
            <v>0.5</v>
          </cell>
          <cell r="AK17"/>
          <cell r="AL17" t="e">
            <v>#REF!</v>
          </cell>
          <cell r="AM17"/>
          <cell r="AN17"/>
          <cell r="AO17"/>
          <cell r="AP17"/>
          <cell r="AQ17">
            <v>35906</v>
          </cell>
          <cell r="AR17"/>
          <cell r="AS17"/>
          <cell r="AT17"/>
          <cell r="AU17"/>
          <cell r="AV17"/>
          <cell r="AW17"/>
          <cell r="AX17"/>
          <cell r="AY17"/>
          <cell r="AZ17"/>
          <cell r="BA17"/>
          <cell r="BB17" t="e">
            <v>#REF!</v>
          </cell>
          <cell r="BC17"/>
          <cell r="BD17"/>
          <cell r="BE17"/>
          <cell r="BF17"/>
          <cell r="BG17">
            <v>320812</v>
          </cell>
          <cell r="BH17"/>
          <cell r="BI17"/>
          <cell r="BJ17"/>
          <cell r="BK17"/>
          <cell r="BL17"/>
          <cell r="BM17"/>
          <cell r="BN17"/>
          <cell r="BO17"/>
          <cell r="BP17"/>
          <cell r="BQ17"/>
          <cell r="BR17" t="e">
            <v>#REF!</v>
          </cell>
          <cell r="BS17"/>
          <cell r="BT17"/>
          <cell r="BU17"/>
          <cell r="BV17"/>
          <cell r="BW17">
            <v>4036</v>
          </cell>
          <cell r="BX17"/>
          <cell r="BY17"/>
          <cell r="BZ17"/>
          <cell r="CA17"/>
          <cell r="CB17"/>
          <cell r="CC17"/>
          <cell r="CD17"/>
          <cell r="CE17"/>
          <cell r="CF17"/>
          <cell r="CG17"/>
          <cell r="CH17"/>
          <cell r="CI17"/>
          <cell r="CJ17"/>
          <cell r="CK17"/>
          <cell r="CL17"/>
          <cell r="CM17" t="e">
            <v>#REF!</v>
          </cell>
          <cell r="CN17"/>
          <cell r="CO17"/>
          <cell r="CP17"/>
          <cell r="CQ17"/>
          <cell r="CR17">
            <v>43956</v>
          </cell>
          <cell r="CS17"/>
          <cell r="CT17"/>
          <cell r="CU17"/>
          <cell r="CV17"/>
          <cell r="CW17"/>
          <cell r="CX17"/>
          <cell r="CY17"/>
          <cell r="CZ17"/>
          <cell r="DA17"/>
          <cell r="DB17"/>
          <cell r="DC17"/>
          <cell r="DD17"/>
          <cell r="DE17"/>
          <cell r="DF17"/>
          <cell r="DG17"/>
          <cell r="DH17"/>
          <cell r="DI17"/>
          <cell r="DJ17" t="e">
            <v>#REF!</v>
          </cell>
          <cell r="DK17"/>
          <cell r="DL17"/>
          <cell r="DM17"/>
          <cell r="DN17"/>
          <cell r="DO17" t="str">
            <v>11</v>
          </cell>
          <cell r="DP17"/>
        </row>
        <row r="18">
          <cell r="B18" t="str">
            <v>12</v>
          </cell>
          <cell r="C18"/>
          <cell r="D18" t="str">
            <v>LESS Floor Plan Assistance</v>
          </cell>
          <cell r="E18"/>
          <cell r="F18"/>
          <cell r="G18"/>
          <cell r="H18"/>
          <cell r="I18"/>
          <cell r="J18"/>
          <cell r="K18"/>
          <cell r="L18"/>
          <cell r="M18" t="str">
            <v>0180</v>
          </cell>
          <cell r="N18">
            <v>53095</v>
          </cell>
          <cell r="O18"/>
          <cell r="P18"/>
          <cell r="Q18"/>
          <cell r="R18"/>
          <cell r="S18"/>
          <cell r="T18" t="e">
            <v>#REF!</v>
          </cell>
          <cell r="U18"/>
          <cell r="V18"/>
          <cell r="W18"/>
          <cell r="X18"/>
          <cell r="Y18">
            <v>554607</v>
          </cell>
          <cell r="Z18"/>
          <cell r="AA18"/>
          <cell r="AB18"/>
          <cell r="AC18"/>
          <cell r="AD18"/>
          <cell r="AE18" t="e">
            <v>#REF!</v>
          </cell>
          <cell r="AF18"/>
          <cell r="AG18"/>
          <cell r="AH18"/>
          <cell r="AI18"/>
          <cell r="AJ18">
            <v>-0.8</v>
          </cell>
          <cell r="AK18"/>
          <cell r="AL18" t="e">
            <v>#REF!</v>
          </cell>
          <cell r="AM18"/>
          <cell r="AN18"/>
          <cell r="AO18"/>
          <cell r="AP18"/>
          <cell r="AQ18">
            <v>53095</v>
          </cell>
          <cell r="AR18"/>
          <cell r="AS18"/>
          <cell r="AT18"/>
          <cell r="AU18"/>
          <cell r="AV18"/>
          <cell r="AW18"/>
          <cell r="AX18"/>
          <cell r="AY18"/>
          <cell r="AZ18"/>
          <cell r="BA18"/>
          <cell r="BB18" t="e">
            <v>#REF!</v>
          </cell>
          <cell r="BC18"/>
          <cell r="BD18"/>
          <cell r="BE18"/>
          <cell r="BF18"/>
          <cell r="BG18">
            <v>554607</v>
          </cell>
          <cell r="BH18"/>
          <cell r="BI18"/>
          <cell r="BJ18"/>
          <cell r="BK18"/>
          <cell r="BL18"/>
          <cell r="BM18"/>
          <cell r="BN18"/>
          <cell r="BO18"/>
          <cell r="BP18"/>
          <cell r="BQ18"/>
          <cell r="BR18" t="e">
            <v>#REF!</v>
          </cell>
          <cell r="BS18"/>
          <cell r="BT18"/>
          <cell r="BU18"/>
          <cell r="BV18"/>
          <cell r="BW18">
            <v>0</v>
          </cell>
          <cell r="BX18"/>
          <cell r="BY18"/>
          <cell r="BZ18"/>
          <cell r="CA18"/>
          <cell r="CB18"/>
          <cell r="CC18"/>
          <cell r="CD18"/>
          <cell r="CE18"/>
          <cell r="CF18"/>
          <cell r="CG18"/>
          <cell r="CH18"/>
          <cell r="CI18"/>
          <cell r="CJ18"/>
          <cell r="CK18"/>
          <cell r="CL18"/>
          <cell r="CM18" t="e">
            <v>#REF!</v>
          </cell>
          <cell r="CN18"/>
          <cell r="CO18"/>
          <cell r="CP18"/>
          <cell r="CQ18"/>
          <cell r="CR18">
            <v>0</v>
          </cell>
          <cell r="CS18"/>
          <cell r="CT18"/>
          <cell r="CU18"/>
          <cell r="CV18"/>
          <cell r="CW18"/>
          <cell r="CX18"/>
          <cell r="CY18"/>
          <cell r="CZ18"/>
          <cell r="DA18"/>
          <cell r="DB18"/>
          <cell r="DC18"/>
          <cell r="DD18"/>
          <cell r="DE18"/>
          <cell r="DF18"/>
          <cell r="DG18"/>
          <cell r="DH18"/>
          <cell r="DI18"/>
          <cell r="DJ18" t="e">
            <v>#REF!</v>
          </cell>
          <cell r="DK18"/>
          <cell r="DL18"/>
          <cell r="DM18"/>
          <cell r="DN18"/>
          <cell r="DO18" t="str">
            <v>12</v>
          </cell>
          <cell r="DP18"/>
        </row>
        <row r="19">
          <cell r="B19" t="str">
            <v>13</v>
          </cell>
          <cell r="C19"/>
          <cell r="D19" t="str">
            <v>Vehicle Maintenance</v>
          </cell>
          <cell r="E19"/>
          <cell r="F19"/>
          <cell r="G19"/>
          <cell r="H19"/>
          <cell r="I19"/>
          <cell r="J19"/>
          <cell r="K19"/>
          <cell r="L19"/>
          <cell r="M19" t="str">
            <v>0190</v>
          </cell>
          <cell r="N19">
            <v>0</v>
          </cell>
          <cell r="O19"/>
          <cell r="P19"/>
          <cell r="Q19"/>
          <cell r="R19"/>
          <cell r="S19"/>
          <cell r="T19" t="e">
            <v>#REF!</v>
          </cell>
          <cell r="U19"/>
          <cell r="V19"/>
          <cell r="W19"/>
          <cell r="X19"/>
          <cell r="Y19">
            <v>0</v>
          </cell>
          <cell r="Z19"/>
          <cell r="AA19"/>
          <cell r="AB19"/>
          <cell r="AC19"/>
          <cell r="AD19"/>
          <cell r="AE19" t="e">
            <v>#REF!</v>
          </cell>
          <cell r="AF19"/>
          <cell r="AG19"/>
          <cell r="AH19"/>
          <cell r="AI19"/>
          <cell r="AJ19">
            <v>0</v>
          </cell>
          <cell r="AK19"/>
          <cell r="AL19" t="e">
            <v>#REF!</v>
          </cell>
          <cell r="AM19"/>
          <cell r="AN19"/>
          <cell r="AO19"/>
          <cell r="AP19"/>
          <cell r="AQ19">
            <v>0</v>
          </cell>
          <cell r="AR19"/>
          <cell r="AS19"/>
          <cell r="AT19"/>
          <cell r="AU19"/>
          <cell r="AV19"/>
          <cell r="AW19"/>
          <cell r="AX19"/>
          <cell r="AY19"/>
          <cell r="AZ19"/>
          <cell r="BA19"/>
          <cell r="BB19" t="e">
            <v>#REF!</v>
          </cell>
          <cell r="BC19"/>
          <cell r="BD19"/>
          <cell r="BE19"/>
          <cell r="BF19"/>
          <cell r="BG19">
            <v>0</v>
          </cell>
          <cell r="BH19"/>
          <cell r="BI19"/>
          <cell r="BJ19"/>
          <cell r="BK19"/>
          <cell r="BL19"/>
          <cell r="BM19"/>
          <cell r="BN19"/>
          <cell r="BO19"/>
          <cell r="BP19"/>
          <cell r="BQ19"/>
          <cell r="BR19" t="e">
            <v>#REF!</v>
          </cell>
          <cell r="BS19"/>
          <cell r="BT19"/>
          <cell r="BU19"/>
          <cell r="BV19"/>
          <cell r="BW19">
            <v>0</v>
          </cell>
          <cell r="BX19"/>
          <cell r="BY19"/>
          <cell r="BZ19"/>
          <cell r="CA19"/>
          <cell r="CB19"/>
          <cell r="CC19"/>
          <cell r="CD19"/>
          <cell r="CE19"/>
          <cell r="CF19"/>
          <cell r="CG19"/>
          <cell r="CH19"/>
          <cell r="CI19"/>
          <cell r="CJ19"/>
          <cell r="CK19"/>
          <cell r="CL19"/>
          <cell r="CM19" t="e">
            <v>#REF!</v>
          </cell>
          <cell r="CN19"/>
          <cell r="CO19"/>
          <cell r="CP19"/>
          <cell r="CQ19"/>
          <cell r="CR19">
            <v>0</v>
          </cell>
          <cell r="CS19"/>
          <cell r="CT19"/>
          <cell r="CU19"/>
          <cell r="CV19"/>
          <cell r="CW19"/>
          <cell r="CX19"/>
          <cell r="CY19"/>
          <cell r="CZ19"/>
          <cell r="DA19"/>
          <cell r="DB19"/>
          <cell r="DC19"/>
          <cell r="DD19"/>
          <cell r="DE19"/>
          <cell r="DF19"/>
          <cell r="DG19"/>
          <cell r="DH19"/>
          <cell r="DI19"/>
          <cell r="DJ19" t="e">
            <v>#REF!</v>
          </cell>
          <cell r="DK19"/>
          <cell r="DL19"/>
          <cell r="DM19"/>
          <cell r="DN19"/>
          <cell r="DO19" t="str">
            <v>13</v>
          </cell>
          <cell r="DP19"/>
        </row>
        <row r="20">
          <cell r="B20" t="str">
            <v>14</v>
          </cell>
          <cell r="C20"/>
          <cell r="D20" t="str">
            <v>TOTAL VARIABLE SELLING EXPENSE</v>
          </cell>
          <cell r="E20"/>
          <cell r="F20"/>
          <cell r="G20"/>
          <cell r="H20"/>
          <cell r="I20"/>
          <cell r="J20"/>
          <cell r="K20"/>
          <cell r="L20" t="str">
            <v xml:space="preserve">(Lines 3 to 13) </v>
          </cell>
          <cell r="M20"/>
          <cell r="N20">
            <v>223591</v>
          </cell>
          <cell r="O20"/>
          <cell r="P20"/>
          <cell r="Q20"/>
          <cell r="R20"/>
          <cell r="S20"/>
          <cell r="T20" t="e">
            <v>#REF!</v>
          </cell>
          <cell r="U20"/>
          <cell r="V20"/>
          <cell r="W20"/>
          <cell r="X20"/>
          <cell r="Y20">
            <v>2525596</v>
          </cell>
          <cell r="Z20"/>
          <cell r="AA20"/>
          <cell r="AB20"/>
          <cell r="AC20"/>
          <cell r="AD20"/>
          <cell r="AE20" t="e">
            <v>#REF!</v>
          </cell>
          <cell r="AF20"/>
          <cell r="AG20"/>
          <cell r="AH20"/>
          <cell r="AI20"/>
          <cell r="AJ20">
            <v>3.7</v>
          </cell>
          <cell r="AK20"/>
          <cell r="AL20" t="e">
            <v>#REF!</v>
          </cell>
          <cell r="AM20"/>
          <cell r="AN20"/>
          <cell r="AO20"/>
          <cell r="AP20"/>
          <cell r="AQ20">
            <v>66609</v>
          </cell>
          <cell r="AR20"/>
          <cell r="AS20"/>
          <cell r="AT20"/>
          <cell r="AU20"/>
          <cell r="AV20"/>
          <cell r="AW20"/>
          <cell r="AX20"/>
          <cell r="AY20"/>
          <cell r="AZ20"/>
          <cell r="BA20"/>
          <cell r="BB20" t="e">
            <v>#REF!</v>
          </cell>
          <cell r="BC20"/>
          <cell r="BD20"/>
          <cell r="BE20"/>
          <cell r="BF20"/>
          <cell r="BG20">
            <v>766297</v>
          </cell>
          <cell r="BH20"/>
          <cell r="BI20"/>
          <cell r="BJ20"/>
          <cell r="BK20"/>
          <cell r="BL20"/>
          <cell r="BM20"/>
          <cell r="BN20"/>
          <cell r="BO20"/>
          <cell r="BP20"/>
          <cell r="BQ20"/>
          <cell r="BR20" t="e">
            <v>#REF!</v>
          </cell>
          <cell r="BS20"/>
          <cell r="BT20"/>
          <cell r="BU20"/>
          <cell r="BV20"/>
          <cell r="BW20">
            <v>106547</v>
          </cell>
          <cell r="BX20"/>
          <cell r="BY20"/>
          <cell r="BZ20"/>
          <cell r="CA20"/>
          <cell r="CB20"/>
          <cell r="CC20"/>
          <cell r="CD20"/>
          <cell r="CE20"/>
          <cell r="CF20"/>
          <cell r="CG20"/>
          <cell r="CH20"/>
          <cell r="CI20"/>
          <cell r="CJ20"/>
          <cell r="CK20"/>
          <cell r="CL20"/>
          <cell r="CM20" t="e">
            <v>#REF!</v>
          </cell>
          <cell r="CN20"/>
          <cell r="CO20"/>
          <cell r="CP20"/>
          <cell r="CQ20"/>
          <cell r="CR20">
            <v>1188830</v>
          </cell>
          <cell r="CS20"/>
          <cell r="CT20"/>
          <cell r="CU20"/>
          <cell r="CV20"/>
          <cell r="CW20"/>
          <cell r="CX20"/>
          <cell r="CY20"/>
          <cell r="CZ20"/>
          <cell r="DA20"/>
          <cell r="DB20"/>
          <cell r="DC20"/>
          <cell r="DD20"/>
          <cell r="DE20"/>
          <cell r="DF20"/>
          <cell r="DG20"/>
          <cell r="DH20"/>
          <cell r="DI20"/>
          <cell r="DJ20" t="e">
            <v>#REF!</v>
          </cell>
          <cell r="DK20"/>
          <cell r="DL20"/>
          <cell r="DM20"/>
          <cell r="DN20"/>
          <cell r="DO20" t="str">
            <v>14</v>
          </cell>
          <cell r="DP20"/>
        </row>
        <row r="21">
          <cell r="B21" t="str">
            <v>15</v>
          </cell>
          <cell r="C21"/>
          <cell r="D21" t="str">
            <v>Salaries - Owners</v>
          </cell>
          <cell r="E21"/>
          <cell r="F21"/>
          <cell r="G21"/>
          <cell r="H21"/>
          <cell r="I21"/>
          <cell r="J21"/>
          <cell r="K21"/>
          <cell r="L21"/>
          <cell r="M21" t="str">
            <v>0200</v>
          </cell>
          <cell r="N21">
            <v>36500</v>
          </cell>
          <cell r="O21"/>
          <cell r="P21"/>
          <cell r="Q21"/>
          <cell r="R21"/>
          <cell r="S21"/>
          <cell r="T21" t="e">
            <v>#REF!</v>
          </cell>
          <cell r="U21"/>
          <cell r="V21"/>
          <cell r="W21"/>
          <cell r="X21"/>
          <cell r="Y21">
            <v>401010</v>
          </cell>
          <cell r="Z21"/>
          <cell r="AA21"/>
          <cell r="AB21"/>
          <cell r="AC21"/>
          <cell r="AD21"/>
          <cell r="AE21" t="e">
            <v>#REF!</v>
          </cell>
          <cell r="AF21"/>
          <cell r="AG21"/>
          <cell r="AH21"/>
          <cell r="AI21"/>
          <cell r="AJ21">
            <v>0.6</v>
          </cell>
          <cell r="AK21"/>
          <cell r="AL21" t="e">
            <v>#REF!</v>
          </cell>
          <cell r="AM21"/>
          <cell r="AN21"/>
          <cell r="AO21"/>
          <cell r="AP21"/>
          <cell r="AQ21">
            <v>21000</v>
          </cell>
          <cell r="AR21"/>
          <cell r="AS21"/>
          <cell r="AT21"/>
          <cell r="AU21"/>
          <cell r="AV21"/>
          <cell r="AW21"/>
          <cell r="AX21"/>
          <cell r="AY21"/>
          <cell r="AZ21"/>
          <cell r="BA21"/>
          <cell r="BB21" t="e">
            <v>#REF!</v>
          </cell>
          <cell r="BC21"/>
          <cell r="BD21"/>
          <cell r="BE21"/>
          <cell r="BF21"/>
          <cell r="BG21">
            <v>219478</v>
          </cell>
          <cell r="BH21"/>
          <cell r="BI21"/>
          <cell r="BJ21"/>
          <cell r="BK21"/>
          <cell r="BL21"/>
          <cell r="BM21"/>
          <cell r="BN21"/>
          <cell r="BO21"/>
          <cell r="BP21"/>
          <cell r="BQ21"/>
          <cell r="BR21" t="e">
            <v>#REF!</v>
          </cell>
          <cell r="BS21"/>
          <cell r="BT21"/>
          <cell r="BU21"/>
          <cell r="BV21"/>
          <cell r="BW21">
            <v>13150</v>
          </cell>
          <cell r="BX21"/>
          <cell r="BY21"/>
          <cell r="BZ21"/>
          <cell r="CA21"/>
          <cell r="CB21"/>
          <cell r="CC21"/>
          <cell r="CD21"/>
          <cell r="CE21"/>
          <cell r="CF21"/>
          <cell r="CG21"/>
          <cell r="CH21"/>
          <cell r="CI21"/>
          <cell r="CJ21"/>
          <cell r="CK21"/>
          <cell r="CL21"/>
          <cell r="CM21" t="e">
            <v>#REF!</v>
          </cell>
          <cell r="CN21"/>
          <cell r="CO21"/>
          <cell r="CP21"/>
          <cell r="CQ21"/>
          <cell r="CR21">
            <v>158140</v>
          </cell>
          <cell r="CS21"/>
          <cell r="CT21"/>
          <cell r="CU21"/>
          <cell r="CV21"/>
          <cell r="CW21"/>
          <cell r="CX21"/>
          <cell r="CY21"/>
          <cell r="CZ21"/>
          <cell r="DA21"/>
          <cell r="DB21"/>
          <cell r="DC21"/>
          <cell r="DD21"/>
          <cell r="DE21"/>
          <cell r="DF21"/>
          <cell r="DG21"/>
          <cell r="DH21"/>
          <cell r="DI21"/>
          <cell r="DJ21" t="e">
            <v>#REF!</v>
          </cell>
          <cell r="DK21"/>
          <cell r="DL21"/>
          <cell r="DM21"/>
          <cell r="DN21"/>
          <cell r="DO21" t="str">
            <v>15</v>
          </cell>
          <cell r="DP21"/>
        </row>
        <row r="22">
          <cell r="B22" t="str">
            <v>16</v>
          </cell>
          <cell r="C22"/>
          <cell r="D22" t="str">
            <v>Salaries - Supervision</v>
          </cell>
          <cell r="E22"/>
          <cell r="F22"/>
          <cell r="G22"/>
          <cell r="H22"/>
          <cell r="I22"/>
          <cell r="J22"/>
          <cell r="K22"/>
          <cell r="L22"/>
          <cell r="M22" t="str">
            <v>0210</v>
          </cell>
          <cell r="N22">
            <v>122643</v>
          </cell>
          <cell r="O22"/>
          <cell r="P22"/>
          <cell r="Q22"/>
          <cell r="R22"/>
          <cell r="S22"/>
          <cell r="T22" t="e">
            <v>#REF!</v>
          </cell>
          <cell r="U22"/>
          <cell r="V22"/>
          <cell r="W22"/>
          <cell r="X22"/>
          <cell r="Y22">
            <v>1264431</v>
          </cell>
          <cell r="Z22"/>
          <cell r="AA22"/>
          <cell r="AB22"/>
          <cell r="AC22"/>
          <cell r="AD22"/>
          <cell r="AE22" t="e">
            <v>#REF!</v>
          </cell>
          <cell r="AF22"/>
          <cell r="AG22"/>
          <cell r="AH22"/>
          <cell r="AI22"/>
          <cell r="AJ22">
            <v>1.9</v>
          </cell>
          <cell r="AK22"/>
          <cell r="AL22" t="e">
            <v>#REF!</v>
          </cell>
          <cell r="AM22"/>
          <cell r="AN22"/>
          <cell r="AO22"/>
          <cell r="AP22"/>
          <cell r="AQ22">
            <v>42650</v>
          </cell>
          <cell r="AR22"/>
          <cell r="AS22"/>
          <cell r="AT22"/>
          <cell r="AU22"/>
          <cell r="AV22"/>
          <cell r="AW22"/>
          <cell r="AX22"/>
          <cell r="AY22"/>
          <cell r="AZ22"/>
          <cell r="BA22"/>
          <cell r="BB22" t="e">
            <v>#REF!</v>
          </cell>
          <cell r="BC22"/>
          <cell r="BD22"/>
          <cell r="BE22"/>
          <cell r="BF22"/>
          <cell r="BG22">
            <v>404608</v>
          </cell>
          <cell r="BH22"/>
          <cell r="BI22"/>
          <cell r="BJ22"/>
          <cell r="BK22"/>
          <cell r="BL22"/>
          <cell r="BM22"/>
          <cell r="BN22"/>
          <cell r="BO22"/>
          <cell r="BP22"/>
          <cell r="BQ22"/>
          <cell r="BR22" t="e">
            <v>#REF!</v>
          </cell>
          <cell r="BS22"/>
          <cell r="BT22"/>
          <cell r="BU22"/>
          <cell r="BV22"/>
          <cell r="BW22">
            <v>41514</v>
          </cell>
          <cell r="BX22"/>
          <cell r="BY22"/>
          <cell r="BZ22"/>
          <cell r="CA22"/>
          <cell r="CB22"/>
          <cell r="CC22"/>
          <cell r="CD22"/>
          <cell r="CE22"/>
          <cell r="CF22"/>
          <cell r="CG22"/>
          <cell r="CH22"/>
          <cell r="CI22"/>
          <cell r="CJ22"/>
          <cell r="CK22"/>
          <cell r="CL22"/>
          <cell r="CM22" t="e">
            <v>#REF!</v>
          </cell>
          <cell r="CN22"/>
          <cell r="CO22"/>
          <cell r="CP22"/>
          <cell r="CQ22"/>
          <cell r="CR22">
            <v>397940</v>
          </cell>
          <cell r="CS22"/>
          <cell r="CT22"/>
          <cell r="CU22"/>
          <cell r="CV22"/>
          <cell r="CW22"/>
          <cell r="CX22"/>
          <cell r="CY22"/>
          <cell r="CZ22"/>
          <cell r="DA22"/>
          <cell r="DB22"/>
          <cell r="DC22"/>
          <cell r="DD22"/>
          <cell r="DE22"/>
          <cell r="DF22"/>
          <cell r="DG22"/>
          <cell r="DH22"/>
          <cell r="DI22"/>
          <cell r="DJ22" t="e">
            <v>#REF!</v>
          </cell>
          <cell r="DK22"/>
          <cell r="DL22"/>
          <cell r="DM22"/>
          <cell r="DN22"/>
          <cell r="DO22" t="str">
            <v>16</v>
          </cell>
          <cell r="DP22"/>
        </row>
        <row r="23">
          <cell r="B23" t="str">
            <v>17</v>
          </cell>
          <cell r="C23"/>
          <cell r="D23" t="str">
            <v>Salaries - Clerical</v>
          </cell>
          <cell r="E23"/>
          <cell r="F23"/>
          <cell r="G23"/>
          <cell r="H23"/>
          <cell r="I23"/>
          <cell r="J23"/>
          <cell r="K23"/>
          <cell r="L23"/>
          <cell r="M23" t="str">
            <v>0220</v>
          </cell>
          <cell r="N23">
            <v>35995</v>
          </cell>
          <cell r="O23"/>
          <cell r="P23"/>
          <cell r="Q23"/>
          <cell r="R23"/>
          <cell r="S23"/>
          <cell r="T23" t="e">
            <v>#REF!</v>
          </cell>
          <cell r="U23"/>
          <cell r="V23"/>
          <cell r="W23"/>
          <cell r="X23"/>
          <cell r="Y23">
            <v>337497</v>
          </cell>
          <cell r="Z23"/>
          <cell r="AA23"/>
          <cell r="AB23"/>
          <cell r="AC23"/>
          <cell r="AD23"/>
          <cell r="AE23" t="e">
            <v>#REF!</v>
          </cell>
          <cell r="AF23"/>
          <cell r="AG23"/>
          <cell r="AH23"/>
          <cell r="AI23"/>
          <cell r="AJ23">
            <v>0.5</v>
          </cell>
          <cell r="AK23"/>
          <cell r="AL23" t="e">
            <v>#REF!</v>
          </cell>
          <cell r="AM23"/>
          <cell r="AN23"/>
          <cell r="AO23"/>
          <cell r="AP23"/>
          <cell r="AQ23">
            <v>10692</v>
          </cell>
          <cell r="AR23"/>
          <cell r="AS23"/>
          <cell r="AT23"/>
          <cell r="AU23"/>
          <cell r="AV23"/>
          <cell r="AW23"/>
          <cell r="AX23"/>
          <cell r="AY23"/>
          <cell r="AZ23"/>
          <cell r="BA23"/>
          <cell r="BB23" t="e">
            <v>#REF!</v>
          </cell>
          <cell r="BC23"/>
          <cell r="BD23"/>
          <cell r="BE23"/>
          <cell r="BF23"/>
          <cell r="BG23">
            <v>106883</v>
          </cell>
          <cell r="BH23"/>
          <cell r="BI23"/>
          <cell r="BJ23"/>
          <cell r="BK23"/>
          <cell r="BL23"/>
          <cell r="BM23"/>
          <cell r="BN23"/>
          <cell r="BO23"/>
          <cell r="BP23"/>
          <cell r="BQ23"/>
          <cell r="BR23" t="e">
            <v>#REF!</v>
          </cell>
          <cell r="BS23"/>
          <cell r="BT23"/>
          <cell r="BU23"/>
          <cell r="BV23"/>
          <cell r="BW23">
            <v>11903</v>
          </cell>
          <cell r="BX23"/>
          <cell r="BY23"/>
          <cell r="BZ23"/>
          <cell r="CA23"/>
          <cell r="CB23"/>
          <cell r="CC23"/>
          <cell r="CD23"/>
          <cell r="CE23"/>
          <cell r="CF23"/>
          <cell r="CG23"/>
          <cell r="CH23"/>
          <cell r="CI23"/>
          <cell r="CJ23"/>
          <cell r="CK23"/>
          <cell r="CL23"/>
          <cell r="CM23" t="e">
            <v>#REF!</v>
          </cell>
          <cell r="CN23"/>
          <cell r="CO23"/>
          <cell r="CP23"/>
          <cell r="CQ23"/>
          <cell r="CR23">
            <v>98376</v>
          </cell>
          <cell r="CS23"/>
          <cell r="CT23"/>
          <cell r="CU23"/>
          <cell r="CV23"/>
          <cell r="CW23"/>
          <cell r="CX23"/>
          <cell r="CY23"/>
          <cell r="CZ23"/>
          <cell r="DA23"/>
          <cell r="DB23"/>
          <cell r="DC23"/>
          <cell r="DD23"/>
          <cell r="DE23"/>
          <cell r="DF23"/>
          <cell r="DG23"/>
          <cell r="DH23"/>
          <cell r="DI23"/>
          <cell r="DJ23" t="e">
            <v>#REF!</v>
          </cell>
          <cell r="DK23"/>
          <cell r="DL23"/>
          <cell r="DM23"/>
          <cell r="DN23"/>
          <cell r="DO23" t="str">
            <v>17</v>
          </cell>
          <cell r="DP23"/>
        </row>
        <row r="24">
          <cell r="B24" t="str">
            <v>18</v>
          </cell>
          <cell r="C24"/>
          <cell r="D24" t="str">
            <v>Other Salaries &amp; Wages</v>
          </cell>
          <cell r="E24"/>
          <cell r="F24"/>
          <cell r="G24"/>
          <cell r="H24"/>
          <cell r="I24"/>
          <cell r="J24"/>
          <cell r="K24"/>
          <cell r="L24"/>
          <cell r="M24" t="str">
            <v>0230</v>
          </cell>
          <cell r="N24">
            <v>58270</v>
          </cell>
          <cell r="O24"/>
          <cell r="P24"/>
          <cell r="Q24"/>
          <cell r="R24"/>
          <cell r="S24"/>
          <cell r="T24" t="e">
            <v>#REF!</v>
          </cell>
          <cell r="U24"/>
          <cell r="V24"/>
          <cell r="W24"/>
          <cell r="X24"/>
          <cell r="Y24">
            <v>679504</v>
          </cell>
          <cell r="Z24"/>
          <cell r="AA24"/>
          <cell r="AB24"/>
          <cell r="AC24"/>
          <cell r="AD24"/>
          <cell r="AE24" t="e">
            <v>#REF!</v>
          </cell>
          <cell r="AF24"/>
          <cell r="AG24"/>
          <cell r="AH24"/>
          <cell r="AI24"/>
          <cell r="AJ24">
            <v>1</v>
          </cell>
          <cell r="AK24"/>
          <cell r="AL24" t="e">
            <v>#REF!</v>
          </cell>
          <cell r="AM24"/>
          <cell r="AN24"/>
          <cell r="AO24"/>
          <cell r="AP24"/>
          <cell r="AQ24">
            <v>11333</v>
          </cell>
          <cell r="AR24"/>
          <cell r="AS24"/>
          <cell r="AT24"/>
          <cell r="AU24"/>
          <cell r="AV24"/>
          <cell r="AW24"/>
          <cell r="AX24"/>
          <cell r="AY24"/>
          <cell r="AZ24"/>
          <cell r="BA24"/>
          <cell r="BB24" t="e">
            <v>#REF!</v>
          </cell>
          <cell r="BC24"/>
          <cell r="BD24"/>
          <cell r="BE24"/>
          <cell r="BF24"/>
          <cell r="BG24">
            <v>178746</v>
          </cell>
          <cell r="BH24"/>
          <cell r="BI24"/>
          <cell r="BJ24"/>
          <cell r="BK24"/>
          <cell r="BL24"/>
          <cell r="BM24"/>
          <cell r="BN24"/>
          <cell r="BO24"/>
          <cell r="BP24"/>
          <cell r="BQ24"/>
          <cell r="BR24" t="e">
            <v>#REF!</v>
          </cell>
          <cell r="BS24"/>
          <cell r="BT24"/>
          <cell r="BU24"/>
          <cell r="BV24"/>
          <cell r="BW24">
            <v>10799</v>
          </cell>
          <cell r="BX24"/>
          <cell r="BY24"/>
          <cell r="BZ24"/>
          <cell r="CA24"/>
          <cell r="CB24"/>
          <cell r="CC24"/>
          <cell r="CD24"/>
          <cell r="CE24"/>
          <cell r="CF24"/>
          <cell r="CG24"/>
          <cell r="CH24"/>
          <cell r="CI24"/>
          <cell r="CJ24"/>
          <cell r="CK24"/>
          <cell r="CL24"/>
          <cell r="CM24" t="e">
            <v>#REF!</v>
          </cell>
          <cell r="CN24"/>
          <cell r="CO24"/>
          <cell r="CP24"/>
          <cell r="CQ24"/>
          <cell r="CR24">
            <v>125358</v>
          </cell>
          <cell r="CS24"/>
          <cell r="CT24"/>
          <cell r="CU24"/>
          <cell r="CV24"/>
          <cell r="CW24"/>
          <cell r="CX24"/>
          <cell r="CY24"/>
          <cell r="CZ24"/>
          <cell r="DA24"/>
          <cell r="DB24"/>
          <cell r="DC24"/>
          <cell r="DD24"/>
          <cell r="DE24"/>
          <cell r="DF24"/>
          <cell r="DG24"/>
          <cell r="DH24"/>
          <cell r="DI24"/>
          <cell r="DJ24" t="e">
            <v>#REF!</v>
          </cell>
          <cell r="DK24"/>
          <cell r="DL24"/>
          <cell r="DM24"/>
          <cell r="DN24"/>
          <cell r="DO24" t="str">
            <v>18</v>
          </cell>
          <cell r="DP24"/>
        </row>
        <row r="25">
          <cell r="B25" t="str">
            <v>19</v>
          </cell>
          <cell r="C25"/>
          <cell r="D25" t="str">
            <v>Absentee Wages - Productive Personnel</v>
          </cell>
          <cell r="E25"/>
          <cell r="F25"/>
          <cell r="G25"/>
          <cell r="H25"/>
          <cell r="I25"/>
          <cell r="J25"/>
          <cell r="K25"/>
          <cell r="L25"/>
          <cell r="M25" t="str">
            <v>0240</v>
          </cell>
          <cell r="N25">
            <v>6630</v>
          </cell>
          <cell r="O25"/>
          <cell r="P25"/>
          <cell r="Q25"/>
          <cell r="R25"/>
          <cell r="S25"/>
          <cell r="T25" t="e">
            <v>#REF!</v>
          </cell>
          <cell r="U25"/>
          <cell r="V25"/>
          <cell r="W25"/>
          <cell r="X25"/>
          <cell r="Y25">
            <v>19753</v>
          </cell>
          <cell r="Z25"/>
          <cell r="AA25"/>
          <cell r="AB25"/>
          <cell r="AC25"/>
          <cell r="AD25"/>
          <cell r="AE25" t="e">
            <v>#REF!</v>
          </cell>
          <cell r="AF25"/>
          <cell r="AG25"/>
          <cell r="AH25"/>
          <cell r="AI25"/>
          <cell r="AJ25">
            <v>0</v>
          </cell>
          <cell r="AK25"/>
          <cell r="AL25" t="e">
            <v>#REF!</v>
          </cell>
          <cell r="AM25"/>
          <cell r="AN25"/>
          <cell r="AO25"/>
          <cell r="AP25"/>
          <cell r="AQ25"/>
          <cell r="AR25"/>
          <cell r="AS25"/>
          <cell r="AT25"/>
          <cell r="AU25"/>
          <cell r="AV25"/>
          <cell r="AW25"/>
          <cell r="AX25"/>
          <cell r="AY25"/>
          <cell r="AZ25"/>
          <cell r="BA25"/>
          <cell r="BB25"/>
          <cell r="BC25"/>
          <cell r="BD25"/>
          <cell r="BE25"/>
          <cell r="BF25"/>
          <cell r="BG25"/>
          <cell r="BH25"/>
          <cell r="BI25"/>
          <cell r="BJ25"/>
          <cell r="BK25"/>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cell r="CV25"/>
          <cell r="CW25"/>
          <cell r="CX25"/>
          <cell r="CY25"/>
          <cell r="CZ25"/>
          <cell r="DA25"/>
          <cell r="DB25"/>
          <cell r="DC25"/>
          <cell r="DD25"/>
          <cell r="DE25"/>
          <cell r="DF25"/>
          <cell r="DG25"/>
          <cell r="DH25"/>
          <cell r="DI25"/>
          <cell r="DJ25" t="e">
            <v>#REF!</v>
          </cell>
          <cell r="DK25"/>
          <cell r="DL25"/>
          <cell r="DM25"/>
          <cell r="DN25"/>
          <cell r="DO25" t="str">
            <v>19</v>
          </cell>
          <cell r="DP25"/>
        </row>
        <row r="26">
          <cell r="B26" t="str">
            <v>20</v>
          </cell>
          <cell r="C26"/>
          <cell r="D26" t="str">
            <v>Taxes - Payroll</v>
          </cell>
          <cell r="E26"/>
          <cell r="F26"/>
          <cell r="G26"/>
          <cell r="H26"/>
          <cell r="I26"/>
          <cell r="J26"/>
          <cell r="K26"/>
          <cell r="L26"/>
          <cell r="M26" t="str">
            <v>0250</v>
          </cell>
          <cell r="N26">
            <v>29465</v>
          </cell>
          <cell r="O26"/>
          <cell r="P26"/>
          <cell r="Q26"/>
          <cell r="R26"/>
          <cell r="S26"/>
          <cell r="T26" t="e">
            <v>#REF!</v>
          </cell>
          <cell r="U26"/>
          <cell r="V26"/>
          <cell r="W26"/>
          <cell r="X26"/>
          <cell r="Y26">
            <v>422721</v>
          </cell>
          <cell r="Z26"/>
          <cell r="AA26"/>
          <cell r="AB26"/>
          <cell r="AC26"/>
          <cell r="AD26"/>
          <cell r="AE26" t="e">
            <v>#REF!</v>
          </cell>
          <cell r="AF26"/>
          <cell r="AG26"/>
          <cell r="AH26"/>
          <cell r="AI26"/>
          <cell r="AJ26">
            <v>0.6</v>
          </cell>
          <cell r="AK26"/>
          <cell r="AL26" t="e">
            <v>#REF!</v>
          </cell>
          <cell r="AM26"/>
          <cell r="AN26"/>
          <cell r="AO26"/>
          <cell r="AP26"/>
          <cell r="AQ26">
            <v>7107</v>
          </cell>
          <cell r="AR26"/>
          <cell r="AS26"/>
          <cell r="AT26"/>
          <cell r="AU26"/>
          <cell r="AV26"/>
          <cell r="AW26"/>
          <cell r="AX26"/>
          <cell r="AY26"/>
          <cell r="AZ26"/>
          <cell r="BA26"/>
          <cell r="BB26" t="e">
            <v>#REF!</v>
          </cell>
          <cell r="BC26"/>
          <cell r="BD26"/>
          <cell r="BE26"/>
          <cell r="BF26"/>
          <cell r="BG26">
            <v>106170</v>
          </cell>
          <cell r="BH26"/>
          <cell r="BI26"/>
          <cell r="BJ26"/>
          <cell r="BK26"/>
          <cell r="BL26"/>
          <cell r="BM26"/>
          <cell r="BN26"/>
          <cell r="BO26"/>
          <cell r="BP26"/>
          <cell r="BQ26"/>
          <cell r="BR26" t="e">
            <v>#REF!</v>
          </cell>
          <cell r="BS26"/>
          <cell r="BT26"/>
          <cell r="BU26"/>
          <cell r="BV26"/>
          <cell r="BW26">
            <v>7107</v>
          </cell>
          <cell r="BX26"/>
          <cell r="BY26"/>
          <cell r="BZ26"/>
          <cell r="CA26"/>
          <cell r="CB26"/>
          <cell r="CC26"/>
          <cell r="CD26"/>
          <cell r="CE26"/>
          <cell r="CF26"/>
          <cell r="CG26"/>
          <cell r="CH26"/>
          <cell r="CI26"/>
          <cell r="CJ26"/>
          <cell r="CK26"/>
          <cell r="CL26"/>
          <cell r="CM26" t="e">
            <v>#REF!</v>
          </cell>
          <cell r="CN26"/>
          <cell r="CO26"/>
          <cell r="CP26"/>
          <cell r="CQ26"/>
          <cell r="CR26">
            <v>100691</v>
          </cell>
          <cell r="CS26"/>
          <cell r="CT26"/>
          <cell r="CU26"/>
          <cell r="CV26"/>
          <cell r="CW26"/>
          <cell r="CX26"/>
          <cell r="CY26"/>
          <cell r="CZ26"/>
          <cell r="DA26"/>
          <cell r="DB26"/>
          <cell r="DC26"/>
          <cell r="DD26"/>
          <cell r="DE26"/>
          <cell r="DF26"/>
          <cell r="DG26"/>
          <cell r="DH26"/>
          <cell r="DI26"/>
          <cell r="DJ26" t="e">
            <v>#REF!</v>
          </cell>
          <cell r="DK26"/>
          <cell r="DL26"/>
          <cell r="DM26"/>
          <cell r="DN26"/>
          <cell r="DO26" t="str">
            <v>20</v>
          </cell>
          <cell r="DP26"/>
        </row>
        <row r="27">
          <cell r="B27" t="str">
            <v>21</v>
          </cell>
          <cell r="C27"/>
          <cell r="D27" t="str">
            <v>Employee Benefits / Pension Fund / 401 K</v>
          </cell>
          <cell r="E27"/>
          <cell r="F27"/>
          <cell r="G27"/>
          <cell r="H27"/>
          <cell r="I27"/>
          <cell r="J27"/>
          <cell r="K27"/>
          <cell r="L27"/>
          <cell r="M27" t="str">
            <v>0260</v>
          </cell>
          <cell r="N27">
            <v>40726</v>
          </cell>
          <cell r="O27"/>
          <cell r="P27"/>
          <cell r="Q27"/>
          <cell r="R27"/>
          <cell r="S27"/>
          <cell r="T27" t="e">
            <v>#REF!</v>
          </cell>
          <cell r="U27"/>
          <cell r="V27"/>
          <cell r="W27"/>
          <cell r="X27"/>
          <cell r="Y27">
            <v>342820</v>
          </cell>
          <cell r="Z27"/>
          <cell r="AA27"/>
          <cell r="AB27"/>
          <cell r="AC27"/>
          <cell r="AD27"/>
          <cell r="AE27" t="e">
            <v>#REF!</v>
          </cell>
          <cell r="AF27"/>
          <cell r="AG27"/>
          <cell r="AH27"/>
          <cell r="AI27"/>
          <cell r="AJ27">
            <v>0.5</v>
          </cell>
          <cell r="AK27"/>
          <cell r="AL27" t="e">
            <v>#REF!</v>
          </cell>
          <cell r="AM27"/>
          <cell r="AN27"/>
          <cell r="AO27"/>
          <cell r="AP27"/>
          <cell r="AQ27">
            <v>8958</v>
          </cell>
          <cell r="AR27"/>
          <cell r="AS27"/>
          <cell r="AT27"/>
          <cell r="AU27"/>
          <cell r="AV27"/>
          <cell r="AW27"/>
          <cell r="AX27"/>
          <cell r="AY27"/>
          <cell r="AZ27"/>
          <cell r="BA27"/>
          <cell r="BB27" t="e">
            <v>#REF!</v>
          </cell>
          <cell r="BC27"/>
          <cell r="BD27"/>
          <cell r="BE27"/>
          <cell r="BF27"/>
          <cell r="BG27">
            <v>77553</v>
          </cell>
          <cell r="BH27"/>
          <cell r="BI27"/>
          <cell r="BJ27"/>
          <cell r="BK27"/>
          <cell r="BL27"/>
          <cell r="BM27"/>
          <cell r="BN27"/>
          <cell r="BO27"/>
          <cell r="BP27"/>
          <cell r="BQ27"/>
          <cell r="BR27" t="e">
            <v>#REF!</v>
          </cell>
          <cell r="BS27"/>
          <cell r="BT27"/>
          <cell r="BU27"/>
          <cell r="BV27"/>
          <cell r="BW27">
            <v>8133</v>
          </cell>
          <cell r="BX27"/>
          <cell r="BY27"/>
          <cell r="BZ27"/>
          <cell r="CA27"/>
          <cell r="CB27"/>
          <cell r="CC27"/>
          <cell r="CD27"/>
          <cell r="CE27"/>
          <cell r="CF27"/>
          <cell r="CG27"/>
          <cell r="CH27"/>
          <cell r="CI27"/>
          <cell r="CJ27"/>
          <cell r="CK27"/>
          <cell r="CL27"/>
          <cell r="CM27" t="e">
            <v>#REF!</v>
          </cell>
          <cell r="CN27"/>
          <cell r="CO27"/>
          <cell r="CP27"/>
          <cell r="CQ27"/>
          <cell r="CR27">
            <v>72418</v>
          </cell>
          <cell r="CS27"/>
          <cell r="CT27"/>
          <cell r="CU27"/>
          <cell r="CV27"/>
          <cell r="CW27"/>
          <cell r="CX27"/>
          <cell r="CY27"/>
          <cell r="CZ27"/>
          <cell r="DA27"/>
          <cell r="DB27"/>
          <cell r="DC27"/>
          <cell r="DD27"/>
          <cell r="DE27"/>
          <cell r="DF27"/>
          <cell r="DG27"/>
          <cell r="DH27"/>
          <cell r="DI27"/>
          <cell r="DJ27" t="e">
            <v>#REF!</v>
          </cell>
          <cell r="DK27"/>
          <cell r="DL27"/>
          <cell r="DM27"/>
          <cell r="DN27"/>
          <cell r="DO27" t="str">
            <v>21</v>
          </cell>
          <cell r="DP27"/>
        </row>
        <row r="28">
          <cell r="B28" t="str">
            <v>22</v>
          </cell>
          <cell r="C28"/>
          <cell r="D28" t="str">
            <v>TOTAL SALARY &amp; WAGE GROUP</v>
          </cell>
          <cell r="E28"/>
          <cell r="F28"/>
          <cell r="G28"/>
          <cell r="H28"/>
          <cell r="I28"/>
          <cell r="J28"/>
          <cell r="K28"/>
          <cell r="L28" t="str">
            <v xml:space="preserve">(Lines 15 to 21) </v>
          </cell>
          <cell r="M28"/>
          <cell r="N28">
            <v>330229</v>
          </cell>
          <cell r="O28"/>
          <cell r="P28"/>
          <cell r="Q28"/>
          <cell r="R28"/>
          <cell r="S28"/>
          <cell r="T28" t="e">
            <v>#REF!</v>
          </cell>
          <cell r="U28"/>
          <cell r="V28"/>
          <cell r="W28"/>
          <cell r="X28"/>
          <cell r="Y28">
            <v>3467736</v>
          </cell>
          <cell r="Z28"/>
          <cell r="AA28"/>
          <cell r="AB28"/>
          <cell r="AC28"/>
          <cell r="AD28"/>
          <cell r="AE28" t="e">
            <v>#REF!</v>
          </cell>
          <cell r="AF28"/>
          <cell r="AG28"/>
          <cell r="AH28"/>
          <cell r="AI28"/>
          <cell r="AJ28">
            <v>5.0999999999999996</v>
          </cell>
          <cell r="AK28"/>
          <cell r="AL28" t="e">
            <v>#REF!</v>
          </cell>
          <cell r="AM28"/>
          <cell r="AN28"/>
          <cell r="AO28"/>
          <cell r="AP28"/>
          <cell r="AQ28">
            <v>101740</v>
          </cell>
          <cell r="AR28"/>
          <cell r="AS28"/>
          <cell r="AT28"/>
          <cell r="AU28"/>
          <cell r="AV28"/>
          <cell r="AW28"/>
          <cell r="AX28"/>
          <cell r="AY28"/>
          <cell r="AZ28"/>
          <cell r="BA28"/>
          <cell r="BB28" t="e">
            <v>#REF!</v>
          </cell>
          <cell r="BC28"/>
          <cell r="BD28"/>
          <cell r="BE28"/>
          <cell r="BF28"/>
          <cell r="BG28">
            <v>1093438</v>
          </cell>
          <cell r="BH28"/>
          <cell r="BI28"/>
          <cell r="BJ28"/>
          <cell r="BK28"/>
          <cell r="BL28"/>
          <cell r="BM28"/>
          <cell r="BN28"/>
          <cell r="BO28"/>
          <cell r="BP28"/>
          <cell r="BQ28"/>
          <cell r="BR28" t="e">
            <v>#REF!</v>
          </cell>
          <cell r="BS28"/>
          <cell r="BT28"/>
          <cell r="BU28"/>
          <cell r="BV28"/>
          <cell r="BW28">
            <v>92606</v>
          </cell>
          <cell r="BX28"/>
          <cell r="BY28"/>
          <cell r="BZ28"/>
          <cell r="CA28"/>
          <cell r="CB28"/>
          <cell r="CC28"/>
          <cell r="CD28"/>
          <cell r="CE28"/>
          <cell r="CF28"/>
          <cell r="CG28"/>
          <cell r="CH28"/>
          <cell r="CI28"/>
          <cell r="CJ28"/>
          <cell r="CK28"/>
          <cell r="CL28"/>
          <cell r="CM28" t="e">
            <v>#REF!</v>
          </cell>
          <cell r="CN28"/>
          <cell r="CO28"/>
          <cell r="CP28"/>
          <cell r="CQ28"/>
          <cell r="CR28">
            <v>952923</v>
          </cell>
          <cell r="CS28"/>
          <cell r="CT28"/>
          <cell r="CU28"/>
          <cell r="CV28"/>
          <cell r="CW28"/>
          <cell r="CX28"/>
          <cell r="CY28"/>
          <cell r="CZ28"/>
          <cell r="DA28"/>
          <cell r="DB28"/>
          <cell r="DC28"/>
          <cell r="DD28"/>
          <cell r="DE28"/>
          <cell r="DF28"/>
          <cell r="DG28"/>
          <cell r="DH28"/>
          <cell r="DI28"/>
          <cell r="DJ28" t="e">
            <v>#REF!</v>
          </cell>
          <cell r="DK28"/>
          <cell r="DL28"/>
          <cell r="DM28"/>
          <cell r="DN28"/>
          <cell r="DO28" t="str">
            <v>22</v>
          </cell>
          <cell r="DP28"/>
        </row>
        <row r="29">
          <cell r="B29" t="str">
            <v>23</v>
          </cell>
          <cell r="C29"/>
          <cell r="D29" t="str">
            <v>Company Vehicle</v>
          </cell>
          <cell r="E29"/>
          <cell r="F29"/>
          <cell r="G29"/>
          <cell r="H29"/>
          <cell r="I29"/>
          <cell r="J29"/>
          <cell r="K29"/>
          <cell r="L29"/>
          <cell r="M29" t="str">
            <v>0310</v>
          </cell>
          <cell r="N29">
            <v>776</v>
          </cell>
          <cell r="O29"/>
          <cell r="P29"/>
          <cell r="Q29"/>
          <cell r="R29"/>
          <cell r="S29"/>
          <cell r="T29" t="e">
            <v>#REF!</v>
          </cell>
          <cell r="U29"/>
          <cell r="V29"/>
          <cell r="W29"/>
          <cell r="X29"/>
          <cell r="Y29">
            <v>14019</v>
          </cell>
          <cell r="Z29"/>
          <cell r="AA29"/>
          <cell r="AB29"/>
          <cell r="AC29"/>
          <cell r="AD29"/>
          <cell r="AE29" t="e">
            <v>#REF!</v>
          </cell>
          <cell r="AF29"/>
          <cell r="AG29"/>
          <cell r="AH29"/>
          <cell r="AI29"/>
          <cell r="AJ29">
            <v>0</v>
          </cell>
          <cell r="AK29"/>
          <cell r="AL29" t="e">
            <v>#REF!</v>
          </cell>
          <cell r="AM29"/>
          <cell r="AN29"/>
          <cell r="AO29"/>
          <cell r="AP29"/>
          <cell r="AQ29">
            <v>95</v>
          </cell>
          <cell r="AR29"/>
          <cell r="AS29"/>
          <cell r="AT29"/>
          <cell r="AU29"/>
          <cell r="AV29"/>
          <cell r="AW29"/>
          <cell r="AX29"/>
          <cell r="AY29"/>
          <cell r="AZ29"/>
          <cell r="BA29"/>
          <cell r="BB29" t="e">
            <v>#REF!</v>
          </cell>
          <cell r="BC29"/>
          <cell r="BD29"/>
          <cell r="BE29"/>
          <cell r="BF29"/>
          <cell r="BG29">
            <v>3779</v>
          </cell>
          <cell r="BH29"/>
          <cell r="BI29"/>
          <cell r="BJ29"/>
          <cell r="BK29"/>
          <cell r="BL29"/>
          <cell r="BM29"/>
          <cell r="BN29"/>
          <cell r="BO29"/>
          <cell r="BP29"/>
          <cell r="BQ29"/>
          <cell r="BR29" t="e">
            <v>#REF!</v>
          </cell>
          <cell r="BS29"/>
          <cell r="BT29"/>
          <cell r="BU29"/>
          <cell r="BV29"/>
          <cell r="BW29">
            <v>69</v>
          </cell>
          <cell r="BX29"/>
          <cell r="BY29"/>
          <cell r="BZ29"/>
          <cell r="CA29"/>
          <cell r="CB29"/>
          <cell r="CC29"/>
          <cell r="CD29"/>
          <cell r="CE29"/>
          <cell r="CF29"/>
          <cell r="CG29"/>
          <cell r="CH29"/>
          <cell r="CI29"/>
          <cell r="CJ29"/>
          <cell r="CK29"/>
          <cell r="CL29"/>
          <cell r="CM29" t="e">
            <v>#REF!</v>
          </cell>
          <cell r="CN29"/>
          <cell r="CO29"/>
          <cell r="CP29"/>
          <cell r="CQ29"/>
          <cell r="CR29">
            <v>1056</v>
          </cell>
          <cell r="CS29"/>
          <cell r="CT29"/>
          <cell r="CU29"/>
          <cell r="CV29"/>
          <cell r="CW29"/>
          <cell r="CX29"/>
          <cell r="CY29"/>
          <cell r="CZ29"/>
          <cell r="DA29"/>
          <cell r="DB29"/>
          <cell r="DC29"/>
          <cell r="DD29"/>
          <cell r="DE29"/>
          <cell r="DF29"/>
          <cell r="DG29"/>
          <cell r="DH29"/>
          <cell r="DI29"/>
          <cell r="DJ29" t="e">
            <v>#REF!</v>
          </cell>
          <cell r="DK29"/>
          <cell r="DL29"/>
          <cell r="DM29"/>
          <cell r="DN29"/>
          <cell r="DO29" t="str">
            <v>23</v>
          </cell>
          <cell r="DP29"/>
        </row>
        <row r="30">
          <cell r="B30" t="str">
            <v>24</v>
          </cell>
          <cell r="C30"/>
          <cell r="D30" t="str">
            <v>Small Tools</v>
          </cell>
          <cell r="E30"/>
          <cell r="F30"/>
          <cell r="G30"/>
          <cell r="H30"/>
          <cell r="I30"/>
          <cell r="J30"/>
          <cell r="K30"/>
          <cell r="L30"/>
          <cell r="M30" t="str">
            <v>0320</v>
          </cell>
          <cell r="N30">
            <v>85</v>
          </cell>
          <cell r="O30"/>
          <cell r="P30"/>
          <cell r="Q30"/>
          <cell r="R30"/>
          <cell r="S30"/>
          <cell r="T30" t="e">
            <v>#REF!</v>
          </cell>
          <cell r="U30"/>
          <cell r="V30"/>
          <cell r="W30"/>
          <cell r="X30"/>
          <cell r="Y30">
            <v>9577</v>
          </cell>
          <cell r="Z30"/>
          <cell r="AA30"/>
          <cell r="AB30"/>
          <cell r="AC30"/>
          <cell r="AD30"/>
          <cell r="AE30" t="e">
            <v>#REF!</v>
          </cell>
          <cell r="AF30"/>
          <cell r="AG30"/>
          <cell r="AH30"/>
          <cell r="AI30"/>
          <cell r="AJ30">
            <v>0</v>
          </cell>
          <cell r="AK30"/>
          <cell r="AL30" t="e">
            <v>#REF!</v>
          </cell>
          <cell r="AM30"/>
          <cell r="AN30"/>
          <cell r="AO30"/>
          <cell r="AP30"/>
          <cell r="AQ30"/>
          <cell r="AR30"/>
          <cell r="AS30"/>
          <cell r="AT30"/>
          <cell r="AU30"/>
          <cell r="AV30"/>
          <cell r="AW30"/>
          <cell r="AX30"/>
          <cell r="AY30"/>
          <cell r="AZ30"/>
          <cell r="BA30"/>
          <cell r="BB30"/>
          <cell r="BC30"/>
          <cell r="BD30"/>
          <cell r="BE30"/>
          <cell r="BF30"/>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cell r="CV30"/>
          <cell r="CW30"/>
          <cell r="CX30"/>
          <cell r="CY30"/>
          <cell r="CZ30"/>
          <cell r="DA30"/>
          <cell r="DB30"/>
          <cell r="DC30"/>
          <cell r="DD30"/>
          <cell r="DE30"/>
          <cell r="DF30"/>
          <cell r="DG30"/>
          <cell r="DH30"/>
          <cell r="DI30"/>
          <cell r="DJ30" t="e">
            <v>#REF!</v>
          </cell>
          <cell r="DK30"/>
          <cell r="DL30"/>
          <cell r="DM30"/>
          <cell r="DN30"/>
          <cell r="DO30" t="str">
            <v>24</v>
          </cell>
          <cell r="DP30"/>
        </row>
        <row r="31">
          <cell r="B31" t="str">
            <v>25</v>
          </cell>
          <cell r="C31"/>
          <cell r="D31" t="str">
            <v>Freight &amp; Express</v>
          </cell>
          <cell r="E31"/>
          <cell r="F31"/>
          <cell r="G31"/>
          <cell r="H31"/>
          <cell r="I31"/>
          <cell r="J31"/>
          <cell r="K31"/>
          <cell r="L31"/>
          <cell r="M31" t="str">
            <v>0340</v>
          </cell>
          <cell r="N31">
            <v>171</v>
          </cell>
          <cell r="O31"/>
          <cell r="P31"/>
          <cell r="Q31"/>
          <cell r="R31"/>
          <cell r="S31"/>
          <cell r="T31" t="e">
            <v>#REF!</v>
          </cell>
          <cell r="U31"/>
          <cell r="V31"/>
          <cell r="W31"/>
          <cell r="X31"/>
          <cell r="Y31">
            <v>4933</v>
          </cell>
          <cell r="Z31"/>
          <cell r="AA31"/>
          <cell r="AB31"/>
          <cell r="AC31"/>
          <cell r="AD31"/>
          <cell r="AE31" t="e">
            <v>#REF!</v>
          </cell>
          <cell r="AF31"/>
          <cell r="AG31"/>
          <cell r="AH31"/>
          <cell r="AI31"/>
          <cell r="AJ31">
            <v>0</v>
          </cell>
          <cell r="AK31"/>
          <cell r="AL31" t="e">
            <v>#REF!</v>
          </cell>
          <cell r="AM31"/>
          <cell r="AN31"/>
          <cell r="AO31"/>
          <cell r="AP31"/>
          <cell r="AQ31"/>
          <cell r="AR31"/>
          <cell r="AS31"/>
          <cell r="AT31"/>
          <cell r="AU31"/>
          <cell r="AV31"/>
          <cell r="AW31"/>
          <cell r="AX31"/>
          <cell r="AY31"/>
          <cell r="AZ31"/>
          <cell r="BA31"/>
          <cell r="BB31"/>
          <cell r="BC31"/>
          <cell r="BD31"/>
          <cell r="BE31"/>
          <cell r="BF31"/>
          <cell r="BG31"/>
          <cell r="BH31"/>
          <cell r="BI31"/>
          <cell r="BJ31"/>
          <cell r="BK31"/>
          <cell r="BL31"/>
          <cell r="BM31"/>
          <cell r="BN31"/>
          <cell r="BO31"/>
          <cell r="BP31"/>
          <cell r="BQ31"/>
          <cell r="BR31"/>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cell r="DG31"/>
          <cell r="DH31"/>
          <cell r="DI31"/>
          <cell r="DJ31" t="e">
            <v>#REF!</v>
          </cell>
          <cell r="DK31"/>
          <cell r="DL31"/>
          <cell r="DM31"/>
          <cell r="DN31"/>
          <cell r="DO31" t="str">
            <v>25</v>
          </cell>
          <cell r="DP31"/>
        </row>
        <row r="32">
          <cell r="B32" t="str">
            <v>26</v>
          </cell>
          <cell r="C32"/>
          <cell r="D32" t="str">
            <v>Institutional Advertising</v>
          </cell>
          <cell r="E32"/>
          <cell r="F32"/>
          <cell r="G32"/>
          <cell r="H32"/>
          <cell r="I32"/>
          <cell r="J32"/>
          <cell r="K32"/>
          <cell r="L32"/>
          <cell r="M32" t="str">
            <v>0350</v>
          </cell>
          <cell r="N32">
            <v>18452</v>
          </cell>
          <cell r="O32"/>
          <cell r="P32"/>
          <cell r="Q32"/>
          <cell r="R32"/>
          <cell r="S32"/>
          <cell r="T32" t="e">
            <v>#REF!</v>
          </cell>
          <cell r="U32"/>
          <cell r="V32"/>
          <cell r="W32"/>
          <cell r="X32"/>
          <cell r="Y32">
            <v>205936</v>
          </cell>
          <cell r="Z32"/>
          <cell r="AA32"/>
          <cell r="AB32"/>
          <cell r="AC32"/>
          <cell r="AD32"/>
          <cell r="AE32" t="e">
            <v>#REF!</v>
          </cell>
          <cell r="AF32"/>
          <cell r="AG32"/>
          <cell r="AH32"/>
          <cell r="AI32"/>
          <cell r="AJ32">
            <v>0.3</v>
          </cell>
          <cell r="AK32"/>
          <cell r="AL32" t="e">
            <v>#REF!</v>
          </cell>
          <cell r="AM32"/>
          <cell r="AN32"/>
          <cell r="AO32"/>
          <cell r="AP32"/>
          <cell r="AQ32">
            <v>4467</v>
          </cell>
          <cell r="AR32"/>
          <cell r="AS32"/>
          <cell r="AT32"/>
          <cell r="AU32"/>
          <cell r="AV32"/>
          <cell r="AW32"/>
          <cell r="AX32"/>
          <cell r="AY32"/>
          <cell r="AZ32"/>
          <cell r="BA32"/>
          <cell r="BB32" t="e">
            <v>#REF!</v>
          </cell>
          <cell r="BC32"/>
          <cell r="BD32"/>
          <cell r="BE32"/>
          <cell r="BF32"/>
          <cell r="BG32">
            <v>37792</v>
          </cell>
          <cell r="BH32"/>
          <cell r="BI32"/>
          <cell r="BJ32"/>
          <cell r="BK32"/>
          <cell r="BL32"/>
          <cell r="BM32"/>
          <cell r="BN32"/>
          <cell r="BO32"/>
          <cell r="BP32"/>
          <cell r="BQ32"/>
          <cell r="BR32" t="e">
            <v>#REF!</v>
          </cell>
          <cell r="BS32"/>
          <cell r="BT32"/>
          <cell r="BU32"/>
          <cell r="BV32"/>
          <cell r="BW32">
            <v>2714</v>
          </cell>
          <cell r="BX32"/>
          <cell r="BY32"/>
          <cell r="BZ32"/>
          <cell r="CA32"/>
          <cell r="CB32"/>
          <cell r="CC32"/>
          <cell r="CD32"/>
          <cell r="CE32"/>
          <cell r="CF32"/>
          <cell r="CG32"/>
          <cell r="CH32"/>
          <cell r="CI32"/>
          <cell r="CJ32"/>
          <cell r="CK32"/>
          <cell r="CL32"/>
          <cell r="CM32" t="e">
            <v>#REF!</v>
          </cell>
          <cell r="CN32"/>
          <cell r="CO32"/>
          <cell r="CP32"/>
          <cell r="CQ32"/>
          <cell r="CR32">
            <v>14853</v>
          </cell>
          <cell r="CS32"/>
          <cell r="CT32"/>
          <cell r="CU32"/>
          <cell r="CV32"/>
          <cell r="CW32"/>
          <cell r="CX32"/>
          <cell r="CY32"/>
          <cell r="CZ32"/>
          <cell r="DA32"/>
          <cell r="DB32"/>
          <cell r="DC32"/>
          <cell r="DD32"/>
          <cell r="DE32"/>
          <cell r="DF32"/>
          <cell r="DG32"/>
          <cell r="DH32"/>
          <cell r="DI32"/>
          <cell r="DJ32" t="e">
            <v>#REF!</v>
          </cell>
          <cell r="DK32"/>
          <cell r="DL32"/>
          <cell r="DM32"/>
          <cell r="DN32"/>
          <cell r="DO32" t="str">
            <v>26</v>
          </cell>
          <cell r="DP32"/>
        </row>
        <row r="33">
          <cell r="B33" t="str">
            <v>27</v>
          </cell>
          <cell r="C33"/>
          <cell r="D33" t="str">
            <v>Stationery &amp; Office Supplies</v>
          </cell>
          <cell r="E33"/>
          <cell r="F33"/>
          <cell r="G33"/>
          <cell r="H33"/>
          <cell r="I33"/>
          <cell r="J33"/>
          <cell r="K33"/>
          <cell r="L33"/>
          <cell r="M33" t="str">
            <v>0360</v>
          </cell>
          <cell r="N33">
            <v>7800</v>
          </cell>
          <cell r="O33"/>
          <cell r="P33"/>
          <cell r="Q33"/>
          <cell r="R33"/>
          <cell r="S33"/>
          <cell r="T33" t="e">
            <v>#REF!</v>
          </cell>
          <cell r="U33"/>
          <cell r="V33"/>
          <cell r="W33"/>
          <cell r="X33"/>
          <cell r="Y33">
            <v>63669</v>
          </cell>
          <cell r="Z33"/>
          <cell r="AA33"/>
          <cell r="AB33"/>
          <cell r="AC33"/>
          <cell r="AD33"/>
          <cell r="AE33" t="e">
            <v>#REF!</v>
          </cell>
          <cell r="AF33"/>
          <cell r="AG33"/>
          <cell r="AH33"/>
          <cell r="AI33"/>
          <cell r="AJ33">
            <v>0.1</v>
          </cell>
          <cell r="AK33"/>
          <cell r="AL33" t="e">
            <v>#REF!</v>
          </cell>
          <cell r="AM33"/>
          <cell r="AN33"/>
          <cell r="AO33"/>
          <cell r="AP33"/>
          <cell r="AQ33">
            <v>2405</v>
          </cell>
          <cell r="AR33"/>
          <cell r="AS33"/>
          <cell r="AT33"/>
          <cell r="AU33"/>
          <cell r="AV33"/>
          <cell r="AW33"/>
          <cell r="AX33"/>
          <cell r="AY33"/>
          <cell r="AZ33"/>
          <cell r="BA33"/>
          <cell r="BB33" t="e">
            <v>#REF!</v>
          </cell>
          <cell r="BC33"/>
          <cell r="BD33"/>
          <cell r="BE33"/>
          <cell r="BF33"/>
          <cell r="BG33">
            <v>19158</v>
          </cell>
          <cell r="BH33"/>
          <cell r="BI33"/>
          <cell r="BJ33"/>
          <cell r="BK33"/>
          <cell r="BL33"/>
          <cell r="BM33"/>
          <cell r="BN33"/>
          <cell r="BO33"/>
          <cell r="BP33"/>
          <cell r="BQ33"/>
          <cell r="BR33" t="e">
            <v>#REF!</v>
          </cell>
          <cell r="BS33"/>
          <cell r="BT33"/>
          <cell r="BU33"/>
          <cell r="BV33"/>
          <cell r="BW33">
            <v>2237</v>
          </cell>
          <cell r="BX33"/>
          <cell r="BY33"/>
          <cell r="BZ33"/>
          <cell r="CA33"/>
          <cell r="CB33"/>
          <cell r="CC33"/>
          <cell r="CD33"/>
          <cell r="CE33"/>
          <cell r="CF33"/>
          <cell r="CG33"/>
          <cell r="CH33"/>
          <cell r="CI33"/>
          <cell r="CJ33"/>
          <cell r="CK33"/>
          <cell r="CL33"/>
          <cell r="CM33" t="e">
            <v>#REF!</v>
          </cell>
          <cell r="CN33"/>
          <cell r="CO33"/>
          <cell r="CP33"/>
          <cell r="CQ33"/>
          <cell r="CR33">
            <v>16914</v>
          </cell>
          <cell r="CS33"/>
          <cell r="CT33"/>
          <cell r="CU33"/>
          <cell r="CV33"/>
          <cell r="CW33"/>
          <cell r="CX33"/>
          <cell r="CY33"/>
          <cell r="CZ33"/>
          <cell r="DA33"/>
          <cell r="DB33"/>
          <cell r="DC33"/>
          <cell r="DD33"/>
          <cell r="DE33"/>
          <cell r="DF33"/>
          <cell r="DG33"/>
          <cell r="DH33"/>
          <cell r="DI33"/>
          <cell r="DJ33" t="e">
            <v>#REF!</v>
          </cell>
          <cell r="DK33"/>
          <cell r="DL33"/>
          <cell r="DM33"/>
          <cell r="DN33"/>
          <cell r="DO33" t="str">
            <v>27</v>
          </cell>
          <cell r="DP33"/>
        </row>
        <row r="34">
          <cell r="B34" t="str">
            <v>28</v>
          </cell>
          <cell r="C34"/>
          <cell r="D34" t="str">
            <v>Supplies &amp; Laundry</v>
          </cell>
          <cell r="E34"/>
          <cell r="F34"/>
          <cell r="G34"/>
          <cell r="H34"/>
          <cell r="I34"/>
          <cell r="J34"/>
          <cell r="K34"/>
          <cell r="L34"/>
          <cell r="M34" t="str">
            <v>0370</v>
          </cell>
          <cell r="N34">
            <v>6059</v>
          </cell>
          <cell r="O34"/>
          <cell r="P34"/>
          <cell r="Q34"/>
          <cell r="R34"/>
          <cell r="S34"/>
          <cell r="T34" t="e">
            <v>#REF!</v>
          </cell>
          <cell r="U34"/>
          <cell r="V34"/>
          <cell r="W34"/>
          <cell r="X34"/>
          <cell r="Y34">
            <v>43730</v>
          </cell>
          <cell r="Z34"/>
          <cell r="AA34"/>
          <cell r="AB34"/>
          <cell r="AC34"/>
          <cell r="AD34"/>
          <cell r="AE34" t="e">
            <v>#REF!</v>
          </cell>
          <cell r="AF34"/>
          <cell r="AG34"/>
          <cell r="AH34"/>
          <cell r="AI34"/>
          <cell r="AJ34">
            <v>0.1</v>
          </cell>
          <cell r="AK34"/>
          <cell r="AL34" t="e">
            <v>#REF!</v>
          </cell>
          <cell r="AM34"/>
          <cell r="AN34"/>
          <cell r="AO34"/>
          <cell r="AP34"/>
          <cell r="AQ34">
            <v>1106</v>
          </cell>
          <cell r="AR34"/>
          <cell r="AS34"/>
          <cell r="AT34"/>
          <cell r="AU34"/>
          <cell r="AV34"/>
          <cell r="AW34"/>
          <cell r="AX34"/>
          <cell r="AY34"/>
          <cell r="AZ34"/>
          <cell r="BA34"/>
          <cell r="BB34" t="e">
            <v>#REF!</v>
          </cell>
          <cell r="BC34"/>
          <cell r="BD34"/>
          <cell r="BE34"/>
          <cell r="BF34"/>
          <cell r="BG34">
            <v>19752</v>
          </cell>
          <cell r="BH34"/>
          <cell r="BI34"/>
          <cell r="BJ34"/>
          <cell r="BK34"/>
          <cell r="BL34"/>
          <cell r="BM34"/>
          <cell r="BN34"/>
          <cell r="BO34"/>
          <cell r="BP34"/>
          <cell r="BQ34"/>
          <cell r="BR34" t="e">
            <v>#REF!</v>
          </cell>
          <cell r="BS34"/>
          <cell r="BT34"/>
          <cell r="BU34"/>
          <cell r="BV34"/>
          <cell r="BW34">
            <v>1007</v>
          </cell>
          <cell r="BX34"/>
          <cell r="BY34"/>
          <cell r="BZ34"/>
          <cell r="CA34"/>
          <cell r="CB34"/>
          <cell r="CC34"/>
          <cell r="CD34"/>
          <cell r="CE34"/>
          <cell r="CF34"/>
          <cell r="CG34"/>
          <cell r="CH34"/>
          <cell r="CI34"/>
          <cell r="CJ34"/>
          <cell r="CK34"/>
          <cell r="CL34"/>
          <cell r="CM34" t="e">
            <v>#REF!</v>
          </cell>
          <cell r="CN34"/>
          <cell r="CO34"/>
          <cell r="CP34"/>
          <cell r="CQ34"/>
          <cell r="CR34">
            <v>20082</v>
          </cell>
          <cell r="CS34"/>
          <cell r="CT34"/>
          <cell r="CU34"/>
          <cell r="CV34"/>
          <cell r="CW34"/>
          <cell r="CX34"/>
          <cell r="CY34"/>
          <cell r="CZ34"/>
          <cell r="DA34"/>
          <cell r="DB34"/>
          <cell r="DC34"/>
          <cell r="DD34"/>
          <cell r="DE34"/>
          <cell r="DF34"/>
          <cell r="DG34"/>
          <cell r="DH34"/>
          <cell r="DI34"/>
          <cell r="DJ34" t="e">
            <v>#REF!</v>
          </cell>
          <cell r="DK34"/>
          <cell r="DL34"/>
          <cell r="DM34"/>
          <cell r="DN34"/>
          <cell r="DO34" t="str">
            <v>28</v>
          </cell>
          <cell r="DP34"/>
        </row>
        <row r="35">
          <cell r="B35" t="str">
            <v>29</v>
          </cell>
          <cell r="C35"/>
          <cell r="D35" t="str">
            <v>Outside Services</v>
          </cell>
          <cell r="E35"/>
          <cell r="F35"/>
          <cell r="G35"/>
          <cell r="H35"/>
          <cell r="I35"/>
          <cell r="J35"/>
          <cell r="K35"/>
          <cell r="L35"/>
          <cell r="M35" t="str">
            <v>0380</v>
          </cell>
          <cell r="N35">
            <v>38789</v>
          </cell>
          <cell r="O35"/>
          <cell r="P35"/>
          <cell r="Q35"/>
          <cell r="R35"/>
          <cell r="S35"/>
          <cell r="T35" t="e">
            <v>#REF!</v>
          </cell>
          <cell r="U35"/>
          <cell r="V35"/>
          <cell r="W35"/>
          <cell r="X35"/>
          <cell r="Y35">
            <v>418269</v>
          </cell>
          <cell r="Z35"/>
          <cell r="AA35"/>
          <cell r="AB35"/>
          <cell r="AC35"/>
          <cell r="AD35"/>
          <cell r="AE35" t="e">
            <v>#REF!</v>
          </cell>
          <cell r="AF35"/>
          <cell r="AG35"/>
          <cell r="AH35"/>
          <cell r="AI35"/>
          <cell r="AJ35">
            <v>0.6</v>
          </cell>
          <cell r="AK35"/>
          <cell r="AL35" t="e">
            <v>#REF!</v>
          </cell>
          <cell r="AM35"/>
          <cell r="AN35"/>
          <cell r="AO35"/>
          <cell r="AP35"/>
          <cell r="AQ35">
            <v>13738</v>
          </cell>
          <cell r="AR35"/>
          <cell r="AS35"/>
          <cell r="AT35"/>
          <cell r="AU35"/>
          <cell r="AV35"/>
          <cell r="AW35"/>
          <cell r="AX35"/>
          <cell r="AY35"/>
          <cell r="AZ35"/>
          <cell r="BA35"/>
          <cell r="BB35" t="e">
            <v>#REF!</v>
          </cell>
          <cell r="BC35"/>
          <cell r="BD35"/>
          <cell r="BE35"/>
          <cell r="BF35"/>
          <cell r="BG35">
            <v>145822</v>
          </cell>
          <cell r="BH35"/>
          <cell r="BI35"/>
          <cell r="BJ35"/>
          <cell r="BK35"/>
          <cell r="BL35"/>
          <cell r="BM35"/>
          <cell r="BN35"/>
          <cell r="BO35"/>
          <cell r="BP35"/>
          <cell r="BQ35"/>
          <cell r="BR35" t="e">
            <v>#REF!</v>
          </cell>
          <cell r="BS35"/>
          <cell r="BT35"/>
          <cell r="BU35"/>
          <cell r="BV35"/>
          <cell r="BW35">
            <v>15743</v>
          </cell>
          <cell r="BX35"/>
          <cell r="BY35"/>
          <cell r="BZ35"/>
          <cell r="CA35"/>
          <cell r="CB35"/>
          <cell r="CC35"/>
          <cell r="CD35"/>
          <cell r="CE35"/>
          <cell r="CF35"/>
          <cell r="CG35"/>
          <cell r="CH35"/>
          <cell r="CI35"/>
          <cell r="CJ35"/>
          <cell r="CK35"/>
          <cell r="CL35"/>
          <cell r="CM35" t="e">
            <v>#REF!</v>
          </cell>
          <cell r="CN35"/>
          <cell r="CO35"/>
          <cell r="CP35"/>
          <cell r="CQ35"/>
          <cell r="CR35">
            <v>170694</v>
          </cell>
          <cell r="CS35"/>
          <cell r="CT35"/>
          <cell r="CU35"/>
          <cell r="CV35"/>
          <cell r="CW35"/>
          <cell r="CX35"/>
          <cell r="CY35"/>
          <cell r="CZ35"/>
          <cell r="DA35"/>
          <cell r="DB35"/>
          <cell r="DC35"/>
          <cell r="DD35"/>
          <cell r="DE35"/>
          <cell r="DF35"/>
          <cell r="DG35"/>
          <cell r="DH35"/>
          <cell r="DI35"/>
          <cell r="DJ35" t="e">
            <v>#REF!</v>
          </cell>
          <cell r="DK35"/>
          <cell r="DL35"/>
          <cell r="DM35"/>
          <cell r="DN35"/>
          <cell r="DO35" t="str">
            <v>29</v>
          </cell>
          <cell r="DP35"/>
        </row>
        <row r="36">
          <cell r="B36" t="str">
            <v>30</v>
          </cell>
          <cell r="C36"/>
          <cell r="D36" t="str">
            <v>Travel &amp; Entertainment</v>
          </cell>
          <cell r="E36"/>
          <cell r="F36"/>
          <cell r="G36"/>
          <cell r="H36"/>
          <cell r="I36"/>
          <cell r="J36"/>
          <cell r="K36"/>
          <cell r="L36"/>
          <cell r="M36" t="str">
            <v>0390</v>
          </cell>
          <cell r="N36">
            <v>10275</v>
          </cell>
          <cell r="O36"/>
          <cell r="P36"/>
          <cell r="Q36"/>
          <cell r="R36"/>
          <cell r="S36"/>
          <cell r="T36" t="e">
            <v>#REF!</v>
          </cell>
          <cell r="U36"/>
          <cell r="V36"/>
          <cell r="W36"/>
          <cell r="X36"/>
          <cell r="Y36">
            <v>93229</v>
          </cell>
          <cell r="Z36"/>
          <cell r="AA36"/>
          <cell r="AB36"/>
          <cell r="AC36"/>
          <cell r="AD36"/>
          <cell r="AE36" t="e">
            <v>#REF!</v>
          </cell>
          <cell r="AF36"/>
          <cell r="AG36"/>
          <cell r="AH36"/>
          <cell r="AI36"/>
          <cell r="AJ36">
            <v>0.1</v>
          </cell>
          <cell r="AK36"/>
          <cell r="AL36" t="e">
            <v>#REF!</v>
          </cell>
          <cell r="AM36"/>
          <cell r="AN36"/>
          <cell r="AO36"/>
          <cell r="AP36"/>
          <cell r="AQ36">
            <v>2138</v>
          </cell>
          <cell r="AR36"/>
          <cell r="AS36"/>
          <cell r="AT36"/>
          <cell r="AU36"/>
          <cell r="AV36"/>
          <cell r="AW36"/>
          <cell r="AX36"/>
          <cell r="AY36"/>
          <cell r="AZ36"/>
          <cell r="BA36"/>
          <cell r="BB36" t="e">
            <v>#REF!</v>
          </cell>
          <cell r="BC36"/>
          <cell r="BD36"/>
          <cell r="BE36"/>
          <cell r="BF36"/>
          <cell r="BG36">
            <v>23380</v>
          </cell>
          <cell r="BH36"/>
          <cell r="BI36"/>
          <cell r="BJ36"/>
          <cell r="BK36"/>
          <cell r="BL36"/>
          <cell r="BM36"/>
          <cell r="BN36"/>
          <cell r="BO36"/>
          <cell r="BP36"/>
          <cell r="BQ36"/>
          <cell r="BR36" t="e">
            <v>#REF!</v>
          </cell>
          <cell r="BS36"/>
          <cell r="BT36"/>
          <cell r="BU36"/>
          <cell r="BV36"/>
          <cell r="BW36">
            <v>1849</v>
          </cell>
          <cell r="BX36"/>
          <cell r="BY36"/>
          <cell r="BZ36"/>
          <cell r="CA36"/>
          <cell r="CB36"/>
          <cell r="CC36"/>
          <cell r="CD36"/>
          <cell r="CE36"/>
          <cell r="CF36"/>
          <cell r="CG36"/>
          <cell r="CH36"/>
          <cell r="CI36"/>
          <cell r="CJ36"/>
          <cell r="CK36"/>
          <cell r="CL36"/>
          <cell r="CM36" t="e">
            <v>#REF!</v>
          </cell>
          <cell r="CN36"/>
          <cell r="CO36"/>
          <cell r="CP36"/>
          <cell r="CQ36"/>
          <cell r="CR36">
            <v>21003</v>
          </cell>
          <cell r="CS36"/>
          <cell r="CT36"/>
          <cell r="CU36"/>
          <cell r="CV36"/>
          <cell r="CW36"/>
          <cell r="CX36"/>
          <cell r="CY36"/>
          <cell r="CZ36"/>
          <cell r="DA36"/>
          <cell r="DB36"/>
          <cell r="DC36"/>
          <cell r="DD36"/>
          <cell r="DE36"/>
          <cell r="DF36"/>
          <cell r="DG36"/>
          <cell r="DH36"/>
          <cell r="DI36"/>
          <cell r="DJ36" t="e">
            <v>#REF!</v>
          </cell>
          <cell r="DK36"/>
          <cell r="DL36"/>
          <cell r="DM36"/>
          <cell r="DN36"/>
          <cell r="DO36" t="str">
            <v>30</v>
          </cell>
          <cell r="DP36"/>
        </row>
        <row r="37">
          <cell r="B37" t="str">
            <v>31</v>
          </cell>
          <cell r="C37"/>
          <cell r="D37" t="str">
            <v>Legal &amp; Auditing</v>
          </cell>
          <cell r="E37"/>
          <cell r="F37"/>
          <cell r="G37"/>
          <cell r="H37"/>
          <cell r="I37"/>
          <cell r="J37"/>
          <cell r="K37"/>
          <cell r="L37"/>
          <cell r="M37" t="str">
            <v>0400</v>
          </cell>
          <cell r="N37">
            <v>5327</v>
          </cell>
          <cell r="O37"/>
          <cell r="P37"/>
          <cell r="Q37"/>
          <cell r="R37"/>
          <cell r="S37"/>
          <cell r="T37" t="e">
            <v>#REF!</v>
          </cell>
          <cell r="U37"/>
          <cell r="V37"/>
          <cell r="W37"/>
          <cell r="X37"/>
          <cell r="Y37">
            <v>65234</v>
          </cell>
          <cell r="Z37"/>
          <cell r="AA37"/>
          <cell r="AB37"/>
          <cell r="AC37"/>
          <cell r="AD37"/>
          <cell r="AE37" t="e">
            <v>#REF!</v>
          </cell>
          <cell r="AF37"/>
          <cell r="AG37"/>
          <cell r="AH37"/>
          <cell r="AI37"/>
          <cell r="AJ37">
            <v>0.1</v>
          </cell>
          <cell r="AK37"/>
          <cell r="AL37" t="e">
            <v>#REF!</v>
          </cell>
          <cell r="AM37"/>
          <cell r="AN37"/>
          <cell r="AO37"/>
          <cell r="AP37"/>
          <cell r="AQ37">
            <v>1598</v>
          </cell>
          <cell r="AR37"/>
          <cell r="AS37"/>
          <cell r="AT37"/>
          <cell r="AU37"/>
          <cell r="AV37"/>
          <cell r="AW37"/>
          <cell r="AX37"/>
          <cell r="AY37"/>
          <cell r="AZ37"/>
          <cell r="BA37"/>
          <cell r="BB37" t="e">
            <v>#REF!</v>
          </cell>
          <cell r="BC37"/>
          <cell r="BD37"/>
          <cell r="BE37"/>
          <cell r="BF37"/>
          <cell r="BG37">
            <v>20020</v>
          </cell>
          <cell r="BH37"/>
          <cell r="BI37"/>
          <cell r="BJ37"/>
          <cell r="BK37"/>
          <cell r="BL37"/>
          <cell r="BM37"/>
          <cell r="BN37"/>
          <cell r="BO37"/>
          <cell r="BP37"/>
          <cell r="BQ37"/>
          <cell r="BR37" t="e">
            <v>#REF!</v>
          </cell>
          <cell r="BS37"/>
          <cell r="BT37"/>
          <cell r="BU37"/>
          <cell r="BV37"/>
          <cell r="BW37">
            <v>1332</v>
          </cell>
          <cell r="BX37"/>
          <cell r="BY37"/>
          <cell r="BZ37"/>
          <cell r="CA37"/>
          <cell r="CB37"/>
          <cell r="CC37"/>
          <cell r="CD37"/>
          <cell r="CE37"/>
          <cell r="CF37"/>
          <cell r="CG37"/>
          <cell r="CH37"/>
          <cell r="CI37"/>
          <cell r="CJ37"/>
          <cell r="CK37"/>
          <cell r="CL37"/>
          <cell r="CM37" t="e">
            <v>#REF!</v>
          </cell>
          <cell r="CN37"/>
          <cell r="CO37"/>
          <cell r="CP37"/>
          <cell r="CQ37"/>
          <cell r="CR37">
            <v>16148</v>
          </cell>
          <cell r="CS37"/>
          <cell r="CT37"/>
          <cell r="CU37"/>
          <cell r="CV37"/>
          <cell r="CW37"/>
          <cell r="CX37"/>
          <cell r="CY37"/>
          <cell r="CZ37"/>
          <cell r="DA37"/>
          <cell r="DB37"/>
          <cell r="DC37"/>
          <cell r="DD37"/>
          <cell r="DE37"/>
          <cell r="DF37"/>
          <cell r="DG37"/>
          <cell r="DH37"/>
          <cell r="DI37"/>
          <cell r="DJ37" t="e">
            <v>#REF!</v>
          </cell>
          <cell r="DK37"/>
          <cell r="DL37"/>
          <cell r="DM37"/>
          <cell r="DN37"/>
          <cell r="DO37" t="str">
            <v>31</v>
          </cell>
          <cell r="DP37"/>
        </row>
        <row r="38">
          <cell r="B38" t="str">
            <v>32</v>
          </cell>
          <cell r="C38"/>
          <cell r="D38" t="str">
            <v>Communication, Telephone, Internet &amp; Data Processing</v>
          </cell>
          <cell r="E38"/>
          <cell r="F38"/>
          <cell r="G38"/>
          <cell r="H38"/>
          <cell r="I38"/>
          <cell r="J38"/>
          <cell r="K38"/>
          <cell r="L38"/>
          <cell r="M38" t="str">
            <v>0410</v>
          </cell>
          <cell r="N38">
            <v>19652</v>
          </cell>
          <cell r="O38"/>
          <cell r="P38"/>
          <cell r="Q38"/>
          <cell r="R38"/>
          <cell r="S38"/>
          <cell r="T38" t="e">
            <v>#REF!</v>
          </cell>
          <cell r="U38"/>
          <cell r="V38"/>
          <cell r="W38"/>
          <cell r="X38"/>
          <cell r="Y38">
            <v>236563</v>
          </cell>
          <cell r="Z38"/>
          <cell r="AA38"/>
          <cell r="AB38"/>
          <cell r="AC38"/>
          <cell r="AD38"/>
          <cell r="AE38" t="e">
            <v>#REF!</v>
          </cell>
          <cell r="AF38"/>
          <cell r="AG38"/>
          <cell r="AH38"/>
          <cell r="AI38"/>
          <cell r="AJ38">
            <v>0.3</v>
          </cell>
          <cell r="AK38"/>
          <cell r="AL38" t="e">
            <v>#REF!</v>
          </cell>
          <cell r="AM38"/>
          <cell r="AN38"/>
          <cell r="AO38"/>
          <cell r="AP38"/>
          <cell r="AQ38">
            <v>5172</v>
          </cell>
          <cell r="AR38"/>
          <cell r="AS38"/>
          <cell r="AT38"/>
          <cell r="AU38"/>
          <cell r="AV38"/>
          <cell r="AW38"/>
          <cell r="AX38"/>
          <cell r="AY38"/>
          <cell r="AZ38"/>
          <cell r="BA38"/>
          <cell r="BB38" t="e">
            <v>#REF!</v>
          </cell>
          <cell r="BC38"/>
          <cell r="BD38"/>
          <cell r="BE38"/>
          <cell r="BF38"/>
          <cell r="BG38">
            <v>66427</v>
          </cell>
          <cell r="BH38"/>
          <cell r="BI38"/>
          <cell r="BJ38"/>
          <cell r="BK38"/>
          <cell r="BL38"/>
          <cell r="BM38"/>
          <cell r="BN38"/>
          <cell r="BO38"/>
          <cell r="BP38"/>
          <cell r="BQ38"/>
          <cell r="BR38" t="e">
            <v>#REF!</v>
          </cell>
          <cell r="BS38"/>
          <cell r="BT38"/>
          <cell r="BU38"/>
          <cell r="BV38"/>
          <cell r="BW38">
            <v>4847</v>
          </cell>
          <cell r="BX38"/>
          <cell r="BY38"/>
          <cell r="BZ38"/>
          <cell r="CA38"/>
          <cell r="CB38"/>
          <cell r="CC38"/>
          <cell r="CD38"/>
          <cell r="CE38"/>
          <cell r="CF38"/>
          <cell r="CG38"/>
          <cell r="CH38"/>
          <cell r="CI38"/>
          <cell r="CJ38"/>
          <cell r="CK38"/>
          <cell r="CL38"/>
          <cell r="CM38" t="e">
            <v>#REF!</v>
          </cell>
          <cell r="CN38"/>
          <cell r="CO38"/>
          <cell r="CP38"/>
          <cell r="CQ38"/>
          <cell r="CR38">
            <v>62634</v>
          </cell>
          <cell r="CS38"/>
          <cell r="CT38"/>
          <cell r="CU38"/>
          <cell r="CV38"/>
          <cell r="CW38"/>
          <cell r="CX38"/>
          <cell r="CY38"/>
          <cell r="CZ38"/>
          <cell r="DA38"/>
          <cell r="DB38"/>
          <cell r="DC38"/>
          <cell r="DD38"/>
          <cell r="DE38"/>
          <cell r="DF38"/>
          <cell r="DG38"/>
          <cell r="DH38"/>
          <cell r="DI38"/>
          <cell r="DJ38" t="e">
            <v>#REF!</v>
          </cell>
          <cell r="DK38"/>
          <cell r="DL38"/>
          <cell r="DM38"/>
          <cell r="DN38"/>
          <cell r="DO38" t="str">
            <v>32</v>
          </cell>
          <cell r="DP38"/>
        </row>
        <row r="39">
          <cell r="B39" t="str">
            <v>33</v>
          </cell>
          <cell r="C39"/>
          <cell r="D39" t="str">
            <v>Employee Training</v>
          </cell>
          <cell r="E39"/>
          <cell r="F39"/>
          <cell r="G39"/>
          <cell r="H39"/>
          <cell r="I39"/>
          <cell r="J39"/>
          <cell r="K39"/>
          <cell r="L39"/>
          <cell r="M39" t="str">
            <v>0420</v>
          </cell>
          <cell r="N39">
            <v>8731</v>
          </cell>
          <cell r="O39"/>
          <cell r="P39"/>
          <cell r="Q39"/>
          <cell r="R39"/>
          <cell r="S39"/>
          <cell r="T39" t="e">
            <v>#REF!</v>
          </cell>
          <cell r="U39"/>
          <cell r="V39"/>
          <cell r="W39"/>
          <cell r="X39"/>
          <cell r="Y39">
            <v>40428</v>
          </cell>
          <cell r="Z39"/>
          <cell r="AA39"/>
          <cell r="AB39"/>
          <cell r="AC39"/>
          <cell r="AD39"/>
          <cell r="AE39" t="e">
            <v>#REF!</v>
          </cell>
          <cell r="AF39"/>
          <cell r="AG39"/>
          <cell r="AH39"/>
          <cell r="AI39"/>
          <cell r="AJ39">
            <v>0.1</v>
          </cell>
          <cell r="AK39"/>
          <cell r="AL39" t="e">
            <v>#REF!</v>
          </cell>
          <cell r="AM39"/>
          <cell r="AN39"/>
          <cell r="AO39"/>
          <cell r="AP39"/>
          <cell r="AQ39">
            <v>3934</v>
          </cell>
          <cell r="AR39"/>
          <cell r="AS39"/>
          <cell r="AT39"/>
          <cell r="AU39"/>
          <cell r="AV39"/>
          <cell r="AW39"/>
          <cell r="AX39"/>
          <cell r="AY39"/>
          <cell r="AZ39"/>
          <cell r="BA39"/>
          <cell r="BB39" t="e">
            <v>#REF!</v>
          </cell>
          <cell r="BC39"/>
          <cell r="BD39"/>
          <cell r="BE39"/>
          <cell r="BF39"/>
          <cell r="BG39">
            <v>13550</v>
          </cell>
          <cell r="BH39"/>
          <cell r="BI39"/>
          <cell r="BJ39"/>
          <cell r="BK39"/>
          <cell r="BL39"/>
          <cell r="BM39"/>
          <cell r="BN39"/>
          <cell r="BO39"/>
          <cell r="BP39"/>
          <cell r="BQ39"/>
          <cell r="BR39" t="e">
            <v>#REF!</v>
          </cell>
          <cell r="BS39"/>
          <cell r="BT39"/>
          <cell r="BU39"/>
          <cell r="BV39"/>
          <cell r="BW39">
            <v>2959</v>
          </cell>
          <cell r="BX39"/>
          <cell r="BY39"/>
          <cell r="BZ39"/>
          <cell r="CA39"/>
          <cell r="CB39"/>
          <cell r="CC39"/>
          <cell r="CD39"/>
          <cell r="CE39"/>
          <cell r="CF39"/>
          <cell r="CG39"/>
          <cell r="CH39"/>
          <cell r="CI39"/>
          <cell r="CJ39"/>
          <cell r="CK39"/>
          <cell r="CL39"/>
          <cell r="CM39" t="e">
            <v>#REF!</v>
          </cell>
          <cell r="CN39"/>
          <cell r="CO39"/>
          <cell r="CP39"/>
          <cell r="CQ39"/>
          <cell r="CR39">
            <v>9349</v>
          </cell>
          <cell r="CS39"/>
          <cell r="CT39"/>
          <cell r="CU39"/>
          <cell r="CV39"/>
          <cell r="CW39"/>
          <cell r="CX39"/>
          <cell r="CY39"/>
          <cell r="CZ39"/>
          <cell r="DA39"/>
          <cell r="DB39"/>
          <cell r="DC39"/>
          <cell r="DD39"/>
          <cell r="DE39"/>
          <cell r="DF39"/>
          <cell r="DG39"/>
          <cell r="DH39"/>
          <cell r="DI39"/>
          <cell r="DJ39" t="e">
            <v>#REF!</v>
          </cell>
          <cell r="DK39"/>
          <cell r="DL39"/>
          <cell r="DM39"/>
          <cell r="DN39"/>
          <cell r="DO39" t="str">
            <v>33</v>
          </cell>
          <cell r="DP39"/>
        </row>
        <row r="40">
          <cell r="B40" t="str">
            <v>34</v>
          </cell>
          <cell r="C40"/>
          <cell r="D40" t="str">
            <v>Bad Debts</v>
          </cell>
          <cell r="E40"/>
          <cell r="F40"/>
          <cell r="G40"/>
          <cell r="H40"/>
          <cell r="I40"/>
          <cell r="J40"/>
          <cell r="K40"/>
          <cell r="L40"/>
          <cell r="M40" t="str">
            <v>0430</v>
          </cell>
          <cell r="N40">
            <v>0</v>
          </cell>
          <cell r="O40"/>
          <cell r="P40"/>
          <cell r="Q40"/>
          <cell r="R40"/>
          <cell r="S40"/>
          <cell r="T40" t="e">
            <v>#REF!</v>
          </cell>
          <cell r="U40"/>
          <cell r="V40"/>
          <cell r="W40"/>
          <cell r="X40"/>
          <cell r="Y40">
            <v>8160</v>
          </cell>
          <cell r="Z40"/>
          <cell r="AA40"/>
          <cell r="AB40"/>
          <cell r="AC40"/>
          <cell r="AD40"/>
          <cell r="AE40" t="e">
            <v>#REF!</v>
          </cell>
          <cell r="AF40"/>
          <cell r="AG40"/>
          <cell r="AH40"/>
          <cell r="AI40"/>
          <cell r="AJ40">
            <v>0</v>
          </cell>
          <cell r="AK40"/>
          <cell r="AL40" t="e">
            <v>#REF!</v>
          </cell>
          <cell r="AM40"/>
          <cell r="AN40"/>
          <cell r="AO40"/>
          <cell r="AP40"/>
          <cell r="AQ40">
            <v>0</v>
          </cell>
          <cell r="AR40"/>
          <cell r="AS40"/>
          <cell r="AT40"/>
          <cell r="AU40"/>
          <cell r="AV40"/>
          <cell r="AW40"/>
          <cell r="AX40"/>
          <cell r="AY40"/>
          <cell r="AZ40"/>
          <cell r="BA40"/>
          <cell r="BB40" t="e">
            <v>#REF!</v>
          </cell>
          <cell r="BC40"/>
          <cell r="BD40"/>
          <cell r="BE40"/>
          <cell r="BF40"/>
          <cell r="BG40">
            <v>2095</v>
          </cell>
          <cell r="BH40"/>
          <cell r="BI40"/>
          <cell r="BJ40"/>
          <cell r="BK40"/>
          <cell r="BL40"/>
          <cell r="BM40"/>
          <cell r="BN40"/>
          <cell r="BO40"/>
          <cell r="BP40"/>
          <cell r="BQ40"/>
          <cell r="BR40" t="e">
            <v>#REF!</v>
          </cell>
          <cell r="BS40"/>
          <cell r="BT40"/>
          <cell r="BU40"/>
          <cell r="BV40"/>
          <cell r="BW40">
            <v>0</v>
          </cell>
          <cell r="BX40"/>
          <cell r="BY40"/>
          <cell r="BZ40"/>
          <cell r="CA40"/>
          <cell r="CB40"/>
          <cell r="CC40"/>
          <cell r="CD40"/>
          <cell r="CE40"/>
          <cell r="CF40"/>
          <cell r="CG40"/>
          <cell r="CH40"/>
          <cell r="CI40"/>
          <cell r="CJ40"/>
          <cell r="CK40"/>
          <cell r="CL40"/>
          <cell r="CM40" t="e">
            <v>#REF!</v>
          </cell>
          <cell r="CN40"/>
          <cell r="CO40"/>
          <cell r="CP40"/>
          <cell r="CQ40"/>
          <cell r="CR40">
            <v>3867</v>
          </cell>
          <cell r="CS40"/>
          <cell r="CT40"/>
          <cell r="CU40"/>
          <cell r="CV40"/>
          <cell r="CW40"/>
          <cell r="CX40"/>
          <cell r="CY40"/>
          <cell r="CZ40"/>
          <cell r="DA40"/>
          <cell r="DB40"/>
          <cell r="DC40"/>
          <cell r="DD40"/>
          <cell r="DE40"/>
          <cell r="DF40"/>
          <cell r="DG40"/>
          <cell r="DH40"/>
          <cell r="DI40"/>
          <cell r="DJ40" t="e">
            <v>#REF!</v>
          </cell>
          <cell r="DK40"/>
          <cell r="DL40"/>
          <cell r="DM40"/>
          <cell r="DN40"/>
          <cell r="DO40" t="str">
            <v>34</v>
          </cell>
          <cell r="DP40"/>
        </row>
        <row r="41">
          <cell r="B41" t="str">
            <v>35</v>
          </cell>
          <cell r="C41"/>
          <cell r="D41" t="str">
            <v>Postage &amp; Misc.</v>
          </cell>
          <cell r="E41"/>
          <cell r="F41"/>
          <cell r="G41"/>
          <cell r="H41"/>
          <cell r="I41"/>
          <cell r="J41"/>
          <cell r="K41"/>
          <cell r="L41"/>
          <cell r="M41" t="str">
            <v>0440</v>
          </cell>
          <cell r="N41">
            <v>7357</v>
          </cell>
          <cell r="O41"/>
          <cell r="P41"/>
          <cell r="Q41"/>
          <cell r="R41"/>
          <cell r="S41"/>
          <cell r="T41" t="e">
            <v>#REF!</v>
          </cell>
          <cell r="U41"/>
          <cell r="V41"/>
          <cell r="W41"/>
          <cell r="X41"/>
          <cell r="Y41">
            <v>60062</v>
          </cell>
          <cell r="Z41"/>
          <cell r="AA41"/>
          <cell r="AB41"/>
          <cell r="AC41"/>
          <cell r="AD41"/>
          <cell r="AE41" t="e">
            <v>#REF!</v>
          </cell>
          <cell r="AF41"/>
          <cell r="AG41"/>
          <cell r="AH41"/>
          <cell r="AI41"/>
          <cell r="AJ41">
            <v>0.1</v>
          </cell>
          <cell r="AK41"/>
          <cell r="AL41" t="e">
            <v>#REF!</v>
          </cell>
          <cell r="AM41"/>
          <cell r="AN41"/>
          <cell r="AO41"/>
          <cell r="AP41"/>
          <cell r="AQ41">
            <v>2657</v>
          </cell>
          <cell r="AR41"/>
          <cell r="AS41"/>
          <cell r="AT41"/>
          <cell r="AU41"/>
          <cell r="AV41"/>
          <cell r="AW41"/>
          <cell r="AX41"/>
          <cell r="AY41"/>
          <cell r="AZ41"/>
          <cell r="BA41"/>
          <cell r="BB41" t="e">
            <v>#REF!</v>
          </cell>
          <cell r="BC41"/>
          <cell r="BD41"/>
          <cell r="BE41"/>
          <cell r="BF41"/>
          <cell r="BG41">
            <v>23057</v>
          </cell>
          <cell r="BH41"/>
          <cell r="BI41"/>
          <cell r="BJ41"/>
          <cell r="BK41"/>
          <cell r="BL41"/>
          <cell r="BM41"/>
          <cell r="BN41"/>
          <cell r="BO41"/>
          <cell r="BP41"/>
          <cell r="BQ41"/>
          <cell r="BR41" t="e">
            <v>#REF!</v>
          </cell>
          <cell r="BS41"/>
          <cell r="BT41"/>
          <cell r="BU41"/>
          <cell r="BV41"/>
          <cell r="BW41">
            <v>2413</v>
          </cell>
          <cell r="BX41"/>
          <cell r="BY41"/>
          <cell r="BZ41"/>
          <cell r="CA41"/>
          <cell r="CB41"/>
          <cell r="CC41"/>
          <cell r="CD41"/>
          <cell r="CE41"/>
          <cell r="CF41"/>
          <cell r="CG41"/>
          <cell r="CH41"/>
          <cell r="CI41"/>
          <cell r="CJ41"/>
          <cell r="CK41"/>
          <cell r="CL41"/>
          <cell r="CM41" t="e">
            <v>#REF!</v>
          </cell>
          <cell r="CN41"/>
          <cell r="CO41"/>
          <cell r="CP41"/>
          <cell r="CQ41"/>
          <cell r="CR41">
            <v>21839</v>
          </cell>
          <cell r="CS41"/>
          <cell r="CT41"/>
          <cell r="CU41"/>
          <cell r="CV41"/>
          <cell r="CW41"/>
          <cell r="CX41"/>
          <cell r="CY41"/>
          <cell r="CZ41"/>
          <cell r="DA41"/>
          <cell r="DB41"/>
          <cell r="DC41"/>
          <cell r="DD41"/>
          <cell r="DE41"/>
          <cell r="DF41"/>
          <cell r="DG41"/>
          <cell r="DH41"/>
          <cell r="DI41"/>
          <cell r="DJ41" t="e">
            <v>#REF!</v>
          </cell>
          <cell r="DK41"/>
          <cell r="DL41"/>
          <cell r="DM41"/>
          <cell r="DN41"/>
          <cell r="DO41" t="str">
            <v>35</v>
          </cell>
          <cell r="DP41"/>
        </row>
        <row r="42">
          <cell r="B42" t="str">
            <v>36</v>
          </cell>
          <cell r="C42"/>
          <cell r="D42" t="str">
            <v>Dues, Subscriptions, Memberships &amp; Contributions</v>
          </cell>
          <cell r="E42"/>
          <cell r="F42"/>
          <cell r="G42"/>
          <cell r="H42"/>
          <cell r="I42"/>
          <cell r="J42"/>
          <cell r="K42"/>
          <cell r="L42"/>
          <cell r="M42" t="str">
            <v>0480</v>
          </cell>
          <cell r="N42">
            <v>4095</v>
          </cell>
          <cell r="O42"/>
          <cell r="P42"/>
          <cell r="Q42"/>
          <cell r="R42"/>
          <cell r="S42"/>
          <cell r="T42" t="e">
            <v>#REF!</v>
          </cell>
          <cell r="U42"/>
          <cell r="V42"/>
          <cell r="W42"/>
          <cell r="X42"/>
          <cell r="Y42">
            <v>66051</v>
          </cell>
          <cell r="Z42"/>
          <cell r="AA42"/>
          <cell r="AB42"/>
          <cell r="AC42"/>
          <cell r="AD42"/>
          <cell r="AE42" t="e">
            <v>#REF!</v>
          </cell>
          <cell r="AF42"/>
          <cell r="AG42"/>
          <cell r="AH42"/>
          <cell r="AI42"/>
          <cell r="AJ42">
            <v>0.1</v>
          </cell>
          <cell r="AK42"/>
          <cell r="AL42" t="e">
            <v>#REF!</v>
          </cell>
          <cell r="AM42"/>
          <cell r="AN42"/>
          <cell r="AO42"/>
          <cell r="AP42"/>
          <cell r="AQ42">
            <v>908</v>
          </cell>
          <cell r="AR42"/>
          <cell r="AS42"/>
          <cell r="AT42"/>
          <cell r="AU42"/>
          <cell r="AV42"/>
          <cell r="AW42"/>
          <cell r="AX42"/>
          <cell r="AY42"/>
          <cell r="AZ42"/>
          <cell r="BA42"/>
          <cell r="BB42" t="e">
            <v>#REF!</v>
          </cell>
          <cell r="BC42"/>
          <cell r="BD42"/>
          <cell r="BE42"/>
          <cell r="BF42"/>
          <cell r="BG42">
            <v>13199</v>
          </cell>
          <cell r="BH42"/>
          <cell r="BI42"/>
          <cell r="BJ42"/>
          <cell r="BK42"/>
          <cell r="BL42"/>
          <cell r="BM42"/>
          <cell r="BN42"/>
          <cell r="BO42"/>
          <cell r="BP42"/>
          <cell r="BQ42"/>
          <cell r="BR42" t="e">
            <v>#REF!</v>
          </cell>
          <cell r="BS42"/>
          <cell r="BT42"/>
          <cell r="BU42"/>
          <cell r="BV42"/>
          <cell r="BW42">
            <v>520</v>
          </cell>
          <cell r="BX42"/>
          <cell r="BY42"/>
          <cell r="BZ42"/>
          <cell r="CA42"/>
          <cell r="CB42"/>
          <cell r="CC42"/>
          <cell r="CD42"/>
          <cell r="CE42"/>
          <cell r="CF42"/>
          <cell r="CG42"/>
          <cell r="CH42"/>
          <cell r="CI42"/>
          <cell r="CJ42"/>
          <cell r="CK42"/>
          <cell r="CL42"/>
          <cell r="CM42" t="e">
            <v>#REF!</v>
          </cell>
          <cell r="CN42"/>
          <cell r="CO42"/>
          <cell r="CP42"/>
          <cell r="CQ42"/>
          <cell r="CR42">
            <v>9040</v>
          </cell>
          <cell r="CS42"/>
          <cell r="CT42"/>
          <cell r="CU42"/>
          <cell r="CV42"/>
          <cell r="CW42"/>
          <cell r="CX42"/>
          <cell r="CY42"/>
          <cell r="CZ42"/>
          <cell r="DA42"/>
          <cell r="DB42"/>
          <cell r="DC42"/>
          <cell r="DD42"/>
          <cell r="DE42"/>
          <cell r="DF42"/>
          <cell r="DG42"/>
          <cell r="DH42"/>
          <cell r="DI42"/>
          <cell r="DJ42" t="e">
            <v>#REF!</v>
          </cell>
          <cell r="DK42"/>
          <cell r="DL42"/>
          <cell r="DM42"/>
          <cell r="DN42"/>
          <cell r="DO42" t="str">
            <v>36</v>
          </cell>
          <cell r="DP42"/>
        </row>
        <row r="43">
          <cell r="B43" t="str">
            <v>37</v>
          </cell>
          <cell r="C43"/>
          <cell r="D43" t="str">
            <v>TOTAL SEMI-FIXED EXPENSE GROUP</v>
          </cell>
          <cell r="E43"/>
          <cell r="F43"/>
          <cell r="G43"/>
          <cell r="H43"/>
          <cell r="I43"/>
          <cell r="J43"/>
          <cell r="K43"/>
          <cell r="L43" t="str">
            <v xml:space="preserve">(Lines 23 to 36) </v>
          </cell>
          <cell r="M43"/>
          <cell r="N43">
            <v>127569</v>
          </cell>
          <cell r="O43"/>
          <cell r="P43"/>
          <cell r="Q43"/>
          <cell r="R43"/>
          <cell r="S43"/>
          <cell r="T43" t="e">
            <v>#REF!</v>
          </cell>
          <cell r="U43"/>
          <cell r="V43"/>
          <cell r="W43"/>
          <cell r="X43"/>
          <cell r="Y43">
            <v>1329860</v>
          </cell>
          <cell r="Z43"/>
          <cell r="AA43"/>
          <cell r="AB43"/>
          <cell r="AC43"/>
          <cell r="AD43"/>
          <cell r="AE43" t="e">
            <v>#REF!</v>
          </cell>
          <cell r="AF43"/>
          <cell r="AG43"/>
          <cell r="AH43"/>
          <cell r="AI43"/>
          <cell r="AJ43">
            <v>2</v>
          </cell>
          <cell r="AK43"/>
          <cell r="AL43" t="e">
            <v>#REF!</v>
          </cell>
          <cell r="AM43"/>
          <cell r="AN43"/>
          <cell r="AO43"/>
          <cell r="AP43"/>
          <cell r="AQ43">
            <v>38218</v>
          </cell>
          <cell r="AR43"/>
          <cell r="AS43"/>
          <cell r="AT43"/>
          <cell r="AU43"/>
          <cell r="AV43"/>
          <cell r="AW43"/>
          <cell r="AX43"/>
          <cell r="AY43"/>
          <cell r="AZ43"/>
          <cell r="BA43"/>
          <cell r="BB43" t="e">
            <v>#REF!</v>
          </cell>
          <cell r="BC43"/>
          <cell r="BD43"/>
          <cell r="BE43"/>
          <cell r="BF43"/>
          <cell r="BG43">
            <v>388031</v>
          </cell>
          <cell r="BH43"/>
          <cell r="BI43"/>
          <cell r="BJ43"/>
          <cell r="BK43"/>
          <cell r="BL43"/>
          <cell r="BM43"/>
          <cell r="BN43"/>
          <cell r="BO43"/>
          <cell r="BP43"/>
          <cell r="BQ43"/>
          <cell r="BR43" t="e">
            <v>#REF!</v>
          </cell>
          <cell r="BS43"/>
          <cell r="BT43"/>
          <cell r="BU43"/>
          <cell r="BV43"/>
          <cell r="BW43">
            <v>35690</v>
          </cell>
          <cell r="BX43"/>
          <cell r="BY43"/>
          <cell r="BZ43"/>
          <cell r="CA43"/>
          <cell r="CB43"/>
          <cell r="CC43"/>
          <cell r="CD43"/>
          <cell r="CE43"/>
          <cell r="CF43"/>
          <cell r="CG43"/>
          <cell r="CH43"/>
          <cell r="CI43"/>
          <cell r="CJ43"/>
          <cell r="CK43"/>
          <cell r="CL43"/>
          <cell r="CM43" t="e">
            <v>#REF!</v>
          </cell>
          <cell r="CN43"/>
          <cell r="CO43"/>
          <cell r="CP43"/>
          <cell r="CQ43"/>
          <cell r="CR43">
            <v>367479</v>
          </cell>
          <cell r="CS43"/>
          <cell r="CT43"/>
          <cell r="CU43"/>
          <cell r="CV43"/>
          <cell r="CW43"/>
          <cell r="CX43"/>
          <cell r="CY43"/>
          <cell r="CZ43"/>
          <cell r="DA43"/>
          <cell r="DB43"/>
          <cell r="DC43"/>
          <cell r="DD43"/>
          <cell r="DE43"/>
          <cell r="DF43"/>
          <cell r="DG43"/>
          <cell r="DH43"/>
          <cell r="DI43"/>
          <cell r="DJ43" t="e">
            <v>#REF!</v>
          </cell>
          <cell r="DK43"/>
          <cell r="DL43"/>
          <cell r="DM43"/>
          <cell r="DN43"/>
          <cell r="DO43" t="str">
            <v>37</v>
          </cell>
          <cell r="DP43"/>
        </row>
        <row r="44">
          <cell r="B44" t="str">
            <v>38</v>
          </cell>
          <cell r="C44"/>
          <cell r="D44" t="str">
            <v>Rent and Interest - Real Estate Mortgages</v>
          </cell>
          <cell r="E44"/>
          <cell r="F44"/>
          <cell r="G44"/>
          <cell r="H44"/>
          <cell r="I44"/>
          <cell r="J44"/>
          <cell r="K44"/>
          <cell r="L44"/>
          <cell r="M44" t="str">
            <v>0500</v>
          </cell>
          <cell r="N44">
            <v>30000</v>
          </cell>
          <cell r="O44"/>
          <cell r="P44"/>
          <cell r="Q44"/>
          <cell r="R44"/>
          <cell r="S44"/>
          <cell r="T44" t="e">
            <v>#REF!</v>
          </cell>
          <cell r="U44"/>
          <cell r="V44"/>
          <cell r="W44"/>
          <cell r="X44"/>
          <cell r="Y44">
            <v>360000</v>
          </cell>
          <cell r="Z44"/>
          <cell r="AA44"/>
          <cell r="AB44"/>
          <cell r="AC44"/>
          <cell r="AD44"/>
          <cell r="AE44" t="e">
            <v>#REF!</v>
          </cell>
          <cell r="AF44"/>
          <cell r="AG44"/>
          <cell r="AH44"/>
          <cell r="AI44"/>
          <cell r="AJ44">
            <v>0.5</v>
          </cell>
          <cell r="AK44"/>
          <cell r="AL44" t="e">
            <v>#REF!</v>
          </cell>
          <cell r="AM44"/>
          <cell r="AN44"/>
          <cell r="AO44"/>
          <cell r="AP44"/>
          <cell r="AQ44">
            <v>9000</v>
          </cell>
          <cell r="AR44"/>
          <cell r="AS44"/>
          <cell r="AT44"/>
          <cell r="AU44"/>
          <cell r="AV44"/>
          <cell r="AW44"/>
          <cell r="AX44"/>
          <cell r="AY44"/>
          <cell r="AZ44"/>
          <cell r="BA44"/>
          <cell r="BB44" t="e">
            <v>#REF!</v>
          </cell>
          <cell r="BC44"/>
          <cell r="BD44"/>
          <cell r="BE44"/>
          <cell r="BF44"/>
          <cell r="BG44">
            <v>108000</v>
          </cell>
          <cell r="BH44"/>
          <cell r="BI44"/>
          <cell r="BJ44"/>
          <cell r="BK44"/>
          <cell r="BL44"/>
          <cell r="BM44"/>
          <cell r="BN44"/>
          <cell r="BO44"/>
          <cell r="BP44"/>
          <cell r="BQ44"/>
          <cell r="BR44" t="e">
            <v>#REF!</v>
          </cell>
          <cell r="BS44"/>
          <cell r="BT44"/>
          <cell r="BU44"/>
          <cell r="BV44"/>
          <cell r="BW44">
            <v>7500</v>
          </cell>
          <cell r="BX44"/>
          <cell r="BY44"/>
          <cell r="BZ44"/>
          <cell r="CA44"/>
          <cell r="CB44"/>
          <cell r="CC44"/>
          <cell r="CD44"/>
          <cell r="CE44"/>
          <cell r="CF44"/>
          <cell r="CG44"/>
          <cell r="CH44"/>
          <cell r="CI44"/>
          <cell r="CJ44"/>
          <cell r="CK44"/>
          <cell r="CL44"/>
          <cell r="CM44" t="e">
            <v>#REF!</v>
          </cell>
          <cell r="CN44"/>
          <cell r="CO44"/>
          <cell r="CP44"/>
          <cell r="CQ44"/>
          <cell r="CR44">
            <v>90000</v>
          </cell>
          <cell r="CS44"/>
          <cell r="CT44"/>
          <cell r="CU44"/>
          <cell r="CV44"/>
          <cell r="CW44"/>
          <cell r="CX44"/>
          <cell r="CY44"/>
          <cell r="CZ44"/>
          <cell r="DA44"/>
          <cell r="DB44"/>
          <cell r="DC44"/>
          <cell r="DD44"/>
          <cell r="DE44"/>
          <cell r="DF44"/>
          <cell r="DG44"/>
          <cell r="DH44"/>
          <cell r="DI44"/>
          <cell r="DJ44" t="e">
            <v>#REF!</v>
          </cell>
          <cell r="DK44"/>
          <cell r="DL44"/>
          <cell r="DM44"/>
          <cell r="DN44"/>
          <cell r="DO44" t="str">
            <v>38</v>
          </cell>
          <cell r="DP44"/>
        </row>
        <row r="45">
          <cell r="B45" t="str">
            <v>39</v>
          </cell>
          <cell r="C45"/>
          <cell r="D45" t="str">
            <v>Amortization - Leaseholds</v>
          </cell>
          <cell r="E45"/>
          <cell r="F45"/>
          <cell r="G45"/>
          <cell r="H45"/>
          <cell r="I45"/>
          <cell r="J45"/>
          <cell r="K45"/>
          <cell r="L45"/>
          <cell r="M45" t="str">
            <v>0510</v>
          </cell>
          <cell r="N45">
            <v>0</v>
          </cell>
          <cell r="O45"/>
          <cell r="P45"/>
          <cell r="Q45"/>
          <cell r="R45"/>
          <cell r="S45"/>
          <cell r="T45" t="e">
            <v>#REF!</v>
          </cell>
          <cell r="U45"/>
          <cell r="V45"/>
          <cell r="W45"/>
          <cell r="X45"/>
          <cell r="Y45">
            <v>0</v>
          </cell>
          <cell r="Z45"/>
          <cell r="AA45"/>
          <cell r="AB45"/>
          <cell r="AC45"/>
          <cell r="AD45"/>
          <cell r="AE45" t="e">
            <v>#REF!</v>
          </cell>
          <cell r="AF45"/>
          <cell r="AG45"/>
          <cell r="AH45"/>
          <cell r="AI45"/>
          <cell r="AJ45">
            <v>0</v>
          </cell>
          <cell r="AK45"/>
          <cell r="AL45" t="e">
            <v>#REF!</v>
          </cell>
          <cell r="AM45"/>
          <cell r="AN45"/>
          <cell r="AO45"/>
          <cell r="AP45"/>
          <cell r="AQ45">
            <v>0</v>
          </cell>
          <cell r="AR45"/>
          <cell r="AS45"/>
          <cell r="AT45"/>
          <cell r="AU45"/>
          <cell r="AV45"/>
          <cell r="AW45"/>
          <cell r="AX45"/>
          <cell r="AY45"/>
          <cell r="AZ45"/>
          <cell r="BA45"/>
          <cell r="BB45" t="e">
            <v>#REF!</v>
          </cell>
          <cell r="BC45"/>
          <cell r="BD45"/>
          <cell r="BE45"/>
          <cell r="BF45"/>
          <cell r="BG45">
            <v>0</v>
          </cell>
          <cell r="BH45"/>
          <cell r="BI45"/>
          <cell r="BJ45"/>
          <cell r="BK45"/>
          <cell r="BL45"/>
          <cell r="BM45"/>
          <cell r="BN45"/>
          <cell r="BO45"/>
          <cell r="BP45"/>
          <cell r="BQ45"/>
          <cell r="BR45" t="e">
            <v>#REF!</v>
          </cell>
          <cell r="BS45"/>
          <cell r="BT45"/>
          <cell r="BU45"/>
          <cell r="BV45"/>
          <cell r="BW45">
            <v>0</v>
          </cell>
          <cell r="BX45"/>
          <cell r="BY45"/>
          <cell r="BZ45"/>
          <cell r="CA45"/>
          <cell r="CB45"/>
          <cell r="CC45"/>
          <cell r="CD45"/>
          <cell r="CE45"/>
          <cell r="CF45"/>
          <cell r="CG45"/>
          <cell r="CH45"/>
          <cell r="CI45"/>
          <cell r="CJ45"/>
          <cell r="CK45"/>
          <cell r="CL45"/>
          <cell r="CM45" t="e">
            <v>#REF!</v>
          </cell>
          <cell r="CN45"/>
          <cell r="CO45"/>
          <cell r="CP45"/>
          <cell r="CQ45"/>
          <cell r="CR45">
            <v>0</v>
          </cell>
          <cell r="CS45"/>
          <cell r="CT45"/>
          <cell r="CU45"/>
          <cell r="CV45"/>
          <cell r="CW45"/>
          <cell r="CX45"/>
          <cell r="CY45"/>
          <cell r="CZ45"/>
          <cell r="DA45"/>
          <cell r="DB45"/>
          <cell r="DC45"/>
          <cell r="DD45"/>
          <cell r="DE45"/>
          <cell r="DF45"/>
          <cell r="DG45"/>
          <cell r="DH45"/>
          <cell r="DI45"/>
          <cell r="DJ45" t="e">
            <v>#REF!</v>
          </cell>
          <cell r="DK45"/>
          <cell r="DL45"/>
          <cell r="DM45"/>
          <cell r="DN45"/>
          <cell r="DO45" t="str">
            <v>39</v>
          </cell>
          <cell r="DP45"/>
        </row>
        <row r="46">
          <cell r="B46" t="str">
            <v>40</v>
          </cell>
          <cell r="C46"/>
          <cell r="D46" t="str">
            <v>Repair &amp; Maintenance - Real Estate</v>
          </cell>
          <cell r="E46"/>
          <cell r="F46"/>
          <cell r="G46"/>
          <cell r="H46"/>
          <cell r="I46"/>
          <cell r="J46"/>
          <cell r="K46"/>
          <cell r="L46"/>
          <cell r="M46" t="str">
            <v>0520</v>
          </cell>
          <cell r="N46">
            <v>0</v>
          </cell>
          <cell r="O46"/>
          <cell r="P46"/>
          <cell r="Q46"/>
          <cell r="R46"/>
          <cell r="S46"/>
          <cell r="T46" t="e">
            <v>#REF!</v>
          </cell>
          <cell r="U46"/>
          <cell r="V46"/>
          <cell r="W46"/>
          <cell r="X46"/>
          <cell r="Y46">
            <v>5985</v>
          </cell>
          <cell r="Z46"/>
          <cell r="AA46"/>
          <cell r="AB46"/>
          <cell r="AC46"/>
          <cell r="AD46"/>
          <cell r="AE46" t="e">
            <v>#REF!</v>
          </cell>
          <cell r="AF46"/>
          <cell r="AG46"/>
          <cell r="AH46"/>
          <cell r="AI46"/>
          <cell r="AJ46">
            <v>0</v>
          </cell>
          <cell r="AK46"/>
          <cell r="AL46" t="e">
            <v>#REF!</v>
          </cell>
          <cell r="AM46"/>
          <cell r="AN46"/>
          <cell r="AO46"/>
          <cell r="AP46"/>
          <cell r="AQ46">
            <v>0</v>
          </cell>
          <cell r="AR46"/>
          <cell r="AS46"/>
          <cell r="AT46"/>
          <cell r="AU46"/>
          <cell r="AV46"/>
          <cell r="AW46"/>
          <cell r="AX46"/>
          <cell r="AY46"/>
          <cell r="AZ46"/>
          <cell r="BA46"/>
          <cell r="BB46" t="e">
            <v>#REF!</v>
          </cell>
          <cell r="BC46"/>
          <cell r="BD46"/>
          <cell r="BE46"/>
          <cell r="BF46"/>
          <cell r="BG46">
            <v>993</v>
          </cell>
          <cell r="BH46"/>
          <cell r="BI46"/>
          <cell r="BJ46"/>
          <cell r="BK46"/>
          <cell r="BL46"/>
          <cell r="BM46"/>
          <cell r="BN46"/>
          <cell r="BO46"/>
          <cell r="BP46"/>
          <cell r="BQ46"/>
          <cell r="BR46" t="e">
            <v>#REF!</v>
          </cell>
          <cell r="BS46"/>
          <cell r="BT46"/>
          <cell r="BU46"/>
          <cell r="BV46"/>
          <cell r="BW46">
            <v>0</v>
          </cell>
          <cell r="BX46"/>
          <cell r="BY46"/>
          <cell r="BZ46"/>
          <cell r="CA46"/>
          <cell r="CB46"/>
          <cell r="CC46"/>
          <cell r="CD46"/>
          <cell r="CE46"/>
          <cell r="CF46"/>
          <cell r="CG46"/>
          <cell r="CH46"/>
          <cell r="CI46"/>
          <cell r="CJ46"/>
          <cell r="CK46"/>
          <cell r="CL46"/>
          <cell r="CM46" t="e">
            <v>#REF!</v>
          </cell>
          <cell r="CN46"/>
          <cell r="CO46"/>
          <cell r="CP46"/>
          <cell r="CQ46"/>
          <cell r="CR46">
            <v>828</v>
          </cell>
          <cell r="CS46"/>
          <cell r="CT46"/>
          <cell r="CU46"/>
          <cell r="CV46"/>
          <cell r="CW46"/>
          <cell r="CX46"/>
          <cell r="CY46"/>
          <cell r="CZ46"/>
          <cell r="DA46"/>
          <cell r="DB46"/>
          <cell r="DC46"/>
          <cell r="DD46"/>
          <cell r="DE46"/>
          <cell r="DF46"/>
          <cell r="DG46"/>
          <cell r="DH46"/>
          <cell r="DI46"/>
          <cell r="DJ46" t="e">
            <v>#REF!</v>
          </cell>
          <cell r="DK46"/>
          <cell r="DL46"/>
          <cell r="DM46"/>
          <cell r="DN46"/>
          <cell r="DO46" t="str">
            <v>40</v>
          </cell>
          <cell r="DP46"/>
        </row>
        <row r="47">
          <cell r="B47" t="str">
            <v>41</v>
          </cell>
          <cell r="C47"/>
          <cell r="D47" t="str">
            <v>Depreciation - Buildings &amp; Improvements</v>
          </cell>
          <cell r="E47"/>
          <cell r="F47"/>
          <cell r="G47"/>
          <cell r="H47"/>
          <cell r="I47"/>
          <cell r="J47"/>
          <cell r="K47"/>
          <cell r="L47"/>
          <cell r="M47" t="str">
            <v>0530</v>
          </cell>
          <cell r="N47">
            <v>2087</v>
          </cell>
          <cell r="O47"/>
          <cell r="P47"/>
          <cell r="Q47"/>
          <cell r="R47"/>
          <cell r="S47"/>
          <cell r="T47" t="e">
            <v>#REF!</v>
          </cell>
          <cell r="U47"/>
          <cell r="V47"/>
          <cell r="W47"/>
          <cell r="X47"/>
          <cell r="Y47">
            <v>12523</v>
          </cell>
          <cell r="Z47"/>
          <cell r="AA47"/>
          <cell r="AB47"/>
          <cell r="AC47"/>
          <cell r="AD47"/>
          <cell r="AE47" t="e">
            <v>#REF!</v>
          </cell>
          <cell r="AF47"/>
          <cell r="AG47"/>
          <cell r="AH47"/>
          <cell r="AI47"/>
          <cell r="AJ47">
            <v>0</v>
          </cell>
          <cell r="AK47"/>
          <cell r="AL47" t="e">
            <v>#REF!</v>
          </cell>
          <cell r="AM47"/>
          <cell r="AN47"/>
          <cell r="AO47"/>
          <cell r="AP47"/>
          <cell r="AQ47">
            <v>626</v>
          </cell>
          <cell r="AR47"/>
          <cell r="AS47"/>
          <cell r="AT47"/>
          <cell r="AU47"/>
          <cell r="AV47"/>
          <cell r="AW47"/>
          <cell r="AX47"/>
          <cell r="AY47"/>
          <cell r="AZ47"/>
          <cell r="BA47"/>
          <cell r="BB47" t="e">
            <v>#REF!</v>
          </cell>
          <cell r="BC47"/>
          <cell r="BD47"/>
          <cell r="BE47"/>
          <cell r="BF47"/>
          <cell r="BG47">
            <v>3757</v>
          </cell>
          <cell r="BH47"/>
          <cell r="BI47"/>
          <cell r="BJ47"/>
          <cell r="BK47"/>
          <cell r="BL47"/>
          <cell r="BM47"/>
          <cell r="BN47"/>
          <cell r="BO47"/>
          <cell r="BP47"/>
          <cell r="BQ47"/>
          <cell r="BR47" t="e">
            <v>#REF!</v>
          </cell>
          <cell r="BS47"/>
          <cell r="BT47"/>
          <cell r="BU47"/>
          <cell r="BV47"/>
          <cell r="BW47">
            <v>522</v>
          </cell>
          <cell r="BX47"/>
          <cell r="BY47"/>
          <cell r="BZ47"/>
          <cell r="CA47"/>
          <cell r="CB47"/>
          <cell r="CC47"/>
          <cell r="CD47"/>
          <cell r="CE47"/>
          <cell r="CF47"/>
          <cell r="CG47"/>
          <cell r="CH47"/>
          <cell r="CI47"/>
          <cell r="CJ47"/>
          <cell r="CK47"/>
          <cell r="CL47"/>
          <cell r="CM47" t="e">
            <v>#REF!</v>
          </cell>
          <cell r="CN47"/>
          <cell r="CO47"/>
          <cell r="CP47"/>
          <cell r="CQ47"/>
          <cell r="CR47">
            <v>3131</v>
          </cell>
          <cell r="CS47"/>
          <cell r="CT47"/>
          <cell r="CU47"/>
          <cell r="CV47"/>
          <cell r="CW47"/>
          <cell r="CX47"/>
          <cell r="CY47"/>
          <cell r="CZ47"/>
          <cell r="DA47"/>
          <cell r="DB47"/>
          <cell r="DC47"/>
          <cell r="DD47"/>
          <cell r="DE47"/>
          <cell r="DF47"/>
          <cell r="DG47"/>
          <cell r="DH47"/>
          <cell r="DI47"/>
          <cell r="DJ47" t="e">
            <v>#REF!</v>
          </cell>
          <cell r="DK47"/>
          <cell r="DL47"/>
          <cell r="DM47"/>
          <cell r="DN47"/>
          <cell r="DO47" t="str">
            <v>41</v>
          </cell>
          <cell r="DP47"/>
        </row>
        <row r="48">
          <cell r="B48" t="str">
            <v>42</v>
          </cell>
          <cell r="C48"/>
          <cell r="D48" t="str">
            <v>Insurance - Buildings &amp; Improvements</v>
          </cell>
          <cell r="E48"/>
          <cell r="F48"/>
          <cell r="G48"/>
          <cell r="H48"/>
          <cell r="I48"/>
          <cell r="J48"/>
          <cell r="K48"/>
          <cell r="L48"/>
          <cell r="M48" t="str">
            <v>0540</v>
          </cell>
          <cell r="N48">
            <v>1837</v>
          </cell>
          <cell r="O48"/>
          <cell r="P48"/>
          <cell r="Q48"/>
          <cell r="R48"/>
          <cell r="S48"/>
          <cell r="T48" t="e">
            <v>#REF!</v>
          </cell>
          <cell r="U48"/>
          <cell r="V48"/>
          <cell r="W48"/>
          <cell r="X48"/>
          <cell r="Y48">
            <v>20694</v>
          </cell>
          <cell r="Z48"/>
          <cell r="AA48"/>
          <cell r="AB48"/>
          <cell r="AC48"/>
          <cell r="AD48"/>
          <cell r="AE48" t="e">
            <v>#REF!</v>
          </cell>
          <cell r="AF48"/>
          <cell r="AG48"/>
          <cell r="AH48"/>
          <cell r="AI48"/>
          <cell r="AJ48">
            <v>0</v>
          </cell>
          <cell r="AK48"/>
          <cell r="AL48" t="e">
            <v>#REF!</v>
          </cell>
          <cell r="AM48"/>
          <cell r="AN48"/>
          <cell r="AO48"/>
          <cell r="AP48"/>
          <cell r="AQ48">
            <v>551</v>
          </cell>
          <cell r="AR48"/>
          <cell r="AS48"/>
          <cell r="AT48"/>
          <cell r="AU48"/>
          <cell r="AV48"/>
          <cell r="AW48"/>
          <cell r="AX48"/>
          <cell r="AY48"/>
          <cell r="AZ48"/>
          <cell r="BA48"/>
          <cell r="BB48" t="e">
            <v>#REF!</v>
          </cell>
          <cell r="BC48"/>
          <cell r="BD48"/>
          <cell r="BE48"/>
          <cell r="BF48"/>
          <cell r="BG48">
            <v>6208</v>
          </cell>
          <cell r="BH48"/>
          <cell r="BI48"/>
          <cell r="BJ48"/>
          <cell r="BK48"/>
          <cell r="BL48"/>
          <cell r="BM48"/>
          <cell r="BN48"/>
          <cell r="BO48"/>
          <cell r="BP48"/>
          <cell r="BQ48"/>
          <cell r="BR48" t="e">
            <v>#REF!</v>
          </cell>
          <cell r="BS48"/>
          <cell r="BT48"/>
          <cell r="BU48"/>
          <cell r="BV48"/>
          <cell r="BW48">
            <v>459</v>
          </cell>
          <cell r="BX48"/>
          <cell r="BY48"/>
          <cell r="BZ48"/>
          <cell r="CA48"/>
          <cell r="CB48"/>
          <cell r="CC48"/>
          <cell r="CD48"/>
          <cell r="CE48"/>
          <cell r="CF48"/>
          <cell r="CG48"/>
          <cell r="CH48"/>
          <cell r="CI48"/>
          <cell r="CJ48"/>
          <cell r="CK48"/>
          <cell r="CL48"/>
          <cell r="CM48" t="e">
            <v>#REF!</v>
          </cell>
          <cell r="CN48"/>
          <cell r="CO48"/>
          <cell r="CP48"/>
          <cell r="CQ48"/>
          <cell r="CR48">
            <v>5174</v>
          </cell>
          <cell r="CS48"/>
          <cell r="CT48"/>
          <cell r="CU48"/>
          <cell r="CV48"/>
          <cell r="CW48"/>
          <cell r="CX48"/>
          <cell r="CY48"/>
          <cell r="CZ48"/>
          <cell r="DA48"/>
          <cell r="DB48"/>
          <cell r="DC48"/>
          <cell r="DD48"/>
          <cell r="DE48"/>
          <cell r="DF48"/>
          <cell r="DG48"/>
          <cell r="DH48"/>
          <cell r="DI48"/>
          <cell r="DJ48" t="e">
            <v>#REF!</v>
          </cell>
          <cell r="DK48"/>
          <cell r="DL48"/>
          <cell r="DM48"/>
          <cell r="DN48"/>
          <cell r="DO48" t="str">
            <v>42</v>
          </cell>
          <cell r="DP48"/>
        </row>
        <row r="49">
          <cell r="B49" t="str">
            <v>43</v>
          </cell>
          <cell r="C49"/>
          <cell r="D49" t="str">
            <v>Taxes - Real Estate</v>
          </cell>
          <cell r="E49"/>
          <cell r="F49"/>
          <cell r="G49"/>
          <cell r="H49"/>
          <cell r="I49"/>
          <cell r="J49"/>
          <cell r="K49"/>
          <cell r="L49"/>
          <cell r="M49" t="str">
            <v>0550</v>
          </cell>
          <cell r="N49">
            <v>3808</v>
          </cell>
          <cell r="O49"/>
          <cell r="P49"/>
          <cell r="Q49"/>
          <cell r="R49"/>
          <cell r="S49"/>
          <cell r="T49" t="e">
            <v>#REF!</v>
          </cell>
          <cell r="U49"/>
          <cell r="V49"/>
          <cell r="W49"/>
          <cell r="X49"/>
          <cell r="Y49">
            <v>45692</v>
          </cell>
          <cell r="Z49"/>
          <cell r="AA49"/>
          <cell r="AB49"/>
          <cell r="AC49"/>
          <cell r="AD49"/>
          <cell r="AE49" t="e">
            <v>#REF!</v>
          </cell>
          <cell r="AF49"/>
          <cell r="AG49"/>
          <cell r="AH49"/>
          <cell r="AI49"/>
          <cell r="AJ49">
            <v>0.1</v>
          </cell>
          <cell r="AK49"/>
          <cell r="AL49" t="e">
            <v>#REF!</v>
          </cell>
          <cell r="AM49"/>
          <cell r="AN49"/>
          <cell r="AO49"/>
          <cell r="AP49"/>
          <cell r="AQ49">
            <v>1142</v>
          </cell>
          <cell r="AR49"/>
          <cell r="AS49"/>
          <cell r="AT49"/>
          <cell r="AU49"/>
          <cell r="AV49"/>
          <cell r="AW49"/>
          <cell r="AX49"/>
          <cell r="AY49"/>
          <cell r="AZ49"/>
          <cell r="BA49"/>
          <cell r="BB49" t="e">
            <v>#REF!</v>
          </cell>
          <cell r="BC49"/>
          <cell r="BD49"/>
          <cell r="BE49"/>
          <cell r="BF49"/>
          <cell r="BG49">
            <v>13708</v>
          </cell>
          <cell r="BH49"/>
          <cell r="BI49"/>
          <cell r="BJ49"/>
          <cell r="BK49"/>
          <cell r="BL49"/>
          <cell r="BM49"/>
          <cell r="BN49"/>
          <cell r="BO49"/>
          <cell r="BP49"/>
          <cell r="BQ49"/>
          <cell r="BR49" t="e">
            <v>#REF!</v>
          </cell>
          <cell r="BS49"/>
          <cell r="BT49"/>
          <cell r="BU49"/>
          <cell r="BV49"/>
          <cell r="BW49">
            <v>952</v>
          </cell>
          <cell r="BX49"/>
          <cell r="BY49"/>
          <cell r="BZ49"/>
          <cell r="CA49"/>
          <cell r="CB49"/>
          <cell r="CC49"/>
          <cell r="CD49"/>
          <cell r="CE49"/>
          <cell r="CF49"/>
          <cell r="CG49"/>
          <cell r="CH49"/>
          <cell r="CI49"/>
          <cell r="CJ49"/>
          <cell r="CK49"/>
          <cell r="CL49"/>
          <cell r="CM49" t="e">
            <v>#REF!</v>
          </cell>
          <cell r="CN49"/>
          <cell r="CO49"/>
          <cell r="CP49"/>
          <cell r="CQ49"/>
          <cell r="CR49">
            <v>11423</v>
          </cell>
          <cell r="CS49"/>
          <cell r="CT49"/>
          <cell r="CU49"/>
          <cell r="CV49"/>
          <cell r="CW49"/>
          <cell r="CX49"/>
          <cell r="CY49"/>
          <cell r="CZ49"/>
          <cell r="DA49"/>
          <cell r="DB49"/>
          <cell r="DC49"/>
          <cell r="DD49"/>
          <cell r="DE49"/>
          <cell r="DF49"/>
          <cell r="DG49"/>
          <cell r="DH49"/>
          <cell r="DI49"/>
          <cell r="DJ49" t="e">
            <v>#REF!</v>
          </cell>
          <cell r="DK49"/>
          <cell r="DL49"/>
          <cell r="DM49"/>
          <cell r="DN49"/>
          <cell r="DO49" t="str">
            <v>43</v>
          </cell>
          <cell r="DP49"/>
        </row>
        <row r="50">
          <cell r="B50" t="str">
            <v>44</v>
          </cell>
          <cell r="C50"/>
          <cell r="D50" t="str">
            <v>Heat, Light, Power &amp; Water</v>
          </cell>
          <cell r="E50"/>
          <cell r="F50"/>
          <cell r="G50"/>
          <cell r="H50"/>
          <cell r="I50"/>
          <cell r="J50"/>
          <cell r="K50"/>
          <cell r="L50"/>
          <cell r="M50" t="str">
            <v>0570</v>
          </cell>
          <cell r="N50">
            <v>10052</v>
          </cell>
          <cell r="O50"/>
          <cell r="P50"/>
          <cell r="Q50"/>
          <cell r="R50"/>
          <cell r="S50"/>
          <cell r="T50" t="e">
            <v>#REF!</v>
          </cell>
          <cell r="U50"/>
          <cell r="V50"/>
          <cell r="W50"/>
          <cell r="X50"/>
          <cell r="Y50">
            <v>130402</v>
          </cell>
          <cell r="Z50"/>
          <cell r="AA50"/>
          <cell r="AB50"/>
          <cell r="AC50"/>
          <cell r="AD50"/>
          <cell r="AE50" t="e">
            <v>#REF!</v>
          </cell>
          <cell r="AF50"/>
          <cell r="AG50"/>
          <cell r="AH50"/>
          <cell r="AI50"/>
          <cell r="AJ50">
            <v>0.2</v>
          </cell>
          <cell r="AK50"/>
          <cell r="AL50" t="e">
            <v>#REF!</v>
          </cell>
          <cell r="AM50"/>
          <cell r="AN50"/>
          <cell r="AO50"/>
          <cell r="AP50"/>
          <cell r="AQ50">
            <v>3648</v>
          </cell>
          <cell r="AR50"/>
          <cell r="AS50"/>
          <cell r="AT50"/>
          <cell r="AU50"/>
          <cell r="AV50"/>
          <cell r="AW50"/>
          <cell r="AX50"/>
          <cell r="AY50"/>
          <cell r="AZ50"/>
          <cell r="BA50"/>
          <cell r="BB50" t="e">
            <v>#REF!</v>
          </cell>
          <cell r="BC50"/>
          <cell r="BD50"/>
          <cell r="BE50"/>
          <cell r="BF50"/>
          <cell r="BG50">
            <v>39753</v>
          </cell>
          <cell r="BH50"/>
          <cell r="BI50"/>
          <cell r="BJ50"/>
          <cell r="BK50"/>
          <cell r="BL50"/>
          <cell r="BM50"/>
          <cell r="BN50"/>
          <cell r="BO50"/>
          <cell r="BP50"/>
          <cell r="BQ50"/>
          <cell r="BR50" t="e">
            <v>#REF!</v>
          </cell>
          <cell r="BS50"/>
          <cell r="BT50"/>
          <cell r="BU50"/>
          <cell r="BV50"/>
          <cell r="BW50">
            <v>2324</v>
          </cell>
          <cell r="BX50"/>
          <cell r="BY50"/>
          <cell r="BZ50"/>
          <cell r="CA50"/>
          <cell r="CB50"/>
          <cell r="CC50"/>
          <cell r="CD50"/>
          <cell r="CE50"/>
          <cell r="CF50"/>
          <cell r="CG50"/>
          <cell r="CH50"/>
          <cell r="CI50"/>
          <cell r="CJ50"/>
          <cell r="CK50"/>
          <cell r="CL50"/>
          <cell r="CM50" t="e">
            <v>#REF!</v>
          </cell>
          <cell r="CN50"/>
          <cell r="CO50"/>
          <cell r="CP50"/>
          <cell r="CQ50"/>
          <cell r="CR50">
            <v>32412</v>
          </cell>
          <cell r="CS50"/>
          <cell r="CT50"/>
          <cell r="CU50"/>
          <cell r="CV50"/>
          <cell r="CW50"/>
          <cell r="CX50"/>
          <cell r="CY50"/>
          <cell r="CZ50"/>
          <cell r="DA50"/>
          <cell r="DB50"/>
          <cell r="DC50"/>
          <cell r="DD50"/>
          <cell r="DE50"/>
          <cell r="DF50"/>
          <cell r="DG50"/>
          <cell r="DH50"/>
          <cell r="DI50"/>
          <cell r="DJ50" t="e">
            <v>#REF!</v>
          </cell>
          <cell r="DK50"/>
          <cell r="DL50"/>
          <cell r="DM50"/>
          <cell r="DN50"/>
          <cell r="DO50" t="str">
            <v>44</v>
          </cell>
          <cell r="DP50"/>
        </row>
        <row r="51">
          <cell r="B51" t="str">
            <v>45</v>
          </cell>
          <cell r="C51"/>
          <cell r="D51" t="str">
            <v>SUBTOTAL - RENT &amp; RENT EQUIV. EXP.</v>
          </cell>
          <cell r="E51"/>
          <cell r="F51"/>
          <cell r="G51"/>
          <cell r="H51"/>
          <cell r="I51"/>
          <cell r="J51"/>
          <cell r="K51"/>
          <cell r="L51" t="str">
            <v xml:space="preserve">(Lines 38 to 44) </v>
          </cell>
          <cell r="M51"/>
          <cell r="N51">
            <v>47784</v>
          </cell>
          <cell r="O51"/>
          <cell r="P51"/>
          <cell r="Q51"/>
          <cell r="R51"/>
          <cell r="S51"/>
          <cell r="T51" t="e">
            <v>#REF!</v>
          </cell>
          <cell r="U51"/>
          <cell r="V51"/>
          <cell r="W51"/>
          <cell r="X51"/>
          <cell r="Y51">
            <v>575296</v>
          </cell>
          <cell r="Z51"/>
          <cell r="AA51"/>
          <cell r="AB51"/>
          <cell r="AC51"/>
          <cell r="AD51"/>
          <cell r="AE51" t="e">
            <v>#REF!</v>
          </cell>
          <cell r="AF51"/>
          <cell r="AG51"/>
          <cell r="AH51"/>
          <cell r="AI51"/>
          <cell r="AJ51">
            <v>0.8</v>
          </cell>
          <cell r="AK51"/>
          <cell r="AL51" t="e">
            <v>#REF!</v>
          </cell>
          <cell r="AM51"/>
          <cell r="AN51"/>
          <cell r="AO51"/>
          <cell r="AP51"/>
          <cell r="AQ51">
            <v>14967</v>
          </cell>
          <cell r="AR51"/>
          <cell r="AS51"/>
          <cell r="AT51"/>
          <cell r="AU51"/>
          <cell r="AV51"/>
          <cell r="AW51"/>
          <cell r="AX51"/>
          <cell r="AY51"/>
          <cell r="AZ51"/>
          <cell r="BA51"/>
          <cell r="BB51" t="e">
            <v>#REF!</v>
          </cell>
          <cell r="BC51"/>
          <cell r="BD51"/>
          <cell r="BE51"/>
          <cell r="BF51"/>
          <cell r="BG51">
            <v>172419</v>
          </cell>
          <cell r="BH51"/>
          <cell r="BI51"/>
          <cell r="BJ51"/>
          <cell r="BK51"/>
          <cell r="BL51"/>
          <cell r="BM51"/>
          <cell r="BN51"/>
          <cell r="BO51"/>
          <cell r="BP51"/>
          <cell r="BQ51"/>
          <cell r="BR51" t="e">
            <v>#REF!</v>
          </cell>
          <cell r="BS51"/>
          <cell r="BT51"/>
          <cell r="BU51"/>
          <cell r="BV51"/>
          <cell r="BW51">
            <v>11757</v>
          </cell>
          <cell r="BX51"/>
          <cell r="BY51"/>
          <cell r="BZ51"/>
          <cell r="CA51"/>
          <cell r="CB51"/>
          <cell r="CC51"/>
          <cell r="CD51"/>
          <cell r="CE51"/>
          <cell r="CF51"/>
          <cell r="CG51"/>
          <cell r="CH51"/>
          <cell r="CI51"/>
          <cell r="CJ51"/>
          <cell r="CK51"/>
          <cell r="CL51"/>
          <cell r="CM51" t="e">
            <v>#REF!</v>
          </cell>
          <cell r="CN51"/>
          <cell r="CO51"/>
          <cell r="CP51"/>
          <cell r="CQ51"/>
          <cell r="CR51">
            <v>142968</v>
          </cell>
          <cell r="CS51"/>
          <cell r="CT51"/>
          <cell r="CU51"/>
          <cell r="CV51"/>
          <cell r="CW51"/>
          <cell r="CX51"/>
          <cell r="CY51"/>
          <cell r="CZ51"/>
          <cell r="DA51"/>
          <cell r="DB51"/>
          <cell r="DC51"/>
          <cell r="DD51"/>
          <cell r="DE51"/>
          <cell r="DF51"/>
          <cell r="DG51"/>
          <cell r="DH51"/>
          <cell r="DI51"/>
          <cell r="DJ51" t="e">
            <v>#REF!</v>
          </cell>
          <cell r="DK51"/>
          <cell r="DL51"/>
          <cell r="DM51"/>
          <cell r="DN51"/>
          <cell r="DO51" t="str">
            <v>45</v>
          </cell>
          <cell r="DP51"/>
        </row>
        <row r="52">
          <cell r="B52" t="str">
            <v>46</v>
          </cell>
          <cell r="C52"/>
          <cell r="D52" t="str">
            <v>Management Fees</v>
          </cell>
          <cell r="E52"/>
          <cell r="F52"/>
          <cell r="G52"/>
          <cell r="H52"/>
          <cell r="I52"/>
          <cell r="J52"/>
          <cell r="K52"/>
          <cell r="L52"/>
          <cell r="M52" t="str">
            <v>0600</v>
          </cell>
          <cell r="N52">
            <v>583</v>
          </cell>
          <cell r="O52"/>
          <cell r="P52"/>
          <cell r="Q52"/>
          <cell r="R52"/>
          <cell r="S52"/>
          <cell r="T52" t="e">
            <v>#REF!</v>
          </cell>
          <cell r="U52"/>
          <cell r="V52"/>
          <cell r="W52"/>
          <cell r="X52"/>
          <cell r="Y52">
            <v>8128</v>
          </cell>
          <cell r="Z52"/>
          <cell r="AA52"/>
          <cell r="AB52"/>
          <cell r="AC52"/>
          <cell r="AD52"/>
          <cell r="AE52" t="e">
            <v>#REF!</v>
          </cell>
          <cell r="AF52"/>
          <cell r="AG52"/>
          <cell r="AH52"/>
          <cell r="AI52"/>
          <cell r="AJ52">
            <v>0</v>
          </cell>
          <cell r="AK52"/>
          <cell r="AL52" t="e">
            <v>#REF!</v>
          </cell>
          <cell r="AM52"/>
          <cell r="AN52"/>
          <cell r="AO52"/>
          <cell r="AP52"/>
          <cell r="AQ52">
            <v>0</v>
          </cell>
          <cell r="AR52"/>
          <cell r="AS52"/>
          <cell r="AT52"/>
          <cell r="AU52"/>
          <cell r="AV52"/>
          <cell r="AW52"/>
          <cell r="AX52"/>
          <cell r="AY52"/>
          <cell r="AZ52"/>
          <cell r="BA52"/>
          <cell r="BB52" t="e">
            <v>#REF!</v>
          </cell>
          <cell r="BC52"/>
          <cell r="BD52"/>
          <cell r="BE52"/>
          <cell r="BF52"/>
          <cell r="BG52">
            <v>570</v>
          </cell>
          <cell r="BH52"/>
          <cell r="BI52"/>
          <cell r="BJ52"/>
          <cell r="BK52"/>
          <cell r="BL52"/>
          <cell r="BM52"/>
          <cell r="BN52"/>
          <cell r="BO52"/>
          <cell r="BP52"/>
          <cell r="BQ52"/>
          <cell r="BR52" t="e">
            <v>#REF!</v>
          </cell>
          <cell r="BS52"/>
          <cell r="BT52"/>
          <cell r="BU52"/>
          <cell r="BV52"/>
          <cell r="BW52">
            <v>0</v>
          </cell>
          <cell r="BX52"/>
          <cell r="BY52"/>
          <cell r="BZ52"/>
          <cell r="CA52"/>
          <cell r="CB52"/>
          <cell r="CC52"/>
          <cell r="CD52"/>
          <cell r="CE52"/>
          <cell r="CF52"/>
          <cell r="CG52"/>
          <cell r="CH52"/>
          <cell r="CI52"/>
          <cell r="CJ52"/>
          <cell r="CK52"/>
          <cell r="CL52"/>
          <cell r="CM52" t="e">
            <v>#REF!</v>
          </cell>
          <cell r="CN52"/>
          <cell r="CO52"/>
          <cell r="CP52"/>
          <cell r="CQ52"/>
          <cell r="CR52">
            <v>475</v>
          </cell>
          <cell r="CS52"/>
          <cell r="CT52"/>
          <cell r="CU52"/>
          <cell r="CV52"/>
          <cell r="CW52"/>
          <cell r="CX52"/>
          <cell r="CY52"/>
          <cell r="CZ52"/>
          <cell r="DA52"/>
          <cell r="DB52"/>
          <cell r="DC52"/>
          <cell r="DD52"/>
          <cell r="DE52"/>
          <cell r="DF52"/>
          <cell r="DG52"/>
          <cell r="DH52"/>
          <cell r="DI52"/>
          <cell r="DJ52" t="e">
            <v>#REF!</v>
          </cell>
          <cell r="DK52"/>
          <cell r="DL52"/>
          <cell r="DM52"/>
          <cell r="DN52"/>
          <cell r="DO52" t="str">
            <v>46</v>
          </cell>
          <cell r="DP52"/>
        </row>
        <row r="53">
          <cell r="B53" t="str">
            <v>47</v>
          </cell>
          <cell r="C53"/>
          <cell r="D53" t="str">
            <v>Equipment - Repairs &amp; Rental</v>
          </cell>
          <cell r="E53"/>
          <cell r="F53"/>
          <cell r="G53"/>
          <cell r="H53"/>
          <cell r="I53"/>
          <cell r="J53"/>
          <cell r="K53"/>
          <cell r="L53"/>
          <cell r="M53" t="str">
            <v>0620</v>
          </cell>
          <cell r="N53">
            <v>5687</v>
          </cell>
          <cell r="O53"/>
          <cell r="P53"/>
          <cell r="Q53"/>
          <cell r="R53"/>
          <cell r="S53"/>
          <cell r="T53" t="e">
            <v>#REF!</v>
          </cell>
          <cell r="U53"/>
          <cell r="V53"/>
          <cell r="W53"/>
          <cell r="X53"/>
          <cell r="Y53">
            <v>36314</v>
          </cell>
          <cell r="Z53"/>
          <cell r="AA53"/>
          <cell r="AB53"/>
          <cell r="AC53"/>
          <cell r="AD53"/>
          <cell r="AE53" t="e">
            <v>#REF!</v>
          </cell>
          <cell r="AF53"/>
          <cell r="AG53"/>
          <cell r="AH53"/>
          <cell r="AI53"/>
          <cell r="AJ53">
            <v>0.1</v>
          </cell>
          <cell r="AK53"/>
          <cell r="AL53" t="e">
            <v>#REF!</v>
          </cell>
          <cell r="AM53"/>
          <cell r="AN53"/>
          <cell r="AO53"/>
          <cell r="AP53"/>
          <cell r="AQ53">
            <v>1000</v>
          </cell>
          <cell r="AR53"/>
          <cell r="AS53"/>
          <cell r="AT53"/>
          <cell r="AU53"/>
          <cell r="AV53"/>
          <cell r="AW53"/>
          <cell r="AX53"/>
          <cell r="AY53"/>
          <cell r="AZ53"/>
          <cell r="BA53"/>
          <cell r="BB53" t="e">
            <v>#REF!</v>
          </cell>
          <cell r="BC53"/>
          <cell r="BD53"/>
          <cell r="BE53"/>
          <cell r="BF53"/>
          <cell r="BG53">
            <v>6666</v>
          </cell>
          <cell r="BH53"/>
          <cell r="BI53"/>
          <cell r="BJ53"/>
          <cell r="BK53"/>
          <cell r="BL53"/>
          <cell r="BM53"/>
          <cell r="BN53"/>
          <cell r="BO53"/>
          <cell r="BP53"/>
          <cell r="BQ53"/>
          <cell r="BR53" t="e">
            <v>#REF!</v>
          </cell>
          <cell r="BS53"/>
          <cell r="BT53"/>
          <cell r="BU53"/>
          <cell r="BV53"/>
          <cell r="BW53">
            <v>797</v>
          </cell>
          <cell r="BX53"/>
          <cell r="BY53"/>
          <cell r="BZ53"/>
          <cell r="CA53"/>
          <cell r="CB53"/>
          <cell r="CC53"/>
          <cell r="CD53"/>
          <cell r="CE53"/>
          <cell r="CF53"/>
          <cell r="CG53"/>
          <cell r="CH53"/>
          <cell r="CI53"/>
          <cell r="CJ53"/>
          <cell r="CK53"/>
          <cell r="CL53"/>
          <cell r="CM53" t="e">
            <v>#REF!</v>
          </cell>
          <cell r="CN53"/>
          <cell r="CO53"/>
          <cell r="CP53"/>
          <cell r="CQ53"/>
          <cell r="CR53">
            <v>5661</v>
          </cell>
          <cell r="CS53"/>
          <cell r="CT53"/>
          <cell r="CU53"/>
          <cell r="CV53"/>
          <cell r="CW53"/>
          <cell r="CX53"/>
          <cell r="CY53"/>
          <cell r="CZ53"/>
          <cell r="DA53"/>
          <cell r="DB53"/>
          <cell r="DC53"/>
          <cell r="DD53"/>
          <cell r="DE53"/>
          <cell r="DF53"/>
          <cell r="DG53"/>
          <cell r="DH53"/>
          <cell r="DI53"/>
          <cell r="DJ53" t="e">
            <v>#REF!</v>
          </cell>
          <cell r="DK53"/>
          <cell r="DL53"/>
          <cell r="DM53"/>
          <cell r="DN53"/>
          <cell r="DO53" t="str">
            <v>47</v>
          </cell>
          <cell r="DP53"/>
        </row>
        <row r="54">
          <cell r="B54" t="str">
            <v>48</v>
          </cell>
          <cell r="C54"/>
          <cell r="D54" t="str">
            <v>Depreciation - Other than Buildings &amp; Improvements</v>
          </cell>
          <cell r="E54"/>
          <cell r="F54"/>
          <cell r="G54"/>
          <cell r="H54"/>
          <cell r="I54"/>
          <cell r="J54"/>
          <cell r="K54"/>
          <cell r="L54"/>
          <cell r="M54" t="str">
            <v>0630</v>
          </cell>
          <cell r="N54">
            <v>16677</v>
          </cell>
          <cell r="O54"/>
          <cell r="P54"/>
          <cell r="Q54"/>
          <cell r="R54"/>
          <cell r="S54"/>
          <cell r="T54" t="e">
            <v>#REF!</v>
          </cell>
          <cell r="U54"/>
          <cell r="V54"/>
          <cell r="W54"/>
          <cell r="X54"/>
          <cell r="Y54">
            <v>193600</v>
          </cell>
          <cell r="Z54"/>
          <cell r="AA54"/>
          <cell r="AB54"/>
          <cell r="AC54"/>
          <cell r="AD54"/>
          <cell r="AE54" t="e">
            <v>#REF!</v>
          </cell>
          <cell r="AF54"/>
          <cell r="AG54"/>
          <cell r="AH54"/>
          <cell r="AI54"/>
          <cell r="AJ54">
            <v>0.3</v>
          </cell>
          <cell r="AK54"/>
          <cell r="AL54" t="e">
            <v>#REF!</v>
          </cell>
          <cell r="AM54"/>
          <cell r="AN54"/>
          <cell r="AO54"/>
          <cell r="AP54"/>
          <cell r="AQ54">
            <v>2835</v>
          </cell>
          <cell r="AR54"/>
          <cell r="AS54"/>
          <cell r="AT54"/>
          <cell r="AU54"/>
          <cell r="AV54"/>
          <cell r="AW54"/>
          <cell r="AX54"/>
          <cell r="AY54"/>
          <cell r="AZ54"/>
          <cell r="BA54"/>
          <cell r="BB54" t="e">
            <v>#REF!</v>
          </cell>
          <cell r="BC54"/>
          <cell r="BD54"/>
          <cell r="BE54"/>
          <cell r="BF54"/>
          <cell r="BG54">
            <v>31497</v>
          </cell>
          <cell r="BH54"/>
          <cell r="BI54"/>
          <cell r="BJ54"/>
          <cell r="BK54"/>
          <cell r="BL54"/>
          <cell r="BM54"/>
          <cell r="BN54"/>
          <cell r="BO54"/>
          <cell r="BP54"/>
          <cell r="BQ54"/>
          <cell r="BR54" t="e">
            <v>#REF!</v>
          </cell>
          <cell r="BS54"/>
          <cell r="BT54"/>
          <cell r="BU54"/>
          <cell r="BV54"/>
          <cell r="BW54">
            <v>1668</v>
          </cell>
          <cell r="BX54"/>
          <cell r="BY54"/>
          <cell r="BZ54"/>
          <cell r="CA54"/>
          <cell r="CB54"/>
          <cell r="CC54"/>
          <cell r="CD54"/>
          <cell r="CE54"/>
          <cell r="CF54"/>
          <cell r="CG54"/>
          <cell r="CH54"/>
          <cell r="CI54"/>
          <cell r="CJ54"/>
          <cell r="CK54"/>
          <cell r="CL54"/>
          <cell r="CM54" t="e">
            <v>#REF!</v>
          </cell>
          <cell r="CN54"/>
          <cell r="CO54"/>
          <cell r="CP54"/>
          <cell r="CQ54"/>
          <cell r="CR54">
            <v>19932</v>
          </cell>
          <cell r="CS54"/>
          <cell r="CT54"/>
          <cell r="CU54"/>
          <cell r="CV54"/>
          <cell r="CW54"/>
          <cell r="CX54"/>
          <cell r="CY54"/>
          <cell r="CZ54"/>
          <cell r="DA54"/>
          <cell r="DB54"/>
          <cell r="DC54"/>
          <cell r="DD54"/>
          <cell r="DE54"/>
          <cell r="DF54"/>
          <cell r="DG54"/>
          <cell r="DH54"/>
          <cell r="DI54"/>
          <cell r="DJ54" t="e">
            <v>#REF!</v>
          </cell>
          <cell r="DK54"/>
          <cell r="DL54"/>
          <cell r="DM54"/>
          <cell r="DN54"/>
          <cell r="DO54" t="str">
            <v>48</v>
          </cell>
          <cell r="DP54"/>
        </row>
        <row r="55">
          <cell r="B55" t="str">
            <v>49</v>
          </cell>
          <cell r="C55"/>
          <cell r="D55" t="str">
            <v>Insurance - Other than Buildings &amp; Improvements</v>
          </cell>
          <cell r="E55"/>
          <cell r="F55"/>
          <cell r="G55"/>
          <cell r="H55"/>
          <cell r="I55"/>
          <cell r="J55"/>
          <cell r="K55"/>
          <cell r="L55"/>
          <cell r="M55" t="str">
            <v>0640</v>
          </cell>
          <cell r="N55">
            <v>14197</v>
          </cell>
          <cell r="O55"/>
          <cell r="P55"/>
          <cell r="Q55"/>
          <cell r="R55"/>
          <cell r="S55"/>
          <cell r="T55" t="e">
            <v>#REF!</v>
          </cell>
          <cell r="U55"/>
          <cell r="V55"/>
          <cell r="W55"/>
          <cell r="X55"/>
          <cell r="Y55">
            <v>138292</v>
          </cell>
          <cell r="Z55"/>
          <cell r="AA55"/>
          <cell r="AB55"/>
          <cell r="AC55"/>
          <cell r="AD55"/>
          <cell r="AE55" t="e">
            <v>#REF!</v>
          </cell>
          <cell r="AF55"/>
          <cell r="AG55"/>
          <cell r="AH55"/>
          <cell r="AI55"/>
          <cell r="AJ55">
            <v>0.2</v>
          </cell>
          <cell r="AK55"/>
          <cell r="AL55" t="e">
            <v>#REF!</v>
          </cell>
          <cell r="AM55"/>
          <cell r="AN55"/>
          <cell r="AO55"/>
          <cell r="AP55"/>
          <cell r="AQ55">
            <v>4262</v>
          </cell>
          <cell r="AR55"/>
          <cell r="AS55"/>
          <cell r="AT55"/>
          <cell r="AU55"/>
          <cell r="AV55"/>
          <cell r="AW55"/>
          <cell r="AX55"/>
          <cell r="AY55"/>
          <cell r="AZ55"/>
          <cell r="BA55"/>
          <cell r="BB55" t="e">
            <v>#REF!</v>
          </cell>
          <cell r="BC55"/>
          <cell r="BD55"/>
          <cell r="BE55"/>
          <cell r="BF55"/>
          <cell r="BG55">
            <v>41491</v>
          </cell>
          <cell r="BH55"/>
          <cell r="BI55"/>
          <cell r="BJ55"/>
          <cell r="BK55"/>
          <cell r="BL55"/>
          <cell r="BM55"/>
          <cell r="BN55"/>
          <cell r="BO55"/>
          <cell r="BP55"/>
          <cell r="BQ55"/>
          <cell r="BR55" t="e">
            <v>#REF!</v>
          </cell>
          <cell r="BS55"/>
          <cell r="BT55"/>
          <cell r="BU55"/>
          <cell r="BV55"/>
          <cell r="BW55">
            <v>3544</v>
          </cell>
          <cell r="BX55"/>
          <cell r="BY55"/>
          <cell r="BZ55"/>
          <cell r="CA55"/>
          <cell r="CB55"/>
          <cell r="CC55"/>
          <cell r="CD55"/>
          <cell r="CE55"/>
          <cell r="CF55"/>
          <cell r="CG55"/>
          <cell r="CH55"/>
          <cell r="CI55"/>
          <cell r="CJ55"/>
          <cell r="CK55"/>
          <cell r="CL55"/>
          <cell r="CM55" t="e">
            <v>#REF!</v>
          </cell>
          <cell r="CN55"/>
          <cell r="CO55"/>
          <cell r="CP55"/>
          <cell r="CQ55"/>
          <cell r="CR55">
            <v>34568</v>
          </cell>
          <cell r="CS55"/>
          <cell r="CT55"/>
          <cell r="CU55"/>
          <cell r="CV55"/>
          <cell r="CW55"/>
          <cell r="CX55"/>
          <cell r="CY55"/>
          <cell r="CZ55"/>
          <cell r="DA55"/>
          <cell r="DB55"/>
          <cell r="DC55"/>
          <cell r="DD55"/>
          <cell r="DE55"/>
          <cell r="DF55"/>
          <cell r="DG55"/>
          <cell r="DH55"/>
          <cell r="DI55"/>
          <cell r="DJ55" t="e">
            <v>#REF!</v>
          </cell>
          <cell r="DK55"/>
          <cell r="DL55"/>
          <cell r="DM55"/>
          <cell r="DN55"/>
          <cell r="DO55" t="str">
            <v>49</v>
          </cell>
          <cell r="DP55"/>
        </row>
        <row r="56">
          <cell r="B56" t="str">
            <v>50</v>
          </cell>
          <cell r="C56"/>
          <cell r="D56" t="str">
            <v>Taxes - Other than Real Estate, Payroll &amp; Income</v>
          </cell>
          <cell r="E56"/>
          <cell r="F56"/>
          <cell r="G56"/>
          <cell r="H56"/>
          <cell r="I56"/>
          <cell r="J56"/>
          <cell r="K56"/>
          <cell r="L56"/>
          <cell r="M56" t="str">
            <v>0650</v>
          </cell>
          <cell r="N56">
            <v>5942</v>
          </cell>
          <cell r="O56"/>
          <cell r="P56"/>
          <cell r="Q56"/>
          <cell r="R56"/>
          <cell r="S56"/>
          <cell r="T56" t="e">
            <v>#REF!</v>
          </cell>
          <cell r="U56"/>
          <cell r="V56"/>
          <cell r="W56"/>
          <cell r="X56"/>
          <cell r="Y56">
            <v>74888</v>
          </cell>
          <cell r="Z56"/>
          <cell r="AA56"/>
          <cell r="AB56"/>
          <cell r="AC56"/>
          <cell r="AD56"/>
          <cell r="AE56" t="e">
            <v>#REF!</v>
          </cell>
          <cell r="AF56"/>
          <cell r="AG56"/>
          <cell r="AH56"/>
          <cell r="AI56"/>
          <cell r="AJ56">
            <v>0.1</v>
          </cell>
          <cell r="AK56"/>
          <cell r="AL56" t="e">
            <v>#REF!</v>
          </cell>
          <cell r="AM56"/>
          <cell r="AN56"/>
          <cell r="AO56"/>
          <cell r="AP56"/>
          <cell r="AQ56">
            <v>1715</v>
          </cell>
          <cell r="AR56"/>
          <cell r="AS56"/>
          <cell r="AT56"/>
          <cell r="AU56"/>
          <cell r="AV56"/>
          <cell r="AW56"/>
          <cell r="AX56"/>
          <cell r="AY56"/>
          <cell r="AZ56"/>
          <cell r="BA56"/>
          <cell r="BB56" t="e">
            <v>#REF!</v>
          </cell>
          <cell r="BC56"/>
          <cell r="BD56"/>
          <cell r="BE56"/>
          <cell r="BF56"/>
          <cell r="BG56">
            <v>21675</v>
          </cell>
          <cell r="BH56"/>
          <cell r="BI56"/>
          <cell r="BJ56"/>
          <cell r="BK56"/>
          <cell r="BL56"/>
          <cell r="BM56"/>
          <cell r="BN56"/>
          <cell r="BO56"/>
          <cell r="BP56"/>
          <cell r="BQ56"/>
          <cell r="BR56" t="e">
            <v>#REF!</v>
          </cell>
          <cell r="BS56"/>
          <cell r="BT56"/>
          <cell r="BU56"/>
          <cell r="BV56"/>
          <cell r="BW56">
            <v>1429</v>
          </cell>
          <cell r="BX56"/>
          <cell r="BY56"/>
          <cell r="BZ56"/>
          <cell r="CA56"/>
          <cell r="CB56"/>
          <cell r="CC56"/>
          <cell r="CD56"/>
          <cell r="CE56"/>
          <cell r="CF56"/>
          <cell r="CG56"/>
          <cell r="CH56"/>
          <cell r="CI56"/>
          <cell r="CJ56"/>
          <cell r="CK56"/>
          <cell r="CL56"/>
          <cell r="CM56" t="e">
            <v>#REF!</v>
          </cell>
          <cell r="CN56"/>
          <cell r="CO56"/>
          <cell r="CP56"/>
          <cell r="CQ56"/>
          <cell r="CR56">
            <v>18062</v>
          </cell>
          <cell r="CS56"/>
          <cell r="CT56"/>
          <cell r="CU56"/>
          <cell r="CV56"/>
          <cell r="CW56"/>
          <cell r="CX56"/>
          <cell r="CY56"/>
          <cell r="CZ56"/>
          <cell r="DA56"/>
          <cell r="DB56"/>
          <cell r="DC56"/>
          <cell r="DD56"/>
          <cell r="DE56"/>
          <cell r="DF56"/>
          <cell r="DG56"/>
          <cell r="DH56"/>
          <cell r="DI56"/>
          <cell r="DJ56" t="e">
            <v>#REF!</v>
          </cell>
          <cell r="DK56"/>
          <cell r="DL56"/>
          <cell r="DM56"/>
          <cell r="DN56"/>
          <cell r="DO56" t="str">
            <v>50</v>
          </cell>
          <cell r="DP56"/>
        </row>
        <row r="57">
          <cell r="B57" t="str">
            <v>51</v>
          </cell>
          <cell r="C57"/>
          <cell r="D57" t="str">
            <v>TOTAL FIXED EXPENSE GROUP</v>
          </cell>
          <cell r="E57"/>
          <cell r="F57"/>
          <cell r="G57"/>
          <cell r="H57"/>
          <cell r="I57"/>
          <cell r="J57"/>
          <cell r="K57"/>
          <cell r="L57" t="str">
            <v>(Lines 45 to 50)</v>
          </cell>
          <cell r="M57"/>
          <cell r="N57">
            <v>90870</v>
          </cell>
          <cell r="O57"/>
          <cell r="P57"/>
          <cell r="Q57"/>
          <cell r="R57"/>
          <cell r="S57"/>
          <cell r="T57" t="e">
            <v>#REF!</v>
          </cell>
          <cell r="U57"/>
          <cell r="V57"/>
          <cell r="W57"/>
          <cell r="X57"/>
          <cell r="Y57">
            <v>1026518</v>
          </cell>
          <cell r="Z57"/>
          <cell r="AA57"/>
          <cell r="AB57"/>
          <cell r="AC57"/>
          <cell r="AD57"/>
          <cell r="AE57" t="e">
            <v>#REF!</v>
          </cell>
          <cell r="AF57"/>
          <cell r="AG57"/>
          <cell r="AH57"/>
          <cell r="AI57"/>
          <cell r="AJ57">
            <v>1.5</v>
          </cell>
          <cell r="AK57"/>
          <cell r="AL57" t="e">
            <v>#REF!</v>
          </cell>
          <cell r="AM57"/>
          <cell r="AN57"/>
          <cell r="AO57"/>
          <cell r="AP57"/>
          <cell r="AQ57">
            <v>24779</v>
          </cell>
          <cell r="AR57"/>
          <cell r="AS57"/>
          <cell r="AT57"/>
          <cell r="AU57"/>
          <cell r="AV57"/>
          <cell r="AW57"/>
          <cell r="AX57"/>
          <cell r="AY57"/>
          <cell r="AZ57"/>
          <cell r="BA57"/>
          <cell r="BB57" t="e">
            <v>#REF!</v>
          </cell>
          <cell r="BC57"/>
          <cell r="BD57"/>
          <cell r="BE57"/>
          <cell r="BF57"/>
          <cell r="BG57">
            <v>274318</v>
          </cell>
          <cell r="BH57"/>
          <cell r="BI57"/>
          <cell r="BJ57"/>
          <cell r="BK57"/>
          <cell r="BL57"/>
          <cell r="BM57"/>
          <cell r="BN57"/>
          <cell r="BO57"/>
          <cell r="BP57"/>
          <cell r="BQ57"/>
          <cell r="BR57" t="e">
            <v>#REF!</v>
          </cell>
          <cell r="BS57"/>
          <cell r="BT57"/>
          <cell r="BU57"/>
          <cell r="BV57"/>
          <cell r="BW57">
            <v>19195</v>
          </cell>
          <cell r="BX57"/>
          <cell r="BY57"/>
          <cell r="BZ57"/>
          <cell r="CA57"/>
          <cell r="CB57"/>
          <cell r="CC57"/>
          <cell r="CD57"/>
          <cell r="CE57"/>
          <cell r="CF57"/>
          <cell r="CG57"/>
          <cell r="CH57"/>
          <cell r="CI57"/>
          <cell r="CJ57"/>
          <cell r="CK57"/>
          <cell r="CL57"/>
          <cell r="CM57" t="e">
            <v>#REF!</v>
          </cell>
          <cell r="CN57"/>
          <cell r="CO57"/>
          <cell r="CP57"/>
          <cell r="CQ57"/>
          <cell r="CR57">
            <v>221666</v>
          </cell>
          <cell r="CS57"/>
          <cell r="CT57"/>
          <cell r="CU57"/>
          <cell r="CV57"/>
          <cell r="CW57"/>
          <cell r="CX57"/>
          <cell r="CY57"/>
          <cell r="CZ57"/>
          <cell r="DA57"/>
          <cell r="DB57"/>
          <cell r="DC57"/>
          <cell r="DD57"/>
          <cell r="DE57"/>
          <cell r="DF57"/>
          <cell r="DG57"/>
          <cell r="DH57"/>
          <cell r="DI57"/>
          <cell r="DJ57" t="e">
            <v>#REF!</v>
          </cell>
          <cell r="DK57"/>
          <cell r="DL57"/>
          <cell r="DM57"/>
          <cell r="DN57"/>
          <cell r="DO57" t="str">
            <v>51</v>
          </cell>
          <cell r="DP57"/>
        </row>
        <row r="58">
          <cell r="B58" t="str">
            <v>52</v>
          </cell>
          <cell r="C58"/>
          <cell r="D58" t="str">
            <v>TOTAL FIXED OVERHEAD EXP.</v>
          </cell>
          <cell r="E58"/>
          <cell r="F58"/>
          <cell r="G58"/>
          <cell r="H58"/>
          <cell r="I58"/>
          <cell r="J58"/>
          <cell r="K58"/>
          <cell r="L58" t="str">
            <v>(Lines 22, 37 &amp; 51)</v>
          </cell>
          <cell r="M58"/>
          <cell r="N58">
            <v>548668</v>
          </cell>
          <cell r="O58"/>
          <cell r="P58"/>
          <cell r="Q58"/>
          <cell r="R58"/>
          <cell r="S58"/>
          <cell r="T58" t="e">
            <v>#REF!</v>
          </cell>
          <cell r="U58"/>
          <cell r="V58"/>
          <cell r="W58"/>
          <cell r="X58"/>
          <cell r="Y58">
            <v>5824114</v>
          </cell>
          <cell r="Z58"/>
          <cell r="AA58"/>
          <cell r="AB58"/>
          <cell r="AC58"/>
          <cell r="AD58"/>
          <cell r="AE58" t="e">
            <v>#REF!</v>
          </cell>
          <cell r="AF58"/>
          <cell r="AG58"/>
          <cell r="AH58"/>
          <cell r="AI58"/>
          <cell r="AJ58">
            <v>8.5</v>
          </cell>
          <cell r="AK58"/>
          <cell r="AL58" t="e">
            <v>#REF!</v>
          </cell>
          <cell r="AM58"/>
          <cell r="AN58"/>
          <cell r="AO58"/>
          <cell r="AP58"/>
          <cell r="AQ58">
            <v>164737</v>
          </cell>
          <cell r="AR58"/>
          <cell r="AS58"/>
          <cell r="AT58"/>
          <cell r="AU58"/>
          <cell r="AV58"/>
          <cell r="AW58"/>
          <cell r="AX58"/>
          <cell r="AY58"/>
          <cell r="AZ58"/>
          <cell r="BA58"/>
          <cell r="BB58" t="e">
            <v>#REF!</v>
          </cell>
          <cell r="BC58"/>
          <cell r="BD58"/>
          <cell r="BE58"/>
          <cell r="BF58"/>
          <cell r="BG58">
            <v>1755787</v>
          </cell>
          <cell r="BH58"/>
          <cell r="BI58"/>
          <cell r="BJ58"/>
          <cell r="BK58"/>
          <cell r="BL58"/>
          <cell r="BM58"/>
          <cell r="BN58"/>
          <cell r="BO58"/>
          <cell r="BP58"/>
          <cell r="BQ58"/>
          <cell r="BR58" t="e">
            <v>#REF!</v>
          </cell>
          <cell r="BS58"/>
          <cell r="BT58"/>
          <cell r="BU58"/>
          <cell r="BV58"/>
          <cell r="BW58">
            <v>147491</v>
          </cell>
          <cell r="BX58"/>
          <cell r="BY58"/>
          <cell r="BZ58"/>
          <cell r="CA58"/>
          <cell r="CB58"/>
          <cell r="CC58"/>
          <cell r="CD58"/>
          <cell r="CE58"/>
          <cell r="CF58"/>
          <cell r="CG58"/>
          <cell r="CH58"/>
          <cell r="CI58"/>
          <cell r="CJ58"/>
          <cell r="CK58"/>
          <cell r="CL58"/>
          <cell r="CM58" t="e">
            <v>#REF!</v>
          </cell>
          <cell r="CN58"/>
          <cell r="CO58"/>
          <cell r="CP58"/>
          <cell r="CQ58"/>
          <cell r="CR58">
            <v>1542068</v>
          </cell>
          <cell r="CS58"/>
          <cell r="CT58"/>
          <cell r="CU58"/>
          <cell r="CV58"/>
          <cell r="CW58"/>
          <cell r="CX58"/>
          <cell r="CY58"/>
          <cell r="CZ58"/>
          <cell r="DA58"/>
          <cell r="DB58"/>
          <cell r="DC58"/>
          <cell r="DD58"/>
          <cell r="DE58"/>
          <cell r="DF58"/>
          <cell r="DG58"/>
          <cell r="DH58"/>
          <cell r="DI58"/>
          <cell r="DJ58" t="e">
            <v>#REF!</v>
          </cell>
          <cell r="DK58"/>
          <cell r="DL58"/>
          <cell r="DM58"/>
          <cell r="DN58"/>
          <cell r="DO58" t="str">
            <v>52</v>
          </cell>
          <cell r="DP58"/>
        </row>
        <row r="59">
          <cell r="B59" t="str">
            <v>53</v>
          </cell>
          <cell r="C59"/>
          <cell r="D59" t="str">
            <v>TOTAL EXPENSES</v>
          </cell>
          <cell r="E59"/>
          <cell r="F59"/>
          <cell r="G59"/>
          <cell r="H59"/>
          <cell r="I59"/>
          <cell r="J59"/>
          <cell r="K59"/>
          <cell r="L59" t="str">
            <v>(Lines 14 &amp; 52)</v>
          </cell>
          <cell r="M59" t="str">
            <v>DDD</v>
          </cell>
          <cell r="N59">
            <v>772259</v>
          </cell>
          <cell r="O59"/>
          <cell r="P59"/>
          <cell r="Q59"/>
          <cell r="R59"/>
          <cell r="S59"/>
          <cell r="T59" t="e">
            <v>#REF!</v>
          </cell>
          <cell r="U59"/>
          <cell r="V59"/>
          <cell r="W59"/>
          <cell r="X59"/>
          <cell r="Y59">
            <v>8349710</v>
          </cell>
          <cell r="Z59"/>
          <cell r="AA59"/>
          <cell r="AB59"/>
          <cell r="AC59"/>
          <cell r="AD59"/>
          <cell r="AE59" t="e">
            <v>#REF!</v>
          </cell>
          <cell r="AF59"/>
          <cell r="AG59"/>
          <cell r="AH59"/>
          <cell r="AI59"/>
          <cell r="AJ59">
            <v>12.2</v>
          </cell>
          <cell r="AK59"/>
          <cell r="AL59" t="e">
            <v>#REF!</v>
          </cell>
          <cell r="AM59"/>
          <cell r="AN59"/>
          <cell r="AO59"/>
          <cell r="AP59"/>
          <cell r="AQ59">
            <v>231346</v>
          </cell>
          <cell r="AR59"/>
          <cell r="AS59"/>
          <cell r="AT59"/>
          <cell r="AU59"/>
          <cell r="AV59"/>
          <cell r="AW59"/>
          <cell r="AX59"/>
          <cell r="AY59"/>
          <cell r="AZ59"/>
          <cell r="BA59"/>
          <cell r="BB59" t="e">
            <v>#REF!</v>
          </cell>
          <cell r="BC59"/>
          <cell r="BD59"/>
          <cell r="BE59"/>
          <cell r="BF59"/>
          <cell r="BG59">
            <v>2522084</v>
          </cell>
          <cell r="BH59"/>
          <cell r="BI59"/>
          <cell r="BJ59"/>
          <cell r="BK59"/>
          <cell r="BL59"/>
          <cell r="BM59"/>
          <cell r="BN59"/>
          <cell r="BO59"/>
          <cell r="BP59"/>
          <cell r="BQ59"/>
          <cell r="BR59" t="e">
            <v>#REF!</v>
          </cell>
          <cell r="BS59"/>
          <cell r="BT59"/>
          <cell r="BU59"/>
          <cell r="BV59"/>
          <cell r="BW59">
            <v>254038</v>
          </cell>
          <cell r="BX59"/>
          <cell r="BY59"/>
          <cell r="BZ59"/>
          <cell r="CA59"/>
          <cell r="CB59"/>
          <cell r="CC59"/>
          <cell r="CD59"/>
          <cell r="CE59"/>
          <cell r="CF59"/>
          <cell r="CG59"/>
          <cell r="CH59"/>
          <cell r="CI59"/>
          <cell r="CJ59"/>
          <cell r="CK59"/>
          <cell r="CL59"/>
          <cell r="CM59" t="e">
            <v>#REF!</v>
          </cell>
          <cell r="CN59"/>
          <cell r="CO59"/>
          <cell r="CP59"/>
          <cell r="CQ59"/>
          <cell r="CR59">
            <v>2730898</v>
          </cell>
          <cell r="CS59"/>
          <cell r="CT59"/>
          <cell r="CU59"/>
          <cell r="CV59"/>
          <cell r="CW59"/>
          <cell r="CX59"/>
          <cell r="CY59"/>
          <cell r="CZ59"/>
          <cell r="DA59"/>
          <cell r="DB59"/>
          <cell r="DC59"/>
          <cell r="DD59"/>
          <cell r="DE59"/>
          <cell r="DF59"/>
          <cell r="DG59"/>
          <cell r="DH59"/>
          <cell r="DI59"/>
          <cell r="DJ59" t="e">
            <v>#REF!</v>
          </cell>
          <cell r="DK59"/>
          <cell r="DL59"/>
          <cell r="DM59"/>
          <cell r="DN59"/>
          <cell r="DO59" t="str">
            <v>53</v>
          </cell>
          <cell r="DP59"/>
        </row>
        <row r="60">
          <cell r="B60" t="str">
            <v>54</v>
          </cell>
          <cell r="C60"/>
          <cell r="D60" t="str">
            <v>Dept. Operating Net Profit Or (LOSS)</v>
          </cell>
          <cell r="E60"/>
          <cell r="F60"/>
          <cell r="G60"/>
          <cell r="H60"/>
          <cell r="I60"/>
          <cell r="J60"/>
          <cell r="K60"/>
          <cell r="L60" t="str">
            <v>(Line 2 less 53)</v>
          </cell>
          <cell r="M60"/>
          <cell r="N60">
            <v>-300430</v>
          </cell>
          <cell r="O60"/>
          <cell r="P60"/>
          <cell r="Q60"/>
          <cell r="R60"/>
          <cell r="S60"/>
          <cell r="T60" t="e">
            <v>#REF!</v>
          </cell>
          <cell r="U60"/>
          <cell r="V60"/>
          <cell r="W60"/>
          <cell r="X60"/>
          <cell r="Y60">
            <v>-1530510</v>
          </cell>
          <cell r="Z60"/>
          <cell r="AA60"/>
          <cell r="AB60"/>
          <cell r="AC60"/>
          <cell r="AD60"/>
          <cell r="AE60" t="e">
            <v>#REF!</v>
          </cell>
          <cell r="AF60"/>
          <cell r="AG60"/>
          <cell r="AH60"/>
          <cell r="AI60"/>
          <cell r="AJ60">
            <v>-2.2000000000000002</v>
          </cell>
          <cell r="AK60"/>
          <cell r="AL60" t="e">
            <v>#REF!</v>
          </cell>
          <cell r="AM60"/>
          <cell r="AN60"/>
          <cell r="AO60"/>
          <cell r="AP60"/>
          <cell r="AQ60">
            <v>-226618</v>
          </cell>
          <cell r="AR60"/>
          <cell r="AS60"/>
          <cell r="AT60"/>
          <cell r="AU60"/>
          <cell r="AV60"/>
          <cell r="AW60"/>
          <cell r="AX60"/>
          <cell r="AY60"/>
          <cell r="AZ60"/>
          <cell r="BA60"/>
          <cell r="BB60" t="e">
            <v>#REF!</v>
          </cell>
          <cell r="BC60"/>
          <cell r="BD60"/>
          <cell r="BE60"/>
          <cell r="BF60"/>
          <cell r="BG60">
            <v>-1185090</v>
          </cell>
          <cell r="BH60"/>
          <cell r="BI60"/>
          <cell r="BJ60"/>
          <cell r="BK60"/>
          <cell r="BL60"/>
          <cell r="BM60"/>
          <cell r="BN60"/>
          <cell r="BO60"/>
          <cell r="BP60"/>
          <cell r="BQ60"/>
          <cell r="BR60" t="e">
            <v>#REF!</v>
          </cell>
          <cell r="BS60"/>
          <cell r="BT60"/>
          <cell r="BU60"/>
          <cell r="BV60"/>
          <cell r="BW60">
            <v>-93007</v>
          </cell>
          <cell r="BX60"/>
          <cell r="BY60"/>
          <cell r="BZ60"/>
          <cell r="CA60"/>
          <cell r="CB60"/>
          <cell r="CC60"/>
          <cell r="CD60"/>
          <cell r="CE60"/>
          <cell r="CF60"/>
          <cell r="CG60"/>
          <cell r="CH60"/>
          <cell r="CI60"/>
          <cell r="CJ60"/>
          <cell r="CK60"/>
          <cell r="CL60"/>
          <cell r="CM60" t="e">
            <v>#REF!</v>
          </cell>
          <cell r="CN60"/>
          <cell r="CO60"/>
          <cell r="CP60"/>
          <cell r="CQ60"/>
          <cell r="CR60">
            <v>-1197393</v>
          </cell>
          <cell r="CS60"/>
          <cell r="CT60"/>
          <cell r="CU60"/>
          <cell r="CV60"/>
          <cell r="CW60"/>
          <cell r="CX60"/>
          <cell r="CY60"/>
          <cell r="CZ60"/>
          <cell r="DA60"/>
          <cell r="DB60"/>
          <cell r="DC60"/>
          <cell r="DD60"/>
          <cell r="DE60"/>
          <cell r="DF60"/>
          <cell r="DG60"/>
          <cell r="DH60"/>
          <cell r="DI60"/>
          <cell r="DJ60" t="e">
            <v>#REF!</v>
          </cell>
          <cell r="DK60"/>
          <cell r="DL60"/>
          <cell r="DM60"/>
          <cell r="DN60"/>
          <cell r="DO60" t="str">
            <v>54</v>
          </cell>
          <cell r="DP60"/>
        </row>
        <row r="61">
          <cell r="B61" t="str">
            <v>55</v>
          </cell>
          <cell r="C61"/>
          <cell r="D61" t="str">
            <v>Net Additions &amp; Deductions to Income</v>
          </cell>
          <cell r="E61"/>
          <cell r="F61"/>
          <cell r="G61"/>
          <cell r="H61"/>
          <cell r="I61"/>
          <cell r="J61"/>
          <cell r="K61"/>
          <cell r="L61" t="str">
            <v>(Pg 3 line 71)</v>
          </cell>
          <cell r="M61" t="str">
            <v>TT31</v>
          </cell>
          <cell r="N61">
            <v>53730</v>
          </cell>
          <cell r="O61"/>
          <cell r="P61"/>
          <cell r="Q61"/>
          <cell r="R61"/>
          <cell r="S61"/>
          <cell r="T61" t="e">
            <v>#REF!</v>
          </cell>
          <cell r="U61"/>
          <cell r="V61"/>
          <cell r="W61"/>
          <cell r="X61"/>
          <cell r="Y61">
            <v>422823</v>
          </cell>
          <cell r="Z61"/>
          <cell r="AA61"/>
          <cell r="AB61"/>
          <cell r="AC61"/>
          <cell r="AD61"/>
          <cell r="AE61" t="e">
            <v>#REF!</v>
          </cell>
          <cell r="AF61"/>
          <cell r="AG61"/>
          <cell r="AH61"/>
          <cell r="AI61"/>
          <cell r="AJ61">
            <v>0.6</v>
          </cell>
          <cell r="AK61"/>
          <cell r="AL61" t="e">
            <v>#REF!</v>
          </cell>
          <cell r="AM61"/>
          <cell r="AN61"/>
          <cell r="AO61"/>
          <cell r="AP61"/>
          <cell r="AQ61"/>
          <cell r="AR61"/>
          <cell r="AS61"/>
          <cell r="AT61"/>
          <cell r="AU61"/>
          <cell r="AV61"/>
          <cell r="AW61"/>
          <cell r="AX61"/>
          <cell r="AY61"/>
          <cell r="AZ61"/>
          <cell r="BA61"/>
          <cell r="BB61"/>
          <cell r="BC61"/>
          <cell r="BD61"/>
          <cell r="BE61"/>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cell r="DG61"/>
          <cell r="DH61"/>
          <cell r="DI61"/>
          <cell r="DJ61" t="e">
            <v>#REF!</v>
          </cell>
          <cell r="DK61"/>
          <cell r="DL61"/>
          <cell r="DM61"/>
          <cell r="DN61"/>
          <cell r="DO61" t="str">
            <v>55</v>
          </cell>
          <cell r="DP61"/>
        </row>
        <row r="62">
          <cell r="B62" t="str">
            <v>56</v>
          </cell>
          <cell r="C62"/>
          <cell r="D62" t="str">
            <v>Documentary Fees</v>
          </cell>
          <cell r="E62"/>
          <cell r="F62"/>
          <cell r="G62"/>
          <cell r="H62"/>
          <cell r="I62"/>
          <cell r="J62"/>
          <cell r="K62"/>
          <cell r="L62"/>
          <cell r="M62" t="str">
            <v>8030</v>
          </cell>
          <cell r="N62">
            <v>82846</v>
          </cell>
          <cell r="O62"/>
          <cell r="P62"/>
          <cell r="Q62"/>
          <cell r="R62"/>
          <cell r="S62"/>
          <cell r="T62" t="e">
            <v>#REF!</v>
          </cell>
          <cell r="U62"/>
          <cell r="V62"/>
          <cell r="W62"/>
          <cell r="X62"/>
          <cell r="Y62">
            <v>901432</v>
          </cell>
          <cell r="Z62"/>
          <cell r="AA62"/>
          <cell r="AB62"/>
          <cell r="AC62"/>
          <cell r="AD62"/>
          <cell r="AE62" t="e">
            <v>#REF!</v>
          </cell>
          <cell r="AF62"/>
          <cell r="AG62"/>
          <cell r="AH62"/>
          <cell r="AI62"/>
          <cell r="AJ62">
            <v>1.3</v>
          </cell>
          <cell r="AK62"/>
          <cell r="AL62" t="e">
            <v>#REF!</v>
          </cell>
          <cell r="AM62"/>
          <cell r="AN62"/>
          <cell r="AO62"/>
          <cell r="AP62"/>
          <cell r="AQ62">
            <v>50891</v>
          </cell>
          <cell r="AR62"/>
          <cell r="AS62"/>
          <cell r="AT62"/>
          <cell r="AU62"/>
          <cell r="AV62"/>
          <cell r="AW62"/>
          <cell r="AX62"/>
          <cell r="AY62"/>
          <cell r="AZ62"/>
          <cell r="BA62"/>
          <cell r="BB62" t="e">
            <v>#REF!</v>
          </cell>
          <cell r="BC62"/>
          <cell r="BD62"/>
          <cell r="BE62"/>
          <cell r="BF62"/>
          <cell r="BG62">
            <v>525079</v>
          </cell>
          <cell r="BH62"/>
          <cell r="BI62"/>
          <cell r="BJ62"/>
          <cell r="BK62"/>
          <cell r="BL62"/>
          <cell r="BM62"/>
          <cell r="BN62"/>
          <cell r="BO62"/>
          <cell r="BP62"/>
          <cell r="BQ62"/>
          <cell r="BR62" t="e">
            <v>#REF!</v>
          </cell>
          <cell r="BS62"/>
          <cell r="BT62"/>
          <cell r="BU62"/>
          <cell r="BV62"/>
          <cell r="BW62">
            <v>31955</v>
          </cell>
          <cell r="BX62"/>
          <cell r="BY62"/>
          <cell r="BZ62"/>
          <cell r="CA62"/>
          <cell r="CB62"/>
          <cell r="CC62"/>
          <cell r="CD62"/>
          <cell r="CE62"/>
          <cell r="CF62"/>
          <cell r="CG62"/>
          <cell r="CH62"/>
          <cell r="CI62"/>
          <cell r="CJ62"/>
          <cell r="CK62"/>
          <cell r="CL62"/>
          <cell r="CM62" t="e">
            <v>#REF!</v>
          </cell>
          <cell r="CN62"/>
          <cell r="CO62"/>
          <cell r="CP62"/>
          <cell r="CQ62"/>
          <cell r="CR62">
            <v>376353</v>
          </cell>
          <cell r="CS62"/>
          <cell r="CT62"/>
          <cell r="CU62"/>
          <cell r="CV62"/>
          <cell r="CW62"/>
          <cell r="CX62"/>
          <cell r="CY62"/>
          <cell r="CZ62"/>
          <cell r="DA62"/>
          <cell r="DB62"/>
          <cell r="DC62"/>
          <cell r="DD62"/>
          <cell r="DE62"/>
          <cell r="DF62"/>
          <cell r="DG62"/>
          <cell r="DH62"/>
          <cell r="DI62"/>
          <cell r="DJ62" t="e">
            <v>#REF!</v>
          </cell>
          <cell r="DK62"/>
          <cell r="DL62"/>
          <cell r="DM62"/>
          <cell r="DN62"/>
          <cell r="DO62" t="str">
            <v>56</v>
          </cell>
          <cell r="DP62"/>
        </row>
        <row r="63">
          <cell r="B63" t="str">
            <v>57</v>
          </cell>
          <cell r="C63"/>
          <cell r="D63" t="str">
            <v>Quality Growth Program and Nissan 10 Bonus</v>
          </cell>
          <cell r="E63"/>
          <cell r="F63"/>
          <cell r="G63"/>
          <cell r="H63"/>
          <cell r="I63"/>
          <cell r="J63"/>
          <cell r="K63"/>
          <cell r="L63"/>
          <cell r="M63" t="str">
            <v>8075</v>
          </cell>
          <cell r="N63">
            <v>9425</v>
          </cell>
          <cell r="O63"/>
          <cell r="P63"/>
          <cell r="Q63"/>
          <cell r="R63"/>
          <cell r="S63"/>
          <cell r="T63" t="e">
            <v>#REF!</v>
          </cell>
          <cell r="U63"/>
          <cell r="V63"/>
          <cell r="W63"/>
          <cell r="X63"/>
          <cell r="Y63">
            <v>420637</v>
          </cell>
          <cell r="Z63"/>
          <cell r="AA63"/>
          <cell r="AB63"/>
          <cell r="AC63"/>
          <cell r="AD63"/>
          <cell r="AE63" t="e">
            <v>#REF!</v>
          </cell>
          <cell r="AF63"/>
          <cell r="AG63"/>
          <cell r="AH63"/>
          <cell r="AI63"/>
          <cell r="AJ63">
            <v>0.6</v>
          </cell>
          <cell r="AK63"/>
          <cell r="AL63" t="e">
            <v>#REF!</v>
          </cell>
          <cell r="AM63"/>
          <cell r="AN63"/>
          <cell r="AO63"/>
          <cell r="AP63"/>
          <cell r="AQ63">
            <v>9425</v>
          </cell>
          <cell r="AR63"/>
          <cell r="AS63"/>
          <cell r="AT63"/>
          <cell r="AU63"/>
          <cell r="AV63"/>
          <cell r="AW63"/>
          <cell r="AX63"/>
          <cell r="AY63"/>
          <cell r="AZ63"/>
          <cell r="BA63"/>
          <cell r="BB63" t="e">
            <v>#REF!</v>
          </cell>
          <cell r="BC63"/>
          <cell r="BD63"/>
          <cell r="BE63"/>
          <cell r="BF63"/>
          <cell r="BG63">
            <v>346473</v>
          </cell>
          <cell r="BH63"/>
          <cell r="BI63"/>
          <cell r="BJ63"/>
          <cell r="BK63"/>
          <cell r="BL63"/>
          <cell r="BM63"/>
          <cell r="BN63"/>
          <cell r="BO63"/>
          <cell r="BP63"/>
          <cell r="BQ63"/>
          <cell r="BR63" t="e">
            <v>#REF!</v>
          </cell>
          <cell r="BS63"/>
          <cell r="BT63"/>
          <cell r="BU63"/>
          <cell r="BV63"/>
          <cell r="BW63">
            <v>0</v>
          </cell>
          <cell r="BX63"/>
          <cell r="BY63"/>
          <cell r="BZ63"/>
          <cell r="CA63"/>
          <cell r="CB63"/>
          <cell r="CC63"/>
          <cell r="CD63"/>
          <cell r="CE63"/>
          <cell r="CF63"/>
          <cell r="CG63"/>
          <cell r="CH63"/>
          <cell r="CI63"/>
          <cell r="CJ63"/>
          <cell r="CK63"/>
          <cell r="CL63"/>
          <cell r="CM63" t="e">
            <v>#REF!</v>
          </cell>
          <cell r="CN63"/>
          <cell r="CO63"/>
          <cell r="CP63"/>
          <cell r="CQ63"/>
          <cell r="CR63">
            <v>2588</v>
          </cell>
          <cell r="CS63"/>
          <cell r="CT63"/>
          <cell r="CU63"/>
          <cell r="CV63"/>
          <cell r="CW63"/>
          <cell r="CX63"/>
          <cell r="CY63"/>
          <cell r="CZ63"/>
          <cell r="DA63"/>
          <cell r="DB63"/>
          <cell r="DC63"/>
          <cell r="DD63"/>
          <cell r="DE63"/>
          <cell r="DF63"/>
          <cell r="DG63"/>
          <cell r="DH63"/>
          <cell r="DI63"/>
          <cell r="DJ63" t="e">
            <v>#REF!</v>
          </cell>
          <cell r="DK63"/>
          <cell r="DL63"/>
          <cell r="DM63"/>
          <cell r="DN63"/>
          <cell r="DO63" t="str">
            <v>57</v>
          </cell>
          <cell r="DP63"/>
        </row>
        <row r="64">
          <cell r="B64" t="str">
            <v>58</v>
          </cell>
          <cell r="C64"/>
          <cell r="D64" t="str">
            <v>Sales Growth Program (SGP)</v>
          </cell>
          <cell r="E64"/>
          <cell r="F64"/>
          <cell r="G64"/>
          <cell r="H64"/>
          <cell r="I64"/>
          <cell r="J64"/>
          <cell r="K64"/>
          <cell r="L64"/>
          <cell r="M64" t="str">
            <v>8077</v>
          </cell>
          <cell r="N64">
            <v>202400</v>
          </cell>
          <cell r="O64"/>
          <cell r="P64"/>
          <cell r="Q64"/>
          <cell r="R64"/>
          <cell r="S64"/>
          <cell r="T64" t="e">
            <v>#REF!</v>
          </cell>
          <cell r="U64"/>
          <cell r="V64"/>
          <cell r="W64"/>
          <cell r="X64"/>
          <cell r="Y64">
            <v>1035000</v>
          </cell>
          <cell r="Z64"/>
          <cell r="AA64"/>
          <cell r="AB64"/>
          <cell r="AC64"/>
          <cell r="AD64"/>
          <cell r="AE64" t="e">
            <v>#REF!</v>
          </cell>
          <cell r="AF64"/>
          <cell r="AG64"/>
          <cell r="AH64"/>
          <cell r="AI64"/>
          <cell r="AJ64">
            <v>1.5</v>
          </cell>
          <cell r="AK64"/>
          <cell r="AL64" t="e">
            <v>#REF!</v>
          </cell>
          <cell r="AM64"/>
          <cell r="AN64"/>
          <cell r="AO64"/>
          <cell r="AP64"/>
          <cell r="AQ64">
            <v>202400</v>
          </cell>
          <cell r="AR64"/>
          <cell r="AS64"/>
          <cell r="AT64"/>
          <cell r="AU64"/>
          <cell r="AV64"/>
          <cell r="AW64"/>
          <cell r="AX64"/>
          <cell r="AY64"/>
          <cell r="AZ64"/>
          <cell r="BA64"/>
          <cell r="BB64" t="e">
            <v>#REF!</v>
          </cell>
          <cell r="BC64"/>
          <cell r="BD64"/>
          <cell r="BE64"/>
          <cell r="BF64"/>
          <cell r="BG64">
            <v>1035000</v>
          </cell>
          <cell r="BH64"/>
          <cell r="BI64"/>
          <cell r="BJ64"/>
          <cell r="BK64"/>
          <cell r="BL64"/>
          <cell r="BM64"/>
          <cell r="BN64"/>
          <cell r="BO64"/>
          <cell r="BP64"/>
          <cell r="BQ64"/>
          <cell r="BR64" t="e">
            <v>#REF!</v>
          </cell>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cell r="DG64"/>
          <cell r="DH64"/>
          <cell r="DI64"/>
          <cell r="DJ64" t="e">
            <v>#REF!</v>
          </cell>
          <cell r="DK64"/>
          <cell r="DL64"/>
          <cell r="DM64"/>
          <cell r="DN64"/>
          <cell r="DO64" t="str">
            <v>58</v>
          </cell>
          <cell r="DP64"/>
        </row>
        <row r="65">
          <cell r="B65" t="str">
            <v>59</v>
          </cell>
          <cell r="C65"/>
          <cell r="D65" t="str">
            <v>Placeholder</v>
          </cell>
          <cell r="E65"/>
          <cell r="F65"/>
          <cell r="G65"/>
          <cell r="H65"/>
          <cell r="I65"/>
          <cell r="J65"/>
          <cell r="K65"/>
          <cell r="L65"/>
          <cell r="M65" t="str">
            <v>8078</v>
          </cell>
          <cell r="N65">
            <v>0</v>
          </cell>
          <cell r="O65"/>
          <cell r="P65"/>
          <cell r="Q65"/>
          <cell r="R65"/>
          <cell r="S65"/>
          <cell r="T65" t="e">
            <v>#REF!</v>
          </cell>
          <cell r="U65"/>
          <cell r="V65"/>
          <cell r="W65"/>
          <cell r="X65"/>
          <cell r="Y65">
            <v>0</v>
          </cell>
          <cell r="Z65"/>
          <cell r="AA65"/>
          <cell r="AB65"/>
          <cell r="AC65"/>
          <cell r="AD65"/>
          <cell r="AE65" t="e">
            <v>#REF!</v>
          </cell>
          <cell r="AF65"/>
          <cell r="AG65"/>
          <cell r="AH65"/>
          <cell r="AI65"/>
          <cell r="AJ65">
            <v>0</v>
          </cell>
          <cell r="AK65"/>
          <cell r="AL65" t="e">
            <v>#REF!</v>
          </cell>
          <cell r="AM65"/>
          <cell r="AN65"/>
          <cell r="AO65"/>
          <cell r="AP65"/>
          <cell r="AQ65">
            <v>0</v>
          </cell>
          <cell r="AR65"/>
          <cell r="AS65"/>
          <cell r="AT65"/>
          <cell r="AU65"/>
          <cell r="AV65"/>
          <cell r="AW65"/>
          <cell r="AX65"/>
          <cell r="AY65"/>
          <cell r="AZ65"/>
          <cell r="BA65"/>
          <cell r="BB65" t="e">
            <v>#REF!</v>
          </cell>
          <cell r="BC65"/>
          <cell r="BD65"/>
          <cell r="BE65"/>
          <cell r="BF65"/>
          <cell r="BG65">
            <v>0</v>
          </cell>
          <cell r="BH65"/>
          <cell r="BI65"/>
          <cell r="BJ65"/>
          <cell r="BK65"/>
          <cell r="BL65"/>
          <cell r="BM65"/>
          <cell r="BN65"/>
          <cell r="BO65"/>
          <cell r="BP65"/>
          <cell r="BQ65"/>
          <cell r="BR65" t="e">
            <v>#REF!</v>
          </cell>
          <cell r="BS65"/>
          <cell r="BT65"/>
          <cell r="BU65"/>
          <cell r="BV65"/>
          <cell r="BW65"/>
          <cell r="BX65"/>
          <cell r="BY65"/>
          <cell r="BZ65"/>
          <cell r="CA65"/>
          <cell r="CB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cell r="DG65"/>
          <cell r="DH65"/>
          <cell r="DI65"/>
          <cell r="DJ65" t="e">
            <v>#REF!</v>
          </cell>
          <cell r="DK65"/>
          <cell r="DL65"/>
          <cell r="DM65"/>
          <cell r="DN65"/>
          <cell r="DO65" t="str">
            <v>59</v>
          </cell>
          <cell r="DP65"/>
        </row>
        <row r="66">
          <cell r="B66" t="str">
            <v>60</v>
          </cell>
          <cell r="C66"/>
          <cell r="D66" t="str">
            <v>Miscellaneous Factory Programs</v>
          </cell>
          <cell r="E66"/>
          <cell r="F66"/>
          <cell r="G66"/>
          <cell r="H66"/>
          <cell r="I66"/>
          <cell r="J66"/>
          <cell r="K66"/>
          <cell r="L66"/>
          <cell r="M66" t="str">
            <v>8070</v>
          </cell>
          <cell r="N66">
            <v>0</v>
          </cell>
          <cell r="O66"/>
          <cell r="P66"/>
          <cell r="Q66"/>
          <cell r="R66"/>
          <cell r="S66"/>
          <cell r="T66" t="e">
            <v>#REF!</v>
          </cell>
          <cell r="U66"/>
          <cell r="V66"/>
          <cell r="W66"/>
          <cell r="X66"/>
          <cell r="Y66">
            <v>0</v>
          </cell>
          <cell r="Z66"/>
          <cell r="AA66"/>
          <cell r="AB66"/>
          <cell r="AC66"/>
          <cell r="AD66"/>
          <cell r="AE66" t="e">
            <v>#REF!</v>
          </cell>
          <cell r="AF66"/>
          <cell r="AG66"/>
          <cell r="AH66"/>
          <cell r="AI66"/>
          <cell r="AJ66">
            <v>0</v>
          </cell>
          <cell r="AK66"/>
          <cell r="AL66" t="e">
            <v>#REF!</v>
          </cell>
          <cell r="AM66"/>
          <cell r="AN66"/>
          <cell r="AO66"/>
          <cell r="AP66"/>
          <cell r="AQ66">
            <v>0</v>
          </cell>
          <cell r="AR66"/>
          <cell r="AS66"/>
          <cell r="AT66"/>
          <cell r="AU66"/>
          <cell r="AV66"/>
          <cell r="AW66"/>
          <cell r="AX66"/>
          <cell r="AY66"/>
          <cell r="AZ66"/>
          <cell r="BA66"/>
          <cell r="BB66" t="e">
            <v>#REF!</v>
          </cell>
          <cell r="BC66"/>
          <cell r="BD66"/>
          <cell r="BE66"/>
          <cell r="BF66"/>
          <cell r="BG66">
            <v>0</v>
          </cell>
          <cell r="BH66"/>
          <cell r="BI66"/>
          <cell r="BJ66"/>
          <cell r="BK66"/>
          <cell r="BL66"/>
          <cell r="BM66"/>
          <cell r="BN66"/>
          <cell r="BO66"/>
          <cell r="BP66"/>
          <cell r="BQ66"/>
          <cell r="BR66" t="e">
            <v>#REF!</v>
          </cell>
          <cell r="BS66"/>
          <cell r="BT66"/>
          <cell r="BU66"/>
          <cell r="BV66"/>
          <cell r="BW66">
            <v>0</v>
          </cell>
          <cell r="BX66"/>
          <cell r="BY66"/>
          <cell r="BZ66"/>
          <cell r="CA66"/>
          <cell r="CB66"/>
          <cell r="CC66"/>
          <cell r="CD66"/>
          <cell r="CE66"/>
          <cell r="CF66"/>
          <cell r="CG66"/>
          <cell r="CH66"/>
          <cell r="CI66"/>
          <cell r="CJ66"/>
          <cell r="CK66"/>
          <cell r="CL66"/>
          <cell r="CM66" t="e">
            <v>#REF!</v>
          </cell>
          <cell r="CN66"/>
          <cell r="CO66"/>
          <cell r="CP66"/>
          <cell r="CQ66"/>
          <cell r="CR66">
            <v>0</v>
          </cell>
          <cell r="CS66"/>
          <cell r="CT66"/>
          <cell r="CU66"/>
          <cell r="CV66"/>
          <cell r="CW66"/>
          <cell r="CX66"/>
          <cell r="CY66"/>
          <cell r="CZ66"/>
          <cell r="DA66"/>
          <cell r="DB66"/>
          <cell r="DC66"/>
          <cell r="DD66"/>
          <cell r="DE66"/>
          <cell r="DF66"/>
          <cell r="DG66"/>
          <cell r="DH66"/>
          <cell r="DI66"/>
          <cell r="DJ66" t="e">
            <v>#REF!</v>
          </cell>
          <cell r="DK66"/>
          <cell r="DL66"/>
          <cell r="DM66"/>
          <cell r="DN66"/>
          <cell r="DO66" t="str">
            <v>60</v>
          </cell>
          <cell r="DP66"/>
        </row>
        <row r="67">
          <cell r="B67" t="str">
            <v>61</v>
          </cell>
          <cell r="C67"/>
          <cell r="D67" t="str">
            <v>NET PROFIT - before bonuses &amp; Inc. tax</v>
          </cell>
          <cell r="E67"/>
          <cell r="F67"/>
          <cell r="G67"/>
          <cell r="H67"/>
          <cell r="I67"/>
          <cell r="J67"/>
          <cell r="K67"/>
          <cell r="L67" t="str">
            <v>(Lines 54 to 60)</v>
          </cell>
          <cell r="M67"/>
          <cell r="N67">
            <v>47971</v>
          </cell>
          <cell r="O67"/>
          <cell r="P67"/>
          <cell r="Q67"/>
          <cell r="R67"/>
          <cell r="S67"/>
          <cell r="T67" t="e">
            <v>#REF!</v>
          </cell>
          <cell r="U67"/>
          <cell r="V67"/>
          <cell r="W67"/>
          <cell r="X67"/>
          <cell r="Y67">
            <v>1249382</v>
          </cell>
          <cell r="Z67"/>
          <cell r="AA67"/>
          <cell r="AB67"/>
          <cell r="AC67"/>
          <cell r="AD67"/>
          <cell r="AE67" t="e">
            <v>#REF!</v>
          </cell>
          <cell r="AF67"/>
          <cell r="AG67"/>
          <cell r="AH67"/>
          <cell r="AI67"/>
          <cell r="AJ67">
            <v>1.8</v>
          </cell>
          <cell r="AK67"/>
          <cell r="AL67" t="e">
            <v>#REF!</v>
          </cell>
          <cell r="AM67"/>
          <cell r="AN67"/>
          <cell r="AO67"/>
          <cell r="AP67"/>
          <cell r="AQ67"/>
          <cell r="AR67"/>
          <cell r="AS67"/>
          <cell r="AT67"/>
          <cell r="AU67"/>
          <cell r="AV67"/>
          <cell r="AW67"/>
          <cell r="AX67"/>
          <cell r="AY67"/>
          <cell r="AZ67"/>
          <cell r="BA67"/>
          <cell r="BB67"/>
          <cell r="BC67"/>
          <cell r="BD67"/>
          <cell r="BE67"/>
          <cell r="BF67"/>
          <cell r="BG67"/>
          <cell r="BH67"/>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cell r="DG67"/>
          <cell r="DH67"/>
          <cell r="DI67"/>
          <cell r="DJ67" t="e">
            <v>#REF!</v>
          </cell>
          <cell r="DK67"/>
          <cell r="DL67"/>
          <cell r="DM67"/>
          <cell r="DN67"/>
          <cell r="DO67" t="str">
            <v>61</v>
          </cell>
          <cell r="DP67"/>
        </row>
        <row r="68">
          <cell r="B68" t="str">
            <v>62</v>
          </cell>
          <cell r="C68"/>
          <cell r="D68" t="str">
            <v>LESS - Bonuses - Employees / Owners</v>
          </cell>
          <cell r="E68"/>
          <cell r="F68"/>
          <cell r="G68"/>
          <cell r="H68"/>
          <cell r="I68"/>
          <cell r="J68"/>
          <cell r="K68"/>
          <cell r="L68"/>
          <cell r="M68" t="str">
            <v>0970/0980</v>
          </cell>
          <cell r="N68">
            <v>16490</v>
          </cell>
          <cell r="O68"/>
          <cell r="P68"/>
          <cell r="Q68"/>
          <cell r="R68"/>
          <cell r="S68"/>
          <cell r="T68" t="e">
            <v>#REF!</v>
          </cell>
          <cell r="U68"/>
          <cell r="V68"/>
          <cell r="W68"/>
          <cell r="X68"/>
          <cell r="Y68">
            <v>268195</v>
          </cell>
          <cell r="Z68"/>
          <cell r="AA68"/>
          <cell r="AB68"/>
          <cell r="AC68"/>
          <cell r="AD68"/>
          <cell r="AE68" t="e">
            <v>#REF!</v>
          </cell>
          <cell r="AF68"/>
          <cell r="AG68"/>
          <cell r="AH68"/>
          <cell r="AI68"/>
          <cell r="AJ68">
            <v>0.4</v>
          </cell>
          <cell r="AK68"/>
          <cell r="AL68" t="e">
            <v>#REF!</v>
          </cell>
          <cell r="AM68"/>
          <cell r="AN68"/>
          <cell r="AO68"/>
          <cell r="AP68"/>
          <cell r="AQ68"/>
          <cell r="AR68"/>
          <cell r="AS68"/>
          <cell r="AT68"/>
          <cell r="AU68"/>
          <cell r="AV68"/>
          <cell r="AW68"/>
          <cell r="AX68"/>
          <cell r="AY68"/>
          <cell r="AZ68"/>
          <cell r="BA68"/>
          <cell r="BB68"/>
          <cell r="BC68"/>
          <cell r="BD68"/>
          <cell r="BE68"/>
          <cell r="BF68"/>
          <cell r="BG68"/>
          <cell r="BH68"/>
          <cell r="BI68"/>
          <cell r="BJ68"/>
          <cell r="BK68"/>
          <cell r="BL68"/>
          <cell r="BM68"/>
          <cell r="BN68"/>
          <cell r="BO68"/>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cell r="DG68"/>
          <cell r="DH68"/>
          <cell r="DI68"/>
          <cell r="DJ68"/>
          <cell r="DK68"/>
          <cell r="DL68"/>
          <cell r="DM68"/>
          <cell r="DN68"/>
          <cell r="DO68" t="str">
            <v>62</v>
          </cell>
          <cell r="DP68"/>
        </row>
        <row r="69">
          <cell r="B69" t="str">
            <v>63</v>
          </cell>
          <cell r="C69"/>
          <cell r="D69" t="str">
            <v>LIFO Adjustments</v>
          </cell>
          <cell r="E69"/>
          <cell r="F69"/>
          <cell r="G69"/>
          <cell r="H69"/>
          <cell r="I69"/>
          <cell r="J69"/>
          <cell r="K69"/>
          <cell r="L69"/>
          <cell r="M69"/>
          <cell r="N69">
            <v>0</v>
          </cell>
          <cell r="O69"/>
          <cell r="P69"/>
          <cell r="Q69"/>
          <cell r="R69"/>
          <cell r="S69"/>
          <cell r="T69" t="e">
            <v>#REF!</v>
          </cell>
          <cell r="U69"/>
          <cell r="V69"/>
          <cell r="W69"/>
          <cell r="X69"/>
          <cell r="Y69">
            <v>0</v>
          </cell>
          <cell r="Z69"/>
          <cell r="AA69"/>
          <cell r="AB69"/>
          <cell r="AC69"/>
          <cell r="AD69"/>
          <cell r="AE69" t="e">
            <v>#REF!</v>
          </cell>
          <cell r="AF69"/>
          <cell r="AG69"/>
          <cell r="AH69"/>
          <cell r="AI69"/>
          <cell r="AJ69">
            <v>0</v>
          </cell>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t="str">
            <v>MONTH</v>
          </cell>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t="str">
            <v>YTD</v>
          </cell>
          <cell r="CT69"/>
          <cell r="CU69"/>
          <cell r="CV69"/>
          <cell r="CW69"/>
          <cell r="CX69"/>
          <cell r="CY69"/>
          <cell r="CZ69"/>
          <cell r="DA69"/>
          <cell r="DB69"/>
          <cell r="DC69"/>
          <cell r="DD69" t="e">
            <v>#REF!</v>
          </cell>
          <cell r="DE69"/>
          <cell r="DF69"/>
          <cell r="DG69"/>
          <cell r="DH69"/>
          <cell r="DI69"/>
          <cell r="DJ69"/>
          <cell r="DK69"/>
          <cell r="DL69"/>
          <cell r="DM69"/>
          <cell r="DN69"/>
          <cell r="DO69" t="str">
            <v>63</v>
          </cell>
          <cell r="DP69"/>
        </row>
        <row r="70">
          <cell r="B70" t="str">
            <v>64</v>
          </cell>
          <cell r="C70"/>
          <cell r="D70" t="str">
            <v>NET PROFIT (LOSS) - before income taxes</v>
          </cell>
          <cell r="E70"/>
          <cell r="F70"/>
          <cell r="G70"/>
          <cell r="H70"/>
          <cell r="I70"/>
          <cell r="J70"/>
          <cell r="K70"/>
          <cell r="L70" t="str">
            <v xml:space="preserve">(Line 61 - 63) </v>
          </cell>
          <cell r="M70"/>
          <cell r="N70">
            <v>31481</v>
          </cell>
          <cell r="O70"/>
          <cell r="P70"/>
          <cell r="Q70"/>
          <cell r="R70"/>
          <cell r="S70"/>
          <cell r="T70" t="e">
            <v>#REF!</v>
          </cell>
          <cell r="U70"/>
          <cell r="V70"/>
          <cell r="W70"/>
          <cell r="X70"/>
          <cell r="Y70">
            <v>981187</v>
          </cell>
          <cell r="Z70"/>
          <cell r="AA70"/>
          <cell r="AB70"/>
          <cell r="AC70"/>
          <cell r="AD70"/>
          <cell r="AE70" t="e">
            <v>#REF!</v>
          </cell>
          <cell r="AF70"/>
          <cell r="AG70"/>
          <cell r="AH70"/>
          <cell r="AI70"/>
          <cell r="AJ70">
            <v>1.4</v>
          </cell>
          <cell r="AK70"/>
          <cell r="AL70" t="e">
            <v>#REF!</v>
          </cell>
          <cell r="AM70"/>
          <cell r="AN70"/>
          <cell r="AO70"/>
          <cell r="AP70"/>
          <cell r="AQ70"/>
          <cell r="AR70" t="str">
            <v>Return on Sales %</v>
          </cell>
          <cell r="AS70"/>
          <cell r="AT70"/>
          <cell r="AU70"/>
          <cell r="AV70"/>
          <cell r="AW70"/>
          <cell r="AX70"/>
          <cell r="AY70"/>
          <cell r="AZ70"/>
          <cell r="BA70"/>
          <cell r="BB70"/>
          <cell r="BC70"/>
          <cell r="BD70"/>
          <cell r="BE70"/>
          <cell r="BF70"/>
          <cell r="BG70"/>
          <cell r="BH70"/>
          <cell r="BI70"/>
          <cell r="BJ70" t="str">
            <v>895A</v>
          </cell>
          <cell r="BK70"/>
          <cell r="BL70"/>
          <cell r="BM70"/>
          <cell r="BN70"/>
          <cell r="BO70"/>
          <cell r="BP70"/>
          <cell r="BQ70">
            <v>0.67</v>
          </cell>
          <cell r="BR70"/>
          <cell r="BS70"/>
          <cell r="BT70"/>
          <cell r="BU70"/>
          <cell r="BV70"/>
          <cell r="BW70"/>
          <cell r="BX70"/>
          <cell r="BY70"/>
          <cell r="BZ70"/>
          <cell r="CA70"/>
          <cell r="CB70"/>
          <cell r="CC70"/>
          <cell r="CD70"/>
          <cell r="CE70"/>
          <cell r="CF70"/>
          <cell r="CG70"/>
          <cell r="CH70"/>
          <cell r="CI70"/>
          <cell r="CJ70"/>
          <cell r="CK70" t="str">
            <v>895B</v>
          </cell>
          <cell r="CL70"/>
          <cell r="CM70"/>
          <cell r="CN70"/>
          <cell r="CO70"/>
          <cell r="CP70"/>
          <cell r="CQ70"/>
          <cell r="CR70"/>
          <cell r="CS70">
            <v>1.69</v>
          </cell>
          <cell r="CT70"/>
          <cell r="CU70"/>
          <cell r="CV70"/>
          <cell r="CW70"/>
          <cell r="CX70"/>
          <cell r="CY70"/>
          <cell r="CZ70"/>
          <cell r="DA70"/>
          <cell r="DB70"/>
          <cell r="DC70"/>
          <cell r="DD70"/>
          <cell r="DE70"/>
          <cell r="DF70"/>
          <cell r="DG70"/>
          <cell r="DH70"/>
          <cell r="DI70"/>
          <cell r="DJ70"/>
          <cell r="DK70"/>
          <cell r="DL70"/>
          <cell r="DM70"/>
          <cell r="DN70"/>
          <cell r="DO70" t="str">
            <v>64</v>
          </cell>
          <cell r="DP70"/>
        </row>
        <row r="71">
          <cell r="B71" t="str">
            <v>65</v>
          </cell>
          <cell r="C71"/>
          <cell r="D71" t="str">
            <v>LESS Income Taxes</v>
          </cell>
          <cell r="E71"/>
          <cell r="F71"/>
          <cell r="G71"/>
          <cell r="H71"/>
          <cell r="I71"/>
          <cell r="J71"/>
          <cell r="K71"/>
          <cell r="L71"/>
          <cell r="M71" t="str">
            <v>0990</v>
          </cell>
          <cell r="N71">
            <v>0</v>
          </cell>
          <cell r="O71"/>
          <cell r="P71"/>
          <cell r="Q71"/>
          <cell r="R71"/>
          <cell r="S71"/>
          <cell r="T71" t="e">
            <v>#REF!</v>
          </cell>
          <cell r="U71"/>
          <cell r="V71"/>
          <cell r="W71"/>
          <cell r="X71"/>
          <cell r="Y71">
            <v>0</v>
          </cell>
          <cell r="Z71"/>
          <cell r="AA71"/>
          <cell r="AB71"/>
          <cell r="AC71"/>
          <cell r="AD71"/>
          <cell r="AE71" t="e">
            <v>#REF!</v>
          </cell>
          <cell r="AF71"/>
          <cell r="AG71"/>
          <cell r="AH71"/>
          <cell r="AI71"/>
          <cell r="AJ71">
            <v>0</v>
          </cell>
          <cell r="AK71"/>
          <cell r="AL71" t="e">
            <v>#REF!</v>
          </cell>
          <cell r="AM71"/>
          <cell r="AN71"/>
          <cell r="AO71"/>
          <cell r="AP71"/>
          <cell r="AQ71"/>
          <cell r="AR71" t="str">
            <v>Return on Invest.%</v>
          </cell>
          <cell r="AS71"/>
          <cell r="AT71"/>
          <cell r="AU71"/>
          <cell r="AV71"/>
          <cell r="AW71"/>
          <cell r="AX71"/>
          <cell r="AY71"/>
          <cell r="AZ71"/>
          <cell r="BA71"/>
          <cell r="BB71"/>
          <cell r="BC71"/>
          <cell r="BD71"/>
          <cell r="BE71"/>
          <cell r="BF71"/>
          <cell r="BG71"/>
          <cell r="BH71"/>
          <cell r="BI71"/>
          <cell r="BJ71"/>
          <cell r="BK71"/>
          <cell r="BL71"/>
          <cell r="BM71"/>
          <cell r="BN71"/>
          <cell r="BO71"/>
          <cell r="BP71"/>
          <cell r="BQ71"/>
          <cell r="BR71"/>
          <cell r="BS71"/>
          <cell r="BT71"/>
          <cell r="BU71"/>
          <cell r="BV71"/>
          <cell r="BW71"/>
          <cell r="BX71"/>
          <cell r="BY71"/>
          <cell r="BZ71"/>
          <cell r="CA71"/>
          <cell r="CB71"/>
          <cell r="CC71"/>
          <cell r="CD71"/>
          <cell r="CE71"/>
          <cell r="CF71" t="e">
            <v>#REF!</v>
          </cell>
          <cell r="CG71"/>
          <cell r="CH71"/>
          <cell r="CI71"/>
          <cell r="CJ71"/>
          <cell r="CK71" t="str">
            <v>896A</v>
          </cell>
          <cell r="CL71"/>
          <cell r="CM71"/>
          <cell r="CN71"/>
          <cell r="CO71"/>
          <cell r="CP71"/>
          <cell r="CQ71"/>
          <cell r="CR71"/>
          <cell r="CS71">
            <v>1.71</v>
          </cell>
          <cell r="CT71"/>
          <cell r="CU71"/>
          <cell r="CV71"/>
          <cell r="CW71"/>
          <cell r="CX71"/>
          <cell r="CY71"/>
          <cell r="CZ71"/>
          <cell r="DA71"/>
          <cell r="DB71"/>
          <cell r="DC71"/>
          <cell r="DD71" t="e">
            <v>#REF!</v>
          </cell>
          <cell r="DE71"/>
          <cell r="DF71"/>
          <cell r="DG71"/>
          <cell r="DH71"/>
          <cell r="DI71"/>
          <cell r="DJ71"/>
          <cell r="DK71"/>
          <cell r="DL71"/>
          <cell r="DM71"/>
          <cell r="DN71"/>
          <cell r="DO71" t="str">
            <v>65</v>
          </cell>
          <cell r="DP71"/>
        </row>
        <row r="72">
          <cell r="B72" t="str">
            <v>66</v>
          </cell>
          <cell r="C72"/>
          <cell r="D72" t="str">
            <v>NET PROFIT (LOSS) - after income taxes</v>
          </cell>
          <cell r="E72"/>
          <cell r="F72"/>
          <cell r="G72"/>
          <cell r="H72"/>
          <cell r="I72"/>
          <cell r="J72"/>
          <cell r="K72"/>
          <cell r="L72" t="str">
            <v xml:space="preserve">(Line 64 less 65) </v>
          </cell>
          <cell r="M72" t="str">
            <v>TT21</v>
          </cell>
          <cell r="N72">
            <v>31481</v>
          </cell>
          <cell r="O72"/>
          <cell r="P72"/>
          <cell r="Q72"/>
          <cell r="R72"/>
          <cell r="S72"/>
          <cell r="T72" t="e">
            <v>#REF!</v>
          </cell>
          <cell r="U72"/>
          <cell r="V72"/>
          <cell r="W72"/>
          <cell r="X72"/>
          <cell r="Y72">
            <v>981187</v>
          </cell>
          <cell r="Z72"/>
          <cell r="AA72"/>
          <cell r="AB72"/>
          <cell r="AC72"/>
          <cell r="AD72"/>
          <cell r="AE72" t="e">
            <v>#REF!</v>
          </cell>
          <cell r="AF72"/>
          <cell r="AG72"/>
          <cell r="AH72"/>
          <cell r="AI72"/>
          <cell r="AJ72">
            <v>1.4</v>
          </cell>
          <cell r="AK72"/>
          <cell r="AL72" t="e">
            <v>#REF!</v>
          </cell>
          <cell r="AM72"/>
          <cell r="AN72"/>
          <cell r="AO72"/>
          <cell r="AP72"/>
          <cell r="AQ72"/>
          <cell r="AR72" t="str">
            <v>Fixed Absorption %</v>
          </cell>
          <cell r="AS72"/>
          <cell r="AT72"/>
          <cell r="AU72"/>
          <cell r="AV72"/>
          <cell r="AW72"/>
          <cell r="AX72"/>
          <cell r="AY72"/>
          <cell r="AZ72"/>
          <cell r="BA72"/>
          <cell r="BB72"/>
          <cell r="BC72"/>
          <cell r="BD72"/>
          <cell r="BE72"/>
          <cell r="BF72"/>
          <cell r="BG72"/>
          <cell r="BH72"/>
          <cell r="BI72"/>
          <cell r="BJ72" t="str">
            <v>897A</v>
          </cell>
          <cell r="BK72"/>
          <cell r="BL72"/>
          <cell r="BM72"/>
          <cell r="BN72"/>
          <cell r="BO72"/>
          <cell r="BP72"/>
          <cell r="BQ72">
            <v>5.1100000000000003</v>
          </cell>
          <cell r="BR72"/>
          <cell r="BS72"/>
          <cell r="BT72"/>
          <cell r="BU72"/>
          <cell r="BV72"/>
          <cell r="BW72"/>
          <cell r="BX72"/>
          <cell r="BY72"/>
          <cell r="BZ72"/>
          <cell r="CA72"/>
          <cell r="CB72"/>
          <cell r="CC72"/>
          <cell r="CD72"/>
          <cell r="CE72"/>
          <cell r="CF72"/>
          <cell r="CG72"/>
          <cell r="CH72"/>
          <cell r="CI72"/>
          <cell r="CJ72"/>
          <cell r="CK72" t="str">
            <v>897B</v>
          </cell>
          <cell r="CL72"/>
          <cell r="CM72"/>
          <cell r="CN72"/>
          <cell r="CO72"/>
          <cell r="CP72"/>
          <cell r="CQ72"/>
          <cell r="CR72"/>
          <cell r="CS72">
            <v>6.18</v>
          </cell>
          <cell r="CT72"/>
          <cell r="CU72"/>
          <cell r="CV72"/>
          <cell r="CW72"/>
          <cell r="CX72"/>
          <cell r="CY72"/>
          <cell r="CZ72"/>
          <cell r="DA72"/>
          <cell r="DB72"/>
          <cell r="DC72"/>
          <cell r="DD72"/>
          <cell r="DE72"/>
          <cell r="DF72"/>
          <cell r="DG72"/>
          <cell r="DH72"/>
          <cell r="DI72"/>
          <cell r="DJ72"/>
          <cell r="DK72"/>
          <cell r="DL72"/>
          <cell r="DM72"/>
          <cell r="DN72"/>
          <cell r="DO72" t="str">
            <v>66</v>
          </cell>
          <cell r="DP72"/>
        </row>
        <row r="73">
          <cell r="B73" t="str">
            <v>67</v>
          </cell>
          <cell r="C73"/>
          <cell r="D73"/>
          <cell r="E73"/>
          <cell r="F73"/>
          <cell r="G73"/>
          <cell r="H73"/>
          <cell r="I73"/>
          <cell r="J73"/>
          <cell r="K73"/>
          <cell r="L73"/>
          <cell r="M73"/>
          <cell r="N73"/>
          <cell r="O73" t="str">
            <v>New-A</v>
          </cell>
          <cell r="P73"/>
          <cell r="Q73"/>
          <cell r="R73"/>
          <cell r="S73"/>
          <cell r="T73"/>
          <cell r="U73"/>
          <cell r="V73"/>
          <cell r="W73"/>
          <cell r="X73"/>
          <cell r="Y73" t="str">
            <v>Used-B</v>
          </cell>
          <cell r="Z73"/>
          <cell r="AA73"/>
          <cell r="AB73"/>
          <cell r="AC73"/>
          <cell r="AD73" t="str">
            <v>SVC-C</v>
          </cell>
          <cell r="AE73"/>
          <cell r="AF73"/>
          <cell r="AG73"/>
          <cell r="AH73"/>
          <cell r="AI73"/>
          <cell r="AJ73"/>
          <cell r="AK73"/>
          <cell r="AL73"/>
          <cell r="AM73"/>
          <cell r="AN73"/>
          <cell r="AO73"/>
          <cell r="AP73"/>
          <cell r="AQ73"/>
          <cell r="AR73" t="str">
            <v>EXP SVC-K</v>
          </cell>
          <cell r="AS73"/>
          <cell r="AT73"/>
          <cell r="AU73"/>
          <cell r="AV73"/>
          <cell r="AW73"/>
          <cell r="AX73"/>
          <cell r="AY73"/>
          <cell r="AZ73"/>
          <cell r="BA73"/>
          <cell r="BB73"/>
          <cell r="BC73"/>
          <cell r="BD73"/>
          <cell r="BE73"/>
          <cell r="BF73"/>
          <cell r="BG73" t="str">
            <v>P&amp;A-D</v>
          </cell>
          <cell r="BH73"/>
          <cell r="BI73"/>
          <cell r="BJ73"/>
          <cell r="BK73"/>
          <cell r="BL73"/>
          <cell r="BM73"/>
          <cell r="BN73"/>
          <cell r="BO73"/>
          <cell r="BP73" t="str">
            <v>B/S-E</v>
          </cell>
          <cell r="BQ73"/>
          <cell r="BR73"/>
          <cell r="BS73"/>
          <cell r="BT73"/>
          <cell r="BU73"/>
          <cell r="BV73"/>
          <cell r="BW73"/>
          <cell r="BX73"/>
          <cell r="BY73"/>
          <cell r="BZ73"/>
          <cell r="CA73"/>
          <cell r="CB73"/>
          <cell r="CC73"/>
          <cell r="CD73"/>
          <cell r="CE73" t="str">
            <v>NCV-F</v>
          </cell>
          <cell r="CF73"/>
          <cell r="CG73"/>
          <cell r="CH73"/>
          <cell r="CI73"/>
          <cell r="CJ73"/>
          <cell r="CK73"/>
          <cell r="CL73"/>
          <cell r="CM73"/>
          <cell r="CN73"/>
          <cell r="CO73"/>
          <cell r="CP73"/>
          <cell r="CQ73"/>
          <cell r="CR73"/>
          <cell r="CS73"/>
          <cell r="CT73"/>
          <cell r="CU73"/>
          <cell r="CV73"/>
          <cell r="CW73"/>
          <cell r="CX73"/>
          <cell r="CY73"/>
          <cell r="CZ73" t="str">
            <v>TOTAL-H</v>
          </cell>
          <cell r="DA73"/>
          <cell r="DB73"/>
          <cell r="DC73"/>
          <cell r="DD73"/>
          <cell r="DE73"/>
          <cell r="DF73"/>
          <cell r="DG73"/>
          <cell r="DH73"/>
          <cell r="DI73"/>
          <cell r="DJ73"/>
          <cell r="DK73"/>
          <cell r="DL73"/>
          <cell r="DM73"/>
          <cell r="DN73"/>
          <cell r="DO73" t="str">
            <v>67</v>
          </cell>
          <cell r="DP73"/>
        </row>
        <row r="74">
          <cell r="B74" t="str">
            <v>68</v>
          </cell>
          <cell r="C74"/>
          <cell r="D74"/>
          <cell r="E74"/>
          <cell r="F74"/>
          <cell r="G74"/>
          <cell r="H74" t="str">
            <v>Exec. - Owner</v>
          </cell>
          <cell r="I74"/>
          <cell r="J74"/>
          <cell r="K74"/>
          <cell r="L74"/>
          <cell r="M74" t="str">
            <v>001</v>
          </cell>
          <cell r="N74"/>
          <cell r="O74">
            <v>0.2</v>
          </cell>
          <cell r="P74"/>
          <cell r="Q74"/>
          <cell r="R74"/>
          <cell r="S74"/>
          <cell r="T74"/>
          <cell r="U74"/>
          <cell r="V74"/>
          <cell r="W74"/>
          <cell r="X74"/>
          <cell r="Y74">
            <v>0.2</v>
          </cell>
          <cell r="Z74"/>
          <cell r="AA74"/>
          <cell r="AB74"/>
          <cell r="AC74"/>
          <cell r="AD74">
            <v>0.2</v>
          </cell>
          <cell r="AE74"/>
          <cell r="AF74"/>
          <cell r="AG74"/>
          <cell r="AH74"/>
          <cell r="AI74"/>
          <cell r="AJ74"/>
          <cell r="AK74"/>
          <cell r="AL74"/>
          <cell r="AM74"/>
          <cell r="AN74"/>
          <cell r="AO74"/>
          <cell r="AP74"/>
          <cell r="AQ74"/>
          <cell r="AR74"/>
          <cell r="AS74"/>
          <cell r="AT74"/>
          <cell r="AU74"/>
          <cell r="AV74"/>
          <cell r="AW74"/>
          <cell r="AX74"/>
          <cell r="AY74"/>
          <cell r="AZ74"/>
          <cell r="BA74"/>
          <cell r="BB74"/>
          <cell r="BC74"/>
          <cell r="BD74"/>
          <cell r="BE74"/>
          <cell r="BF74"/>
          <cell r="BG74">
            <v>0.2</v>
          </cell>
          <cell r="BH74"/>
          <cell r="BI74"/>
          <cell r="BJ74"/>
          <cell r="BK74"/>
          <cell r="BL74"/>
          <cell r="BM74"/>
          <cell r="BN74"/>
          <cell r="BO74"/>
          <cell r="BP74">
            <v>0.2</v>
          </cell>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v>1</v>
          </cell>
          <cell r="DA74"/>
          <cell r="DB74"/>
          <cell r="DC74"/>
          <cell r="DD74"/>
          <cell r="DE74"/>
          <cell r="DF74"/>
          <cell r="DG74"/>
          <cell r="DH74"/>
          <cell r="DI74"/>
          <cell r="DJ74"/>
          <cell r="DK74"/>
          <cell r="DL74"/>
          <cell r="DM74"/>
          <cell r="DN74"/>
          <cell r="DO74" t="str">
            <v>68</v>
          </cell>
          <cell r="DP74"/>
        </row>
        <row r="75">
          <cell r="B75" t="str">
            <v>69</v>
          </cell>
          <cell r="C75"/>
          <cell r="D75"/>
          <cell r="E75"/>
          <cell r="F75"/>
          <cell r="G75"/>
          <cell r="H75" t="str">
            <v>Department Mgr</v>
          </cell>
          <cell r="I75"/>
          <cell r="J75"/>
          <cell r="K75"/>
          <cell r="L75"/>
          <cell r="M75" t="str">
            <v>002</v>
          </cell>
          <cell r="N75"/>
          <cell r="O75">
            <v>3.4</v>
          </cell>
          <cell r="P75"/>
          <cell r="Q75"/>
          <cell r="R75"/>
          <cell r="S75"/>
          <cell r="T75"/>
          <cell r="U75"/>
          <cell r="V75"/>
          <cell r="W75"/>
          <cell r="X75"/>
          <cell r="Y75">
            <v>1.4</v>
          </cell>
          <cell r="Z75"/>
          <cell r="AA75"/>
          <cell r="AB75"/>
          <cell r="AC75"/>
          <cell r="AD75">
            <v>1.4</v>
          </cell>
          <cell r="AE75"/>
          <cell r="AF75"/>
          <cell r="AG75"/>
          <cell r="AH75"/>
          <cell r="AI75"/>
          <cell r="AJ75"/>
          <cell r="AK75"/>
          <cell r="AL75"/>
          <cell r="AM75"/>
          <cell r="AN75"/>
          <cell r="AO75"/>
          <cell r="AP75"/>
          <cell r="AQ75"/>
          <cell r="AR75">
            <v>0</v>
          </cell>
          <cell r="AS75"/>
          <cell r="AT75"/>
          <cell r="AU75"/>
          <cell r="AV75"/>
          <cell r="AW75"/>
          <cell r="AX75"/>
          <cell r="AY75"/>
          <cell r="AZ75"/>
          <cell r="BA75"/>
          <cell r="BB75"/>
          <cell r="BC75"/>
          <cell r="BD75"/>
          <cell r="BE75"/>
          <cell r="BF75"/>
          <cell r="BG75">
            <v>1.4</v>
          </cell>
          <cell r="BH75"/>
          <cell r="BI75"/>
          <cell r="BJ75"/>
          <cell r="BK75"/>
          <cell r="BL75"/>
          <cell r="BM75"/>
          <cell r="BN75"/>
          <cell r="BO75"/>
          <cell r="BP75">
            <v>1.4</v>
          </cell>
          <cell r="BQ75"/>
          <cell r="BR75"/>
          <cell r="BS75"/>
          <cell r="BT75"/>
          <cell r="BU75"/>
          <cell r="BV75"/>
          <cell r="BW75"/>
          <cell r="BX75"/>
          <cell r="BY75"/>
          <cell r="BZ75"/>
          <cell r="CA75"/>
          <cell r="CB75"/>
          <cell r="CC75"/>
          <cell r="CD75"/>
          <cell r="CE75">
            <v>0</v>
          </cell>
          <cell r="CF75"/>
          <cell r="CG75"/>
          <cell r="CH75"/>
          <cell r="CI75"/>
          <cell r="CJ75"/>
          <cell r="CK75"/>
          <cell r="CL75"/>
          <cell r="CM75"/>
          <cell r="CN75"/>
          <cell r="CO75"/>
          <cell r="CP75"/>
          <cell r="CQ75"/>
          <cell r="CR75"/>
          <cell r="CS75"/>
          <cell r="CT75"/>
          <cell r="CU75"/>
          <cell r="CV75"/>
          <cell r="CW75"/>
          <cell r="CX75"/>
          <cell r="CY75"/>
          <cell r="CZ75">
            <v>9</v>
          </cell>
          <cell r="DA75"/>
          <cell r="DB75"/>
          <cell r="DC75"/>
          <cell r="DD75"/>
          <cell r="DE75"/>
          <cell r="DF75"/>
          <cell r="DG75"/>
          <cell r="DH75"/>
          <cell r="DI75"/>
          <cell r="DJ75"/>
          <cell r="DK75"/>
          <cell r="DL75"/>
          <cell r="DM75"/>
          <cell r="DN75"/>
          <cell r="DO75" t="str">
            <v>69</v>
          </cell>
          <cell r="DP75"/>
        </row>
        <row r="76">
          <cell r="B76" t="str">
            <v>70</v>
          </cell>
          <cell r="C76"/>
          <cell r="D76"/>
          <cell r="E76"/>
          <cell r="F76"/>
          <cell r="G76"/>
          <cell r="H76" t="str">
            <v>Sales People</v>
          </cell>
          <cell r="I76"/>
          <cell r="J76"/>
          <cell r="K76"/>
          <cell r="L76"/>
          <cell r="M76" t="str">
            <v>003</v>
          </cell>
          <cell r="N76"/>
          <cell r="O76">
            <v>8.5</v>
          </cell>
          <cell r="P76"/>
          <cell r="Q76"/>
          <cell r="R76"/>
          <cell r="S76"/>
          <cell r="T76"/>
          <cell r="U76"/>
          <cell r="V76"/>
          <cell r="W76"/>
          <cell r="X76"/>
          <cell r="Y76">
            <v>8.5</v>
          </cell>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cell r="BE76"/>
          <cell r="BF76"/>
          <cell r="BG76"/>
          <cell r="BH76"/>
          <cell r="BI76"/>
          <cell r="BJ76"/>
          <cell r="BK76"/>
          <cell r="BL76"/>
          <cell r="BM76"/>
          <cell r="BN76"/>
          <cell r="BO76"/>
          <cell r="BP76"/>
          <cell r="BQ76"/>
          <cell r="BR76"/>
          <cell r="BS76"/>
          <cell r="BT76"/>
          <cell r="BU76"/>
          <cell r="BV76"/>
          <cell r="BW76"/>
          <cell r="BX76"/>
          <cell r="BY76"/>
          <cell r="BZ76"/>
          <cell r="CA76"/>
          <cell r="CB76"/>
          <cell r="CC76"/>
          <cell r="CD76"/>
          <cell r="CE76">
            <v>1</v>
          </cell>
          <cell r="CF76"/>
          <cell r="CG76"/>
          <cell r="CH76"/>
          <cell r="CI76"/>
          <cell r="CJ76"/>
          <cell r="CK76"/>
          <cell r="CL76"/>
          <cell r="CM76"/>
          <cell r="CN76"/>
          <cell r="CO76"/>
          <cell r="CP76"/>
          <cell r="CQ76"/>
          <cell r="CR76"/>
          <cell r="CS76"/>
          <cell r="CT76"/>
          <cell r="CU76"/>
          <cell r="CV76"/>
          <cell r="CW76"/>
          <cell r="CX76"/>
          <cell r="CY76"/>
          <cell r="CZ76">
            <v>18</v>
          </cell>
          <cell r="DA76"/>
          <cell r="DB76"/>
          <cell r="DC76"/>
          <cell r="DD76"/>
          <cell r="DE76"/>
          <cell r="DF76"/>
          <cell r="DG76"/>
          <cell r="DH76"/>
          <cell r="DI76"/>
          <cell r="DJ76" t="e">
            <v>#REF!</v>
          </cell>
          <cell r="DK76"/>
          <cell r="DL76"/>
          <cell r="DM76"/>
          <cell r="DN76"/>
          <cell r="DO76" t="str">
            <v>70</v>
          </cell>
          <cell r="DP76"/>
        </row>
        <row r="77">
          <cell r="B77" t="str">
            <v>71</v>
          </cell>
          <cell r="C77"/>
          <cell r="D77"/>
          <cell r="E77"/>
          <cell r="F77"/>
          <cell r="G77"/>
          <cell r="H77" t="str">
            <v>F&amp;I Manager</v>
          </cell>
          <cell r="I77"/>
          <cell r="J77"/>
          <cell r="K77"/>
          <cell r="L77"/>
          <cell r="M77" t="str">
            <v>013</v>
          </cell>
          <cell r="N77"/>
          <cell r="O77">
            <v>1.5</v>
          </cell>
          <cell r="P77"/>
          <cell r="Q77"/>
          <cell r="R77"/>
          <cell r="S77"/>
          <cell r="T77"/>
          <cell r="U77"/>
          <cell r="V77"/>
          <cell r="W77"/>
          <cell r="X77"/>
          <cell r="Y77">
            <v>1.5</v>
          </cell>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cell r="BD77"/>
          <cell r="BE77"/>
          <cell r="BF77"/>
          <cell r="BG77"/>
          <cell r="BH77"/>
          <cell r="BI77"/>
          <cell r="BJ77"/>
          <cell r="BK77"/>
          <cell r="BL77"/>
          <cell r="BM77"/>
          <cell r="BN77"/>
          <cell r="BO77"/>
          <cell r="BP77"/>
          <cell r="BQ77"/>
          <cell r="BR77"/>
          <cell r="BS77"/>
          <cell r="BT77"/>
          <cell r="BU77"/>
          <cell r="BV77"/>
          <cell r="BW77"/>
          <cell r="BX77"/>
          <cell r="BY77"/>
          <cell r="BZ77"/>
          <cell r="CA77"/>
          <cell r="CB77"/>
          <cell r="CC77"/>
          <cell r="CD77"/>
          <cell r="CE77">
            <v>0</v>
          </cell>
          <cell r="CF77"/>
          <cell r="CG77"/>
          <cell r="CH77"/>
          <cell r="CI77"/>
          <cell r="CJ77"/>
          <cell r="CK77"/>
          <cell r="CL77"/>
          <cell r="CM77"/>
          <cell r="CN77"/>
          <cell r="CO77"/>
          <cell r="CP77"/>
          <cell r="CQ77"/>
          <cell r="CR77"/>
          <cell r="CS77"/>
          <cell r="CT77"/>
          <cell r="CU77"/>
          <cell r="CV77"/>
          <cell r="CW77"/>
          <cell r="CX77"/>
          <cell r="CY77"/>
          <cell r="CZ77">
            <v>3</v>
          </cell>
          <cell r="DA77"/>
          <cell r="DB77"/>
          <cell r="DC77"/>
          <cell r="DD77"/>
          <cell r="DE77"/>
          <cell r="DF77"/>
          <cell r="DG77"/>
          <cell r="DH77"/>
          <cell r="DI77"/>
          <cell r="DJ77" t="e">
            <v>#REF!</v>
          </cell>
          <cell r="DK77"/>
          <cell r="DL77"/>
          <cell r="DM77"/>
          <cell r="DN77"/>
          <cell r="DO77" t="str">
            <v>71</v>
          </cell>
          <cell r="DP77"/>
        </row>
        <row r="78">
          <cell r="B78" t="str">
            <v>72</v>
          </cell>
          <cell r="C78"/>
          <cell r="D78"/>
          <cell r="E78"/>
          <cell r="F78"/>
          <cell r="G78"/>
          <cell r="H78" t="str">
            <v>Service Advisors</v>
          </cell>
          <cell r="I78"/>
          <cell r="J78"/>
          <cell r="K78"/>
          <cell r="L78"/>
          <cell r="M78" t="str">
            <v>007</v>
          </cell>
          <cell r="N78"/>
          <cell r="O78"/>
          <cell r="P78"/>
          <cell r="Q78"/>
          <cell r="R78"/>
          <cell r="S78"/>
          <cell r="T78"/>
          <cell r="U78"/>
          <cell r="V78"/>
          <cell r="W78"/>
          <cell r="X78"/>
          <cell r="Y78"/>
          <cell r="Z78"/>
          <cell r="AA78"/>
          <cell r="AB78"/>
          <cell r="AC78"/>
          <cell r="AD78">
            <v>6</v>
          </cell>
          <cell r="AE78"/>
          <cell r="AF78"/>
          <cell r="AG78"/>
          <cell r="AH78"/>
          <cell r="AI78"/>
          <cell r="AJ78"/>
          <cell r="AK78"/>
          <cell r="AL78"/>
          <cell r="AM78"/>
          <cell r="AN78"/>
          <cell r="AO78"/>
          <cell r="AP78"/>
          <cell r="AQ78"/>
          <cell r="AR78">
            <v>0</v>
          </cell>
          <cell r="AS78"/>
          <cell r="AT78"/>
          <cell r="AU78"/>
          <cell r="AV78"/>
          <cell r="AW78"/>
          <cell r="AX78"/>
          <cell r="AY78"/>
          <cell r="AZ78"/>
          <cell r="BA78"/>
          <cell r="BB78"/>
          <cell r="BC78"/>
          <cell r="BD78"/>
          <cell r="BE78"/>
          <cell r="BF78"/>
          <cell r="BG78"/>
          <cell r="BH78"/>
          <cell r="BI78"/>
          <cell r="BJ78"/>
          <cell r="BK78"/>
          <cell r="BL78"/>
          <cell r="BM78"/>
          <cell r="BN78"/>
          <cell r="BO78"/>
          <cell r="BP78">
            <v>0</v>
          </cell>
          <cell r="BQ78"/>
          <cell r="BR78"/>
          <cell r="BS78"/>
          <cell r="BT78"/>
          <cell r="BU78"/>
          <cell r="BV78"/>
          <cell r="BW78"/>
          <cell r="BX78"/>
          <cell r="BY78"/>
          <cell r="BZ78"/>
          <cell r="CA78"/>
          <cell r="CB78"/>
          <cell r="CC78"/>
          <cell r="CD78"/>
          <cell r="CE78">
            <v>0</v>
          </cell>
          <cell r="CF78"/>
          <cell r="CG78"/>
          <cell r="CH78"/>
          <cell r="CI78"/>
          <cell r="CJ78"/>
          <cell r="CK78"/>
          <cell r="CL78"/>
          <cell r="CM78"/>
          <cell r="CN78"/>
          <cell r="CO78"/>
          <cell r="CP78"/>
          <cell r="CQ78"/>
          <cell r="CR78"/>
          <cell r="CS78"/>
          <cell r="CT78"/>
          <cell r="CU78"/>
          <cell r="CV78"/>
          <cell r="CW78"/>
          <cell r="CX78"/>
          <cell r="CY78"/>
          <cell r="CZ78">
            <v>6</v>
          </cell>
          <cell r="DA78"/>
          <cell r="DB78"/>
          <cell r="DC78"/>
          <cell r="DD78"/>
          <cell r="DE78"/>
          <cell r="DF78"/>
          <cell r="DG78"/>
          <cell r="DH78"/>
          <cell r="DI78"/>
          <cell r="DJ78" t="e">
            <v>#REF!</v>
          </cell>
          <cell r="DK78"/>
          <cell r="DL78"/>
          <cell r="DM78"/>
          <cell r="DN78"/>
          <cell r="DO78" t="str">
            <v>72</v>
          </cell>
          <cell r="DP78"/>
        </row>
        <row r="79">
          <cell r="B79" t="str">
            <v>73</v>
          </cell>
          <cell r="C79"/>
          <cell r="D79"/>
          <cell r="E79"/>
          <cell r="F79"/>
          <cell r="G79"/>
          <cell r="H79" t="str">
            <v>Technicians</v>
          </cell>
          <cell r="I79"/>
          <cell r="J79"/>
          <cell r="K79"/>
          <cell r="L79"/>
          <cell r="M79" t="str">
            <v>006</v>
          </cell>
          <cell r="N79"/>
          <cell r="O79"/>
          <cell r="P79"/>
          <cell r="Q79"/>
          <cell r="R79"/>
          <cell r="S79"/>
          <cell r="T79"/>
          <cell r="U79"/>
          <cell r="V79"/>
          <cell r="W79"/>
          <cell r="X79"/>
          <cell r="Y79"/>
          <cell r="Z79"/>
          <cell r="AA79"/>
          <cell r="AB79"/>
          <cell r="AC79"/>
          <cell r="AD79">
            <v>4.5</v>
          </cell>
          <cell r="AE79"/>
          <cell r="AF79"/>
          <cell r="AG79"/>
          <cell r="AH79"/>
          <cell r="AI79"/>
          <cell r="AJ79"/>
          <cell r="AK79"/>
          <cell r="AL79"/>
          <cell r="AM79"/>
          <cell r="AN79"/>
          <cell r="AO79"/>
          <cell r="AP79"/>
          <cell r="AQ79"/>
          <cell r="AR79">
            <v>4</v>
          </cell>
          <cell r="AS79"/>
          <cell r="AT79"/>
          <cell r="AU79"/>
          <cell r="AV79"/>
          <cell r="AW79"/>
          <cell r="AX79"/>
          <cell r="AY79"/>
          <cell r="AZ79"/>
          <cell r="BA79"/>
          <cell r="BB79"/>
          <cell r="BC79"/>
          <cell r="BD79"/>
          <cell r="BE79"/>
          <cell r="BF79"/>
          <cell r="BG79"/>
          <cell r="BH79"/>
          <cell r="BI79"/>
          <cell r="BJ79"/>
          <cell r="BK79"/>
          <cell r="BL79"/>
          <cell r="BM79"/>
          <cell r="BN79"/>
          <cell r="BO79"/>
          <cell r="BP79">
            <v>4</v>
          </cell>
          <cell r="BQ79"/>
          <cell r="BR79"/>
          <cell r="BS79"/>
          <cell r="BT79"/>
          <cell r="BU79"/>
          <cell r="BV79"/>
          <cell r="BW79"/>
          <cell r="BX79"/>
          <cell r="BY79"/>
          <cell r="BZ79"/>
          <cell r="CA79"/>
          <cell r="CB79"/>
          <cell r="CC79"/>
          <cell r="CD79"/>
          <cell r="CE79">
            <v>4.5</v>
          </cell>
          <cell r="CF79"/>
          <cell r="CG79"/>
          <cell r="CH79"/>
          <cell r="CI79"/>
          <cell r="CJ79"/>
          <cell r="CK79"/>
          <cell r="CL79"/>
          <cell r="CM79"/>
          <cell r="CN79"/>
          <cell r="CO79"/>
          <cell r="CP79"/>
          <cell r="CQ79"/>
          <cell r="CR79"/>
          <cell r="CS79"/>
          <cell r="CT79"/>
          <cell r="CU79"/>
          <cell r="CV79"/>
          <cell r="CW79"/>
          <cell r="CX79"/>
          <cell r="CY79"/>
          <cell r="CZ79">
            <v>17</v>
          </cell>
          <cell r="DA79"/>
          <cell r="DB79"/>
          <cell r="DC79"/>
          <cell r="DD79"/>
          <cell r="DE79"/>
          <cell r="DF79"/>
          <cell r="DG79"/>
          <cell r="DH79"/>
          <cell r="DI79"/>
          <cell r="DJ79" t="e">
            <v>#REF!</v>
          </cell>
          <cell r="DK79"/>
          <cell r="DL79"/>
          <cell r="DM79"/>
          <cell r="DN79"/>
          <cell r="DO79" t="str">
            <v>73</v>
          </cell>
          <cell r="DP79"/>
        </row>
        <row r="80">
          <cell r="B80" t="str">
            <v>74</v>
          </cell>
          <cell r="C80"/>
          <cell r="D80"/>
          <cell r="E80"/>
          <cell r="F80"/>
          <cell r="G80"/>
          <cell r="H80" t="str">
            <v xml:space="preserve">Parts Counter </v>
          </cell>
          <cell r="I80"/>
          <cell r="J80"/>
          <cell r="K80"/>
          <cell r="L80"/>
          <cell r="M80" t="str">
            <v>008</v>
          </cell>
          <cell r="N80"/>
          <cell r="O80"/>
          <cell r="P80"/>
          <cell r="Q80"/>
          <cell r="R80"/>
          <cell r="S80"/>
          <cell r="T80"/>
          <cell r="U80"/>
          <cell r="V80"/>
          <cell r="W80"/>
          <cell r="X80"/>
          <cell r="Y80"/>
          <cell r="Z80"/>
          <cell r="AA80"/>
          <cell r="AB80"/>
          <cell r="AC80"/>
          <cell r="AD80"/>
          <cell r="AE80"/>
          <cell r="AF80"/>
          <cell r="AG80"/>
          <cell r="AH80"/>
          <cell r="AI80"/>
          <cell r="AJ80"/>
          <cell r="AK80"/>
          <cell r="AL80"/>
          <cell r="AM80"/>
          <cell r="AN80"/>
          <cell r="AO80"/>
          <cell r="AP80"/>
          <cell r="AQ80"/>
          <cell r="AR80"/>
          <cell r="AS80"/>
          <cell r="AT80"/>
          <cell r="AU80"/>
          <cell r="AV80"/>
          <cell r="AW80"/>
          <cell r="AX80"/>
          <cell r="AY80"/>
          <cell r="AZ80"/>
          <cell r="BA80"/>
          <cell r="BB80"/>
          <cell r="BC80"/>
          <cell r="BD80"/>
          <cell r="BE80"/>
          <cell r="BF80"/>
          <cell r="BG80">
            <v>4</v>
          </cell>
          <cell r="BH80"/>
          <cell r="BI80"/>
          <cell r="BJ80"/>
          <cell r="BK80"/>
          <cell r="BL80"/>
          <cell r="BM80"/>
          <cell r="BN80"/>
          <cell r="BO80"/>
          <cell r="BP80"/>
          <cell r="BQ80"/>
          <cell r="BR80"/>
          <cell r="BS80"/>
          <cell r="BT80"/>
          <cell r="BU80"/>
          <cell r="BV80"/>
          <cell r="BW80"/>
          <cell r="BX80"/>
          <cell r="BY80"/>
          <cell r="BZ80"/>
          <cell r="CA80"/>
          <cell r="CB80"/>
          <cell r="CC80"/>
          <cell r="CD80"/>
          <cell r="CE80">
            <v>0</v>
          </cell>
          <cell r="CF80"/>
          <cell r="CG80"/>
          <cell r="CH80"/>
          <cell r="CI80"/>
          <cell r="CJ80"/>
          <cell r="CK80"/>
          <cell r="CL80"/>
          <cell r="CM80"/>
          <cell r="CN80"/>
          <cell r="CO80"/>
          <cell r="CP80"/>
          <cell r="CQ80"/>
          <cell r="CR80"/>
          <cell r="CS80"/>
          <cell r="CT80"/>
          <cell r="CU80"/>
          <cell r="CV80"/>
          <cell r="CW80"/>
          <cell r="CX80"/>
          <cell r="CY80"/>
          <cell r="CZ80">
            <v>4</v>
          </cell>
          <cell r="DA80"/>
          <cell r="DB80"/>
          <cell r="DC80"/>
          <cell r="DD80"/>
          <cell r="DE80"/>
          <cell r="DF80"/>
          <cell r="DG80"/>
          <cell r="DH80"/>
          <cell r="DI80"/>
          <cell r="DJ80" t="e">
            <v>#REF!</v>
          </cell>
          <cell r="DK80"/>
          <cell r="DL80"/>
          <cell r="DM80"/>
          <cell r="DN80"/>
          <cell r="DO80" t="str">
            <v>74</v>
          </cell>
          <cell r="DP80"/>
        </row>
        <row r="81">
          <cell r="B81" t="str">
            <v>75</v>
          </cell>
          <cell r="C81"/>
          <cell r="D81"/>
          <cell r="E81"/>
          <cell r="F81"/>
          <cell r="G81"/>
          <cell r="H81" t="str">
            <v>Porters</v>
          </cell>
          <cell r="I81"/>
          <cell r="J81"/>
          <cell r="K81"/>
          <cell r="L81"/>
          <cell r="M81" t="str">
            <v>009</v>
          </cell>
          <cell r="N81"/>
          <cell r="O81">
            <v>1.2</v>
          </cell>
          <cell r="P81"/>
          <cell r="Q81"/>
          <cell r="R81"/>
          <cell r="S81"/>
          <cell r="T81"/>
          <cell r="U81"/>
          <cell r="V81"/>
          <cell r="W81"/>
          <cell r="X81"/>
          <cell r="Y81">
            <v>1.2</v>
          </cell>
          <cell r="Z81"/>
          <cell r="AA81"/>
          <cell r="AB81"/>
          <cell r="AC81"/>
          <cell r="AD81">
            <v>1.2</v>
          </cell>
          <cell r="AE81"/>
          <cell r="AF81"/>
          <cell r="AG81"/>
          <cell r="AH81"/>
          <cell r="AI81"/>
          <cell r="AJ81"/>
          <cell r="AK81"/>
          <cell r="AL81"/>
          <cell r="AM81"/>
          <cell r="AN81"/>
          <cell r="AO81"/>
          <cell r="AP81"/>
          <cell r="AQ81"/>
          <cell r="AR81">
            <v>0</v>
          </cell>
          <cell r="AS81"/>
          <cell r="AT81"/>
          <cell r="AU81"/>
          <cell r="AV81"/>
          <cell r="AW81"/>
          <cell r="AX81"/>
          <cell r="AY81"/>
          <cell r="AZ81"/>
          <cell r="BA81"/>
          <cell r="BB81"/>
          <cell r="BC81"/>
          <cell r="BD81"/>
          <cell r="BE81"/>
          <cell r="BF81"/>
          <cell r="BG81">
            <v>0.2</v>
          </cell>
          <cell r="BH81"/>
          <cell r="BI81"/>
          <cell r="BJ81"/>
          <cell r="BK81"/>
          <cell r="BL81"/>
          <cell r="BM81"/>
          <cell r="BN81"/>
          <cell r="BO81"/>
          <cell r="BP81">
            <v>0.2</v>
          </cell>
          <cell r="BQ81"/>
          <cell r="BR81"/>
          <cell r="BS81"/>
          <cell r="BT81"/>
          <cell r="BU81"/>
          <cell r="BV81"/>
          <cell r="BW81"/>
          <cell r="BX81"/>
          <cell r="BY81"/>
          <cell r="BZ81"/>
          <cell r="CA81"/>
          <cell r="CB81"/>
          <cell r="CC81"/>
          <cell r="CD81"/>
          <cell r="CE81">
            <v>0</v>
          </cell>
          <cell r="CF81"/>
          <cell r="CG81"/>
          <cell r="CH81"/>
          <cell r="CI81"/>
          <cell r="CJ81"/>
          <cell r="CK81"/>
          <cell r="CL81"/>
          <cell r="CM81"/>
          <cell r="CN81"/>
          <cell r="CO81"/>
          <cell r="CP81"/>
          <cell r="CQ81"/>
          <cell r="CR81"/>
          <cell r="CS81"/>
          <cell r="CT81"/>
          <cell r="CU81"/>
          <cell r="CV81"/>
          <cell r="CW81"/>
          <cell r="CX81"/>
          <cell r="CY81"/>
          <cell r="CZ81">
            <v>4</v>
          </cell>
          <cell r="DA81"/>
          <cell r="DB81"/>
          <cell r="DC81"/>
          <cell r="DD81"/>
          <cell r="DE81"/>
          <cell r="DF81"/>
          <cell r="DG81"/>
          <cell r="DH81"/>
          <cell r="DI81"/>
          <cell r="DJ81" t="e">
            <v>#REF!</v>
          </cell>
          <cell r="DK81"/>
          <cell r="DL81"/>
          <cell r="DM81"/>
          <cell r="DN81"/>
          <cell r="DO81" t="str">
            <v>75</v>
          </cell>
          <cell r="DP81"/>
        </row>
        <row r="82">
          <cell r="B82" t="str">
            <v>76</v>
          </cell>
          <cell r="C82"/>
          <cell r="D82"/>
          <cell r="E82"/>
          <cell r="F82"/>
          <cell r="G82"/>
          <cell r="H82" t="str">
            <v>Office</v>
          </cell>
          <cell r="I82"/>
          <cell r="J82"/>
          <cell r="K82"/>
          <cell r="L82"/>
          <cell r="M82" t="str">
            <v>004</v>
          </cell>
          <cell r="N82"/>
          <cell r="O82">
            <v>3.1</v>
          </cell>
          <cell r="P82"/>
          <cell r="Q82"/>
          <cell r="R82"/>
          <cell r="S82"/>
          <cell r="T82"/>
          <cell r="U82"/>
          <cell r="V82"/>
          <cell r="W82"/>
          <cell r="X82"/>
          <cell r="Y82">
            <v>3.1</v>
          </cell>
          <cell r="Z82"/>
          <cell r="AA82"/>
          <cell r="AB82"/>
          <cell r="AC82"/>
          <cell r="AD82">
            <v>2.1</v>
          </cell>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v>2.1</v>
          </cell>
          <cell r="BH82"/>
          <cell r="BI82"/>
          <cell r="BJ82"/>
          <cell r="BK82"/>
          <cell r="BL82"/>
          <cell r="BM82"/>
          <cell r="BN82"/>
          <cell r="BO82"/>
          <cell r="BP82">
            <v>2.6</v>
          </cell>
          <cell r="BQ82"/>
          <cell r="BR82"/>
          <cell r="BS82"/>
          <cell r="BT82"/>
          <cell r="BU82"/>
          <cell r="BV82"/>
          <cell r="BW82"/>
          <cell r="BX82"/>
          <cell r="BY82"/>
          <cell r="BZ82"/>
          <cell r="CA82"/>
          <cell r="CB82"/>
          <cell r="CC82"/>
          <cell r="CD82"/>
          <cell r="CE82">
            <v>0</v>
          </cell>
          <cell r="CF82"/>
          <cell r="CG82"/>
          <cell r="CH82"/>
          <cell r="CI82"/>
          <cell r="CJ82"/>
          <cell r="CK82"/>
          <cell r="CL82"/>
          <cell r="CM82"/>
          <cell r="CN82"/>
          <cell r="CO82"/>
          <cell r="CP82"/>
          <cell r="CQ82"/>
          <cell r="CR82"/>
          <cell r="CS82"/>
          <cell r="CT82"/>
          <cell r="CU82"/>
          <cell r="CV82"/>
          <cell r="CW82"/>
          <cell r="CX82"/>
          <cell r="CY82"/>
          <cell r="CZ82">
            <v>13</v>
          </cell>
          <cell r="DA82"/>
          <cell r="DB82"/>
          <cell r="DC82"/>
          <cell r="DD82"/>
          <cell r="DE82"/>
          <cell r="DF82"/>
          <cell r="DG82"/>
          <cell r="DH82"/>
          <cell r="DI82"/>
          <cell r="DJ82" t="e">
            <v>#REF!</v>
          </cell>
          <cell r="DK82"/>
          <cell r="DL82"/>
          <cell r="DM82"/>
          <cell r="DN82"/>
          <cell r="DO82" t="str">
            <v>76</v>
          </cell>
          <cell r="DP82"/>
        </row>
        <row r="83">
          <cell r="B83" t="str">
            <v>77</v>
          </cell>
          <cell r="C83"/>
          <cell r="D83"/>
          <cell r="E83"/>
          <cell r="F83"/>
          <cell r="G83"/>
          <cell r="H83" t="str">
            <v>Other</v>
          </cell>
          <cell r="I83"/>
          <cell r="J83"/>
          <cell r="K83"/>
          <cell r="L83"/>
          <cell r="M83" t="str">
            <v>005</v>
          </cell>
          <cell r="N83"/>
          <cell r="O83">
            <v>2.7</v>
          </cell>
          <cell r="P83"/>
          <cell r="Q83"/>
          <cell r="R83"/>
          <cell r="S83"/>
          <cell r="T83"/>
          <cell r="U83"/>
          <cell r="V83"/>
          <cell r="W83"/>
          <cell r="X83"/>
          <cell r="Y83">
            <v>2.7</v>
          </cell>
          <cell r="Z83"/>
          <cell r="AA83"/>
          <cell r="AB83"/>
          <cell r="AC83"/>
          <cell r="AD83">
            <v>2.2000000000000002</v>
          </cell>
          <cell r="AE83"/>
          <cell r="AF83"/>
          <cell r="AG83"/>
          <cell r="AH83"/>
          <cell r="AI83"/>
          <cell r="AJ83"/>
          <cell r="AK83"/>
          <cell r="AL83"/>
          <cell r="AM83"/>
          <cell r="AN83"/>
          <cell r="AO83"/>
          <cell r="AP83"/>
          <cell r="AQ83"/>
          <cell r="AR83">
            <v>0</v>
          </cell>
          <cell r="AS83"/>
          <cell r="AT83"/>
          <cell r="AU83"/>
          <cell r="AV83"/>
          <cell r="AW83"/>
          <cell r="AX83"/>
          <cell r="AY83"/>
          <cell r="AZ83"/>
          <cell r="BA83"/>
          <cell r="BB83"/>
          <cell r="BC83"/>
          <cell r="BD83"/>
          <cell r="BE83"/>
          <cell r="BF83"/>
          <cell r="BG83">
            <v>2.2000000000000002</v>
          </cell>
          <cell r="BH83"/>
          <cell r="BI83"/>
          <cell r="BJ83"/>
          <cell r="BK83"/>
          <cell r="BL83"/>
          <cell r="BM83"/>
          <cell r="BN83"/>
          <cell r="BO83"/>
          <cell r="BP83">
            <v>2.2000000000000002</v>
          </cell>
          <cell r="BQ83"/>
          <cell r="BR83"/>
          <cell r="BS83"/>
          <cell r="BT83"/>
          <cell r="BU83"/>
          <cell r="BV83"/>
          <cell r="BW83"/>
          <cell r="BX83"/>
          <cell r="BY83"/>
          <cell r="BZ83"/>
          <cell r="CA83"/>
          <cell r="CB83"/>
          <cell r="CC83"/>
          <cell r="CD83"/>
          <cell r="CE83">
            <v>0</v>
          </cell>
          <cell r="CF83"/>
          <cell r="CG83"/>
          <cell r="CH83"/>
          <cell r="CI83"/>
          <cell r="CJ83"/>
          <cell r="CK83"/>
          <cell r="CL83"/>
          <cell r="CM83"/>
          <cell r="CN83"/>
          <cell r="CO83"/>
          <cell r="CP83"/>
          <cell r="CQ83"/>
          <cell r="CR83"/>
          <cell r="CS83"/>
          <cell r="CT83"/>
          <cell r="CU83"/>
          <cell r="CV83"/>
          <cell r="CW83"/>
          <cell r="CX83"/>
          <cell r="CY83"/>
          <cell r="CZ83">
            <v>12</v>
          </cell>
          <cell r="DA83"/>
          <cell r="DB83"/>
          <cell r="DC83"/>
          <cell r="DD83"/>
          <cell r="DE83"/>
          <cell r="DF83"/>
          <cell r="DG83"/>
          <cell r="DH83"/>
          <cell r="DI83"/>
          <cell r="DJ83" t="e">
            <v>#REF!</v>
          </cell>
          <cell r="DK83"/>
          <cell r="DL83"/>
          <cell r="DM83"/>
          <cell r="DN83"/>
          <cell r="DO83" t="str">
            <v>77</v>
          </cell>
          <cell r="DP83"/>
        </row>
        <row r="84">
          <cell r="B84" t="str">
            <v>78</v>
          </cell>
          <cell r="C84"/>
          <cell r="D84"/>
          <cell r="E84"/>
          <cell r="F84"/>
          <cell r="G84"/>
          <cell r="H84" t="str">
            <v>Total</v>
          </cell>
          <cell r="I84"/>
          <cell r="J84"/>
          <cell r="K84"/>
          <cell r="L84"/>
          <cell r="M84" t="str">
            <v>TT30</v>
          </cell>
          <cell r="N84"/>
          <cell r="O84">
            <v>20.6</v>
          </cell>
          <cell r="P84"/>
          <cell r="Q84"/>
          <cell r="R84"/>
          <cell r="S84"/>
          <cell r="T84"/>
          <cell r="U84"/>
          <cell r="V84"/>
          <cell r="W84"/>
          <cell r="X84"/>
          <cell r="Y84">
            <v>18.600000000000001</v>
          </cell>
          <cell r="Z84"/>
          <cell r="AA84"/>
          <cell r="AB84"/>
          <cell r="AC84"/>
          <cell r="AD84">
            <v>17.600000000000001</v>
          </cell>
          <cell r="AE84"/>
          <cell r="AF84"/>
          <cell r="AG84"/>
          <cell r="AH84"/>
          <cell r="AI84"/>
          <cell r="AJ84"/>
          <cell r="AK84"/>
          <cell r="AL84"/>
          <cell r="AM84"/>
          <cell r="AN84"/>
          <cell r="AO84"/>
          <cell r="AP84"/>
          <cell r="AQ84"/>
          <cell r="AR84">
            <v>4</v>
          </cell>
          <cell r="AS84"/>
          <cell r="AT84"/>
          <cell r="AU84"/>
          <cell r="AV84"/>
          <cell r="AW84"/>
          <cell r="AX84"/>
          <cell r="AY84"/>
          <cell r="AZ84"/>
          <cell r="BA84"/>
          <cell r="BB84"/>
          <cell r="BC84"/>
          <cell r="BD84"/>
          <cell r="BE84"/>
          <cell r="BF84"/>
          <cell r="BG84">
            <v>10.1</v>
          </cell>
          <cell r="BH84"/>
          <cell r="BI84"/>
          <cell r="BJ84"/>
          <cell r="BK84"/>
          <cell r="BL84"/>
          <cell r="BM84"/>
          <cell r="BN84"/>
          <cell r="BO84"/>
          <cell r="BP84">
            <v>10.6</v>
          </cell>
          <cell r="BQ84"/>
          <cell r="BR84"/>
          <cell r="BS84"/>
          <cell r="BT84"/>
          <cell r="BU84"/>
          <cell r="BV84"/>
          <cell r="BW84"/>
          <cell r="BX84"/>
          <cell r="BY84"/>
          <cell r="BZ84"/>
          <cell r="CA84"/>
          <cell r="CB84"/>
          <cell r="CC84"/>
          <cell r="CD84"/>
          <cell r="CE84">
            <v>5.5</v>
          </cell>
          <cell r="CF84"/>
          <cell r="CG84"/>
          <cell r="CH84"/>
          <cell r="CI84"/>
          <cell r="CJ84"/>
          <cell r="CK84"/>
          <cell r="CL84"/>
          <cell r="CM84"/>
          <cell r="CN84"/>
          <cell r="CO84"/>
          <cell r="CP84"/>
          <cell r="CQ84"/>
          <cell r="CR84"/>
          <cell r="CS84"/>
          <cell r="CT84"/>
          <cell r="CU84"/>
          <cell r="CV84"/>
          <cell r="CW84"/>
          <cell r="CX84"/>
          <cell r="CY84"/>
          <cell r="CZ84">
            <v>87</v>
          </cell>
          <cell r="DA84"/>
          <cell r="DB84"/>
          <cell r="DC84"/>
          <cell r="DD84"/>
          <cell r="DE84"/>
          <cell r="DF84"/>
          <cell r="DG84"/>
          <cell r="DH84"/>
          <cell r="DI84"/>
          <cell r="DJ84" t="e">
            <v>#REF!</v>
          </cell>
          <cell r="DK84"/>
          <cell r="DL84"/>
          <cell r="DM84"/>
          <cell r="DN84"/>
          <cell r="DO84" t="str">
            <v>78</v>
          </cell>
          <cell r="DP84"/>
        </row>
        <row r="85">
          <cell r="B85"/>
          <cell r="C85"/>
          <cell r="D85"/>
          <cell r="E85"/>
          <cell r="F85"/>
          <cell r="G85"/>
          <cell r="H85"/>
          <cell r="I85"/>
          <cell r="J85"/>
          <cell r="K85"/>
          <cell r="L85"/>
          <cell r="M85"/>
          <cell r="N85"/>
          <cell r="O85"/>
          <cell r="P85"/>
          <cell r="Q85"/>
          <cell r="R85"/>
          <cell r="S85"/>
          <cell r="T85"/>
          <cell r="U85"/>
          <cell r="V85"/>
          <cell r="W85"/>
          <cell r="X85"/>
          <cell r="Y85"/>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AZ85"/>
          <cell r="BA85"/>
          <cell r="BB85"/>
          <cell r="BC85"/>
          <cell r="BD85"/>
          <cell r="BE85"/>
          <cell r="BF85"/>
          <cell r="BG85"/>
          <cell r="BH85"/>
          <cell r="BI85"/>
          <cell r="BJ85"/>
          <cell r="BK85"/>
          <cell r="BL85"/>
          <cell r="BM85"/>
          <cell r="BN85"/>
          <cell r="BO85"/>
          <cell r="BP85"/>
          <cell r="BQ85"/>
          <cell r="BR85"/>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cell r="DG85"/>
          <cell r="DH85"/>
          <cell r="DI85"/>
          <cell r="DJ85" t="e">
            <v>#REF!</v>
          </cell>
          <cell r="DK85"/>
          <cell r="DL85"/>
          <cell r="DM85"/>
          <cell r="DN85"/>
          <cell r="DO85"/>
          <cell r="DP85"/>
        </row>
        <row r="86">
          <cell r="B86"/>
          <cell r="C86"/>
          <cell r="D86"/>
          <cell r="E86"/>
          <cell r="F86"/>
          <cell r="G86"/>
          <cell r="H86"/>
          <cell r="I86"/>
          <cell r="J86"/>
          <cell r="K86"/>
          <cell r="L86"/>
          <cell r="M86"/>
          <cell r="N86"/>
          <cell r="O86"/>
          <cell r="P86"/>
          <cell r="Q86"/>
          <cell r="R86"/>
          <cell r="S86"/>
          <cell r="T86"/>
          <cell r="U86"/>
          <cell r="V86"/>
          <cell r="W86"/>
          <cell r="X86"/>
          <cell r="Y86"/>
          <cell r="Z86"/>
          <cell r="AA86"/>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cell r="DG86"/>
          <cell r="DH86"/>
          <cell r="DI86"/>
          <cell r="DJ86"/>
          <cell r="DK86"/>
          <cell r="DL86"/>
          <cell r="DM86"/>
          <cell r="DN86"/>
          <cell r="DO86"/>
          <cell r="DP86"/>
        </row>
        <row r="87">
          <cell r="B87"/>
          <cell r="C87"/>
          <cell r="D87"/>
          <cell r="E87"/>
          <cell r="F87"/>
          <cell r="G87"/>
          <cell r="H87"/>
          <cell r="I87"/>
          <cell r="J87"/>
          <cell r="K87"/>
          <cell r="L87"/>
          <cell r="M87"/>
          <cell r="N87"/>
          <cell r="O87"/>
          <cell r="P87"/>
          <cell r="Q87"/>
          <cell r="R87"/>
          <cell r="S87"/>
          <cell r="T87"/>
          <cell r="U87"/>
          <cell r="V87"/>
          <cell r="W87"/>
          <cell r="X87"/>
          <cell r="Y87"/>
          <cell r="Z87"/>
          <cell r="AA87"/>
          <cell r="AB87"/>
          <cell r="AC87"/>
          <cell r="AD87"/>
          <cell r="AE87"/>
          <cell r="AF87"/>
          <cell r="AG87"/>
          <cell r="AH87"/>
          <cell r="AI87"/>
          <cell r="AJ87"/>
          <cell r="AK87"/>
          <cell r="AL87"/>
          <cell r="AM87"/>
          <cell r="AN87"/>
          <cell r="AO87"/>
          <cell r="AP87"/>
          <cell r="AQ87"/>
          <cell r="AR87"/>
          <cell r="AS87"/>
          <cell r="AT87"/>
          <cell r="AU87"/>
          <cell r="AV87"/>
          <cell r="AW87"/>
          <cell r="AX87"/>
          <cell r="AY87"/>
          <cell r="AZ87"/>
          <cell r="BA87"/>
          <cell r="BB87"/>
          <cell r="BC87"/>
          <cell r="BD87"/>
          <cell r="BE87"/>
          <cell r="BF87"/>
          <cell r="BG87"/>
          <cell r="BH87"/>
          <cell r="BI87"/>
          <cell r="BJ87"/>
          <cell r="BK87"/>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cell r="DG87"/>
          <cell r="DH87"/>
          <cell r="DI87"/>
          <cell r="DJ87"/>
          <cell r="DK87"/>
          <cell r="DL87"/>
          <cell r="DM87"/>
          <cell r="DN87"/>
          <cell r="DO87"/>
          <cell r="DP87"/>
        </row>
        <row r="88">
          <cell r="L88"/>
        </row>
        <row r="89">
          <cell r="L89"/>
          <cell r="T89"/>
          <cell r="U89"/>
          <cell r="V89"/>
          <cell r="W89"/>
          <cell r="X89"/>
          <cell r="AE89"/>
          <cell r="AF89"/>
          <cell r="AG89"/>
          <cell r="AH89"/>
          <cell r="AI89"/>
          <cell r="AL89"/>
          <cell r="AM89"/>
          <cell r="AN89"/>
          <cell r="AO89"/>
          <cell r="AP89"/>
          <cell r="AS89"/>
          <cell r="AT89"/>
          <cell r="AU89"/>
          <cell r="AV89"/>
          <cell r="AW89"/>
          <cell r="BB89"/>
          <cell r="BC89"/>
          <cell r="BD89"/>
          <cell r="BE89"/>
          <cell r="BF89"/>
          <cell r="BK89"/>
          <cell r="BL89"/>
          <cell r="BM89"/>
          <cell r="BN89"/>
          <cell r="BO89"/>
          <cell r="BR89"/>
          <cell r="BS89"/>
          <cell r="BT89"/>
          <cell r="BU89"/>
          <cell r="BV89"/>
          <cell r="BY89"/>
          <cell r="BZ89"/>
          <cell r="CA89"/>
          <cell r="CB89"/>
          <cell r="CC89"/>
          <cell r="CF89"/>
          <cell r="CG89"/>
          <cell r="CH89"/>
          <cell r="CI89"/>
          <cell r="CJ89"/>
          <cell r="CM89"/>
          <cell r="CN89"/>
          <cell r="CO89"/>
          <cell r="CP89"/>
          <cell r="CQ89"/>
          <cell r="CS89"/>
          <cell r="CT89"/>
          <cell r="CU89"/>
          <cell r="CV89"/>
          <cell r="CW89"/>
          <cell r="CX89"/>
          <cell r="CY89" t="str">
            <v xml:space="preserve"> </v>
          </cell>
          <cell r="CZ89"/>
          <cell r="DA89"/>
          <cell r="DB89"/>
          <cell r="DD89"/>
          <cell r="DE89"/>
          <cell r="DF89"/>
          <cell r="DG89"/>
          <cell r="DH89"/>
          <cell r="DJ89"/>
          <cell r="DK89"/>
          <cell r="DL89"/>
          <cell r="DM89"/>
          <cell r="DN89"/>
        </row>
      </sheetData>
      <sheetData sheetId="2" refreshError="1">
        <row r="1">
          <cell r="B1"/>
          <cell r="C1"/>
          <cell r="D1"/>
          <cell r="E1" t="str">
            <v>Departmental Income and Expense</v>
          </cell>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cell r="BE1"/>
          <cell r="BF1"/>
          <cell r="BG1"/>
          <cell r="BH1"/>
          <cell r="BI1"/>
          <cell r="BJ1"/>
          <cell r="BK1"/>
          <cell r="BL1"/>
          <cell r="BM1"/>
          <cell r="BN1"/>
          <cell r="BO1"/>
          <cell r="BP1"/>
          <cell r="BQ1"/>
          <cell r="BR1"/>
          <cell r="BS1"/>
          <cell r="BT1"/>
          <cell r="BU1"/>
          <cell r="BV1"/>
          <cell r="BW1"/>
          <cell r="BX1"/>
          <cell r="BY1"/>
          <cell r="BZ1"/>
          <cell r="CA1"/>
          <cell r="CB1"/>
          <cell r="CC1"/>
          <cell r="CD1"/>
          <cell r="CE1"/>
          <cell r="CF1"/>
          <cell r="CG1"/>
          <cell r="CH1"/>
          <cell r="CI1"/>
          <cell r="CJ1"/>
          <cell r="CK1"/>
          <cell r="CL1"/>
          <cell r="CM1"/>
          <cell r="CN1"/>
          <cell r="CO1"/>
          <cell r="CP1"/>
          <cell r="CQ1"/>
          <cell r="CR1"/>
          <cell r="CS1"/>
          <cell r="CT1"/>
          <cell r="CU1"/>
          <cell r="CV1"/>
          <cell r="CW1"/>
        </row>
        <row r="2">
          <cell r="B2" t="str">
            <v>PAGE 3</v>
          </cell>
          <cell r="C2"/>
          <cell r="D2"/>
          <cell r="E2"/>
          <cell r="F2"/>
          <cell r="G2"/>
          <cell r="H2"/>
          <cell r="I2"/>
          <cell r="J2"/>
          <cell r="K2"/>
          <cell r="L2" t="str">
            <v>(Month, Year)</v>
          </cell>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cell r="BF2"/>
          <cell r="BG2"/>
          <cell r="BH2"/>
          <cell r="BI2"/>
          <cell r="BJ2"/>
          <cell r="BK2"/>
          <cell r="BL2"/>
          <cell r="BM2"/>
          <cell r="BN2"/>
          <cell r="BO2"/>
          <cell r="BP2"/>
          <cell r="BQ2"/>
          <cell r="BR2"/>
          <cell r="BS2"/>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row>
        <row r="3">
          <cell r="B3" t="str">
            <v>LINE</v>
          </cell>
          <cell r="C3"/>
          <cell r="D3" t="str">
            <v>NAME OF ACCOUNT</v>
          </cell>
          <cell r="E3"/>
          <cell r="F3"/>
          <cell r="G3"/>
          <cell r="H3"/>
          <cell r="I3"/>
          <cell r="J3"/>
          <cell r="K3"/>
          <cell r="L3"/>
          <cell r="M3"/>
          <cell r="N3"/>
          <cell r="O3"/>
          <cell r="P3"/>
          <cell r="Q3"/>
          <cell r="R3" t="str">
            <v>ACCT</v>
          </cell>
          <cell r="S3" t="str">
            <v>C - SERVICE DEPARTMENT</v>
          </cell>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t="str">
            <v>D - PARTS AND ACC. DEPT.</v>
          </cell>
          <cell r="AZ3"/>
          <cell r="BA3"/>
          <cell r="BB3"/>
          <cell r="BC3"/>
          <cell r="BD3"/>
          <cell r="BE3"/>
          <cell r="BF3"/>
          <cell r="BG3"/>
          <cell r="BH3"/>
          <cell r="BI3"/>
          <cell r="BJ3"/>
          <cell r="BK3"/>
          <cell r="BL3"/>
          <cell r="BM3"/>
          <cell r="BN3"/>
          <cell r="BO3"/>
          <cell r="BP3"/>
          <cell r="BQ3"/>
          <cell r="BR3"/>
          <cell r="BS3"/>
          <cell r="BT3"/>
          <cell r="BU3" t="str">
            <v>E-BODY SHOP DEPARTMENT</v>
          </cell>
          <cell r="BV3"/>
          <cell r="BW3"/>
          <cell r="BX3"/>
          <cell r="BY3"/>
          <cell r="BZ3"/>
          <cell r="CA3"/>
          <cell r="CB3"/>
          <cell r="CC3"/>
          <cell r="CD3"/>
          <cell r="CE3"/>
          <cell r="CF3"/>
          <cell r="CG3"/>
          <cell r="CH3"/>
          <cell r="CI3"/>
          <cell r="CJ3"/>
          <cell r="CK3"/>
          <cell r="CL3"/>
          <cell r="CM3"/>
          <cell r="CN3"/>
          <cell r="CO3"/>
          <cell r="CP3"/>
          <cell r="CQ3"/>
          <cell r="CR3"/>
          <cell r="CS3"/>
          <cell r="CT3"/>
          <cell r="CU3"/>
          <cell r="CV3" t="str">
            <v>LINE</v>
          </cell>
          <cell r="CW3"/>
          <cell r="CX3"/>
        </row>
        <row r="4">
          <cell r="B4" t="str">
            <v>NO</v>
          </cell>
          <cell r="C4"/>
          <cell r="D4"/>
          <cell r="E4"/>
          <cell r="F4"/>
          <cell r="G4"/>
          <cell r="H4"/>
          <cell r="I4"/>
          <cell r="J4"/>
          <cell r="K4"/>
          <cell r="L4"/>
          <cell r="M4"/>
          <cell r="N4"/>
          <cell r="O4"/>
          <cell r="P4"/>
          <cell r="Q4"/>
          <cell r="R4" t="str">
            <v>NO</v>
          </cell>
          <cell r="S4" t="str">
            <v>MONTH</v>
          </cell>
          <cell r="T4"/>
          <cell r="U4"/>
          <cell r="V4"/>
          <cell r="W4"/>
          <cell r="X4"/>
          <cell r="Y4"/>
          <cell r="Z4"/>
          <cell r="AA4"/>
          <cell r="AB4"/>
          <cell r="AC4"/>
          <cell r="AD4"/>
          <cell r="AE4"/>
          <cell r="AF4"/>
          <cell r="AG4"/>
          <cell r="AH4"/>
          <cell r="AI4" t="str">
            <v>YEAR TO DATE</v>
          </cell>
          <cell r="AJ4"/>
          <cell r="AK4"/>
          <cell r="AL4"/>
          <cell r="AM4"/>
          <cell r="AN4"/>
          <cell r="AO4"/>
          <cell r="AP4"/>
          <cell r="AQ4"/>
          <cell r="AR4"/>
          <cell r="AS4"/>
          <cell r="AT4"/>
          <cell r="AU4"/>
          <cell r="AV4"/>
          <cell r="AW4"/>
          <cell r="AX4"/>
          <cell r="AY4" t="str">
            <v>MONTH</v>
          </cell>
          <cell r="AZ4"/>
          <cell r="BA4"/>
          <cell r="BB4"/>
          <cell r="BC4"/>
          <cell r="BD4"/>
          <cell r="BE4"/>
          <cell r="BF4"/>
          <cell r="BG4"/>
          <cell r="BH4"/>
          <cell r="BI4"/>
          <cell r="BJ4" t="str">
            <v>YEAR TO DATE</v>
          </cell>
          <cell r="BK4"/>
          <cell r="BL4"/>
          <cell r="BM4"/>
          <cell r="BN4"/>
          <cell r="BO4"/>
          <cell r="BP4"/>
          <cell r="BQ4"/>
          <cell r="BR4"/>
          <cell r="BS4"/>
          <cell r="BT4"/>
          <cell r="BU4" t="str">
            <v>MONTH</v>
          </cell>
          <cell r="BV4"/>
          <cell r="BW4"/>
          <cell r="BX4"/>
          <cell r="BY4"/>
          <cell r="BZ4"/>
          <cell r="CA4"/>
          <cell r="CB4"/>
          <cell r="CC4"/>
          <cell r="CD4"/>
          <cell r="CE4"/>
          <cell r="CF4" t="str">
            <v>YEAR TO DATE</v>
          </cell>
          <cell r="CG4"/>
          <cell r="CH4"/>
          <cell r="CI4"/>
          <cell r="CJ4"/>
          <cell r="CK4"/>
          <cell r="CL4"/>
          <cell r="CM4"/>
          <cell r="CN4"/>
          <cell r="CO4"/>
          <cell r="CP4"/>
          <cell r="CQ4"/>
          <cell r="CR4"/>
          <cell r="CS4"/>
          <cell r="CT4"/>
          <cell r="CU4"/>
          <cell r="CV4" t="str">
            <v>NO</v>
          </cell>
          <cell r="CW4"/>
          <cell r="CX4"/>
        </row>
        <row r="5">
          <cell r="B5" t="str">
            <v>1</v>
          </cell>
          <cell r="C5"/>
          <cell r="D5" t="str">
            <v>TOTAL SALES</v>
          </cell>
          <cell r="E5"/>
          <cell r="F5"/>
          <cell r="G5"/>
          <cell r="H5"/>
          <cell r="I5"/>
          <cell r="J5"/>
          <cell r="K5"/>
          <cell r="L5"/>
          <cell r="M5"/>
          <cell r="N5"/>
          <cell r="O5"/>
          <cell r="P5"/>
          <cell r="Q5" t="str">
            <v>(From Page 6)</v>
          </cell>
          <cell r="R5"/>
          <cell r="S5">
            <v>323407</v>
          </cell>
          <cell r="T5"/>
          <cell r="U5"/>
          <cell r="V5"/>
          <cell r="W5"/>
          <cell r="X5"/>
          <cell r="Y5"/>
          <cell r="Z5"/>
          <cell r="AA5"/>
          <cell r="AB5"/>
          <cell r="AC5"/>
          <cell r="AD5" t="e">
            <v>#REF!</v>
          </cell>
          <cell r="AE5"/>
          <cell r="AF5"/>
          <cell r="AG5"/>
          <cell r="AH5"/>
          <cell r="AI5">
            <v>3638825</v>
          </cell>
          <cell r="AJ5"/>
          <cell r="AK5"/>
          <cell r="AL5"/>
          <cell r="AM5"/>
          <cell r="AN5"/>
          <cell r="AO5"/>
          <cell r="AP5"/>
          <cell r="AQ5"/>
          <cell r="AR5"/>
          <cell r="AS5"/>
          <cell r="AT5" t="e">
            <v>#REF!</v>
          </cell>
          <cell r="AU5"/>
          <cell r="AV5"/>
          <cell r="AW5"/>
          <cell r="AX5"/>
          <cell r="AY5">
            <v>452118</v>
          </cell>
          <cell r="AZ5"/>
          <cell r="BA5"/>
          <cell r="BB5"/>
          <cell r="BC5"/>
          <cell r="BD5"/>
          <cell r="BE5" t="e">
            <v>#REF!</v>
          </cell>
          <cell r="BF5"/>
          <cell r="BG5"/>
          <cell r="BH5"/>
          <cell r="BI5"/>
          <cell r="BJ5">
            <v>5070231</v>
          </cell>
          <cell r="BK5"/>
          <cell r="BL5"/>
          <cell r="BM5"/>
          <cell r="BN5"/>
          <cell r="BO5"/>
          <cell r="BP5" t="e">
            <v>#REF!</v>
          </cell>
          <cell r="BQ5"/>
          <cell r="BR5"/>
          <cell r="BS5"/>
          <cell r="BT5"/>
          <cell r="BU5">
            <v>45040</v>
          </cell>
          <cell r="BV5"/>
          <cell r="BW5"/>
          <cell r="BX5"/>
          <cell r="BY5"/>
          <cell r="BZ5"/>
          <cell r="CA5" t="e">
            <v>#REF!</v>
          </cell>
          <cell r="CB5"/>
          <cell r="CC5"/>
          <cell r="CD5"/>
          <cell r="CE5"/>
          <cell r="CF5">
            <v>682091</v>
          </cell>
          <cell r="CG5"/>
          <cell r="CH5"/>
          <cell r="CI5"/>
          <cell r="CJ5"/>
          <cell r="CK5"/>
          <cell r="CL5"/>
          <cell r="CM5"/>
          <cell r="CN5"/>
          <cell r="CO5"/>
          <cell r="CP5"/>
          <cell r="CQ5" t="e">
            <v>#REF!</v>
          </cell>
          <cell r="CR5"/>
          <cell r="CS5"/>
          <cell r="CT5"/>
          <cell r="CU5"/>
          <cell r="CV5" t="str">
            <v>1</v>
          </cell>
          <cell r="CW5"/>
          <cell r="CX5"/>
          <cell r="CY5">
            <v>300103</v>
          </cell>
          <cell r="CZ5">
            <v>300105</v>
          </cell>
          <cell r="DA5">
            <v>300107</v>
          </cell>
          <cell r="DB5">
            <v>300109</v>
          </cell>
          <cell r="DC5">
            <v>300111</v>
          </cell>
          <cell r="DD5">
            <v>300113</v>
          </cell>
        </row>
        <row r="6">
          <cell r="B6" t="str">
            <v>2</v>
          </cell>
          <cell r="C6"/>
          <cell r="D6" t="str">
            <v>TOTAL GROSS PROFIT</v>
          </cell>
          <cell r="E6"/>
          <cell r="F6"/>
          <cell r="G6"/>
          <cell r="H6"/>
          <cell r="I6"/>
          <cell r="J6"/>
          <cell r="K6"/>
          <cell r="L6"/>
          <cell r="M6"/>
          <cell r="N6"/>
          <cell r="O6"/>
          <cell r="P6"/>
          <cell r="Q6" t="str">
            <v>(From Page 6)</v>
          </cell>
          <cell r="R6"/>
          <cell r="S6">
            <v>159040</v>
          </cell>
          <cell r="T6"/>
          <cell r="U6"/>
          <cell r="V6"/>
          <cell r="W6"/>
          <cell r="X6"/>
          <cell r="Y6"/>
          <cell r="Z6"/>
          <cell r="AA6"/>
          <cell r="AB6"/>
          <cell r="AC6"/>
          <cell r="AD6" t="e">
            <v>#REF!</v>
          </cell>
          <cell r="AE6"/>
          <cell r="AF6"/>
          <cell r="AG6"/>
          <cell r="AH6"/>
          <cell r="AI6">
            <v>2097434</v>
          </cell>
          <cell r="AJ6"/>
          <cell r="AK6"/>
          <cell r="AL6"/>
          <cell r="AM6"/>
          <cell r="AN6"/>
          <cell r="AO6"/>
          <cell r="AP6"/>
          <cell r="AQ6"/>
          <cell r="AR6"/>
          <cell r="AS6"/>
          <cell r="AT6" t="e">
            <v>#REF!</v>
          </cell>
          <cell r="AU6"/>
          <cell r="AV6"/>
          <cell r="AW6"/>
          <cell r="AX6"/>
          <cell r="AY6">
            <v>125981</v>
          </cell>
          <cell r="AZ6"/>
          <cell r="BA6"/>
          <cell r="BB6"/>
          <cell r="BC6"/>
          <cell r="BD6"/>
          <cell r="BE6" t="e">
            <v>#REF!</v>
          </cell>
          <cell r="BF6"/>
          <cell r="BG6"/>
          <cell r="BH6"/>
          <cell r="BI6"/>
          <cell r="BJ6">
            <v>1504282</v>
          </cell>
          <cell r="BK6"/>
          <cell r="BL6"/>
          <cell r="BM6"/>
          <cell r="BN6"/>
          <cell r="BO6"/>
          <cell r="BP6" t="e">
            <v>#REF!</v>
          </cell>
          <cell r="BQ6"/>
          <cell r="BR6"/>
          <cell r="BS6"/>
          <cell r="BT6"/>
          <cell r="BU6">
            <v>21049</v>
          </cell>
          <cell r="BV6"/>
          <cell r="BW6"/>
          <cell r="BX6"/>
          <cell r="BY6"/>
          <cell r="BZ6"/>
          <cell r="CA6" t="e">
            <v>#REF!</v>
          </cell>
          <cell r="CB6"/>
          <cell r="CC6"/>
          <cell r="CD6"/>
          <cell r="CE6"/>
          <cell r="CF6">
            <v>346985</v>
          </cell>
          <cell r="CG6"/>
          <cell r="CH6"/>
          <cell r="CI6"/>
          <cell r="CJ6"/>
          <cell r="CK6"/>
          <cell r="CL6"/>
          <cell r="CM6"/>
          <cell r="CN6"/>
          <cell r="CO6"/>
          <cell r="CP6"/>
          <cell r="CQ6" t="e">
            <v>#REF!</v>
          </cell>
          <cell r="CR6"/>
          <cell r="CS6"/>
          <cell r="CT6"/>
          <cell r="CU6"/>
          <cell r="CV6" t="str">
            <v>2</v>
          </cell>
          <cell r="CW6"/>
          <cell r="CX6"/>
          <cell r="CY6">
            <v>300203</v>
          </cell>
          <cell r="CZ6">
            <v>300205</v>
          </cell>
          <cell r="DA6">
            <v>300207</v>
          </cell>
          <cell r="DB6">
            <v>300209</v>
          </cell>
          <cell r="DC6">
            <v>300211</v>
          </cell>
          <cell r="DD6">
            <v>300213</v>
          </cell>
        </row>
        <row r="7">
          <cell r="B7" t="str">
            <v>3</v>
          </cell>
          <cell r="C7"/>
          <cell r="D7" t="str">
            <v>Commissions &amp; Incentives</v>
          </cell>
          <cell r="E7"/>
          <cell r="F7"/>
          <cell r="G7"/>
          <cell r="H7"/>
          <cell r="I7"/>
          <cell r="J7"/>
          <cell r="K7"/>
          <cell r="L7"/>
          <cell r="M7"/>
          <cell r="N7"/>
          <cell r="O7"/>
          <cell r="P7"/>
          <cell r="Q7"/>
          <cell r="R7" t="str">
            <v>0100</v>
          </cell>
          <cell r="S7">
            <v>29237</v>
          </cell>
          <cell r="T7"/>
          <cell r="U7"/>
          <cell r="V7"/>
          <cell r="W7"/>
          <cell r="X7"/>
          <cell r="Y7"/>
          <cell r="Z7"/>
          <cell r="AA7"/>
          <cell r="AB7"/>
          <cell r="AC7"/>
          <cell r="AD7" t="e">
            <v>#REF!</v>
          </cell>
          <cell r="AE7"/>
          <cell r="AF7"/>
          <cell r="AG7"/>
          <cell r="AH7"/>
          <cell r="AI7">
            <v>349742</v>
          </cell>
          <cell r="AJ7"/>
          <cell r="AK7"/>
          <cell r="AL7"/>
          <cell r="AM7"/>
          <cell r="AN7"/>
          <cell r="AO7"/>
          <cell r="AP7"/>
          <cell r="AQ7"/>
          <cell r="AR7"/>
          <cell r="AS7"/>
          <cell r="AT7" t="e">
            <v>#REF!</v>
          </cell>
          <cell r="AU7"/>
          <cell r="AV7"/>
          <cell r="AW7"/>
          <cell r="AX7"/>
          <cell r="AY7">
            <v>12860</v>
          </cell>
          <cell r="AZ7"/>
          <cell r="BA7"/>
          <cell r="BB7"/>
          <cell r="BC7"/>
          <cell r="BD7"/>
          <cell r="BE7" t="e">
            <v>#REF!</v>
          </cell>
          <cell r="BF7"/>
          <cell r="BG7"/>
          <cell r="BH7"/>
          <cell r="BI7"/>
          <cell r="BJ7">
            <v>108645</v>
          </cell>
          <cell r="BK7"/>
          <cell r="BL7"/>
          <cell r="BM7"/>
          <cell r="BN7"/>
          <cell r="BO7"/>
          <cell r="BP7" t="e">
            <v>#REF!</v>
          </cell>
          <cell r="BQ7"/>
          <cell r="BR7"/>
          <cell r="BS7"/>
          <cell r="BT7"/>
          <cell r="BU7">
            <v>0</v>
          </cell>
          <cell r="BV7"/>
          <cell r="BW7"/>
          <cell r="BX7"/>
          <cell r="BY7"/>
          <cell r="BZ7"/>
          <cell r="CA7" t="e">
            <v>#REF!</v>
          </cell>
          <cell r="CB7"/>
          <cell r="CC7"/>
          <cell r="CD7"/>
          <cell r="CE7"/>
          <cell r="CF7">
            <v>0</v>
          </cell>
          <cell r="CG7"/>
          <cell r="CH7"/>
          <cell r="CI7"/>
          <cell r="CJ7"/>
          <cell r="CK7"/>
          <cell r="CL7"/>
          <cell r="CM7"/>
          <cell r="CN7"/>
          <cell r="CO7"/>
          <cell r="CP7"/>
          <cell r="CQ7" t="e">
            <v>#REF!</v>
          </cell>
          <cell r="CR7"/>
          <cell r="CS7"/>
          <cell r="CT7"/>
          <cell r="CU7"/>
          <cell r="CV7" t="str">
            <v>3</v>
          </cell>
          <cell r="CW7"/>
          <cell r="CX7"/>
          <cell r="CY7">
            <v>300303</v>
          </cell>
          <cell r="CZ7">
            <v>300305</v>
          </cell>
          <cell r="DA7">
            <v>300307</v>
          </cell>
          <cell r="DB7">
            <v>300309</v>
          </cell>
          <cell r="DC7">
            <v>300311</v>
          </cell>
          <cell r="DD7">
            <v>300313</v>
          </cell>
        </row>
        <row r="8">
          <cell r="B8" t="str">
            <v>4</v>
          </cell>
          <cell r="C8"/>
          <cell r="D8" t="str">
            <v>Salaries - Salespeople</v>
          </cell>
          <cell r="E8"/>
          <cell r="F8"/>
          <cell r="G8"/>
          <cell r="H8"/>
          <cell r="I8"/>
          <cell r="J8"/>
          <cell r="K8"/>
          <cell r="L8"/>
          <cell r="M8"/>
          <cell r="N8"/>
          <cell r="O8"/>
          <cell r="P8"/>
          <cell r="Q8"/>
          <cell r="R8" t="str">
            <v>0280</v>
          </cell>
          <cell r="S8">
            <v>0</v>
          </cell>
          <cell r="T8"/>
          <cell r="U8"/>
          <cell r="V8"/>
          <cell r="W8"/>
          <cell r="X8"/>
          <cell r="Y8"/>
          <cell r="Z8"/>
          <cell r="AA8"/>
          <cell r="AB8"/>
          <cell r="AC8"/>
          <cell r="AD8" t="e">
            <v>#REF!</v>
          </cell>
          <cell r="AE8"/>
          <cell r="AF8"/>
          <cell r="AG8"/>
          <cell r="AH8"/>
          <cell r="AI8">
            <v>0</v>
          </cell>
          <cell r="AJ8"/>
          <cell r="AK8"/>
          <cell r="AL8"/>
          <cell r="AM8"/>
          <cell r="AN8"/>
          <cell r="AO8"/>
          <cell r="AP8"/>
          <cell r="AQ8"/>
          <cell r="AR8"/>
          <cell r="AS8"/>
          <cell r="AT8" t="e">
            <v>#REF!</v>
          </cell>
          <cell r="AU8"/>
          <cell r="AV8"/>
          <cell r="AW8"/>
          <cell r="AX8"/>
          <cell r="AY8">
            <v>0</v>
          </cell>
          <cell r="AZ8"/>
          <cell r="BA8"/>
          <cell r="BB8"/>
          <cell r="BC8"/>
          <cell r="BD8"/>
          <cell r="BE8" t="e">
            <v>#REF!</v>
          </cell>
          <cell r="BF8"/>
          <cell r="BG8"/>
          <cell r="BH8"/>
          <cell r="BI8"/>
          <cell r="BJ8">
            <v>0</v>
          </cell>
          <cell r="BK8"/>
          <cell r="BL8"/>
          <cell r="BM8"/>
          <cell r="BN8"/>
          <cell r="BO8"/>
          <cell r="BP8" t="e">
            <v>#REF!</v>
          </cell>
          <cell r="BQ8"/>
          <cell r="BR8"/>
          <cell r="BS8"/>
          <cell r="BT8"/>
          <cell r="BU8">
            <v>0</v>
          </cell>
          <cell r="BV8"/>
          <cell r="BW8"/>
          <cell r="BX8"/>
          <cell r="BY8"/>
          <cell r="BZ8"/>
          <cell r="CA8" t="e">
            <v>#REF!</v>
          </cell>
          <cell r="CB8"/>
          <cell r="CC8"/>
          <cell r="CD8"/>
          <cell r="CE8"/>
          <cell r="CF8">
            <v>0</v>
          </cell>
          <cell r="CG8"/>
          <cell r="CH8"/>
          <cell r="CI8"/>
          <cell r="CJ8"/>
          <cell r="CK8"/>
          <cell r="CL8"/>
          <cell r="CM8"/>
          <cell r="CN8"/>
          <cell r="CO8"/>
          <cell r="CP8"/>
          <cell r="CQ8" t="e">
            <v>#REF!</v>
          </cell>
          <cell r="CR8"/>
          <cell r="CS8"/>
          <cell r="CT8"/>
          <cell r="CU8"/>
          <cell r="CV8" t="str">
            <v>4</v>
          </cell>
          <cell r="CW8"/>
          <cell r="CX8"/>
          <cell r="CY8">
            <v>300403</v>
          </cell>
          <cell r="CZ8">
            <v>300405</v>
          </cell>
          <cell r="DA8">
            <v>300407</v>
          </cell>
          <cell r="DB8">
            <v>300409</v>
          </cell>
          <cell r="DC8">
            <v>300411</v>
          </cell>
          <cell r="DD8">
            <v>300413</v>
          </cell>
        </row>
        <row r="9">
          <cell r="B9" t="str">
            <v>5</v>
          </cell>
          <cell r="C9"/>
          <cell r="D9" t="str">
            <v>F &amp; I Commissions &amp; Incentives</v>
          </cell>
          <cell r="E9"/>
          <cell r="F9"/>
          <cell r="G9"/>
          <cell r="H9"/>
          <cell r="I9"/>
          <cell r="J9"/>
          <cell r="K9"/>
          <cell r="L9"/>
          <cell r="M9"/>
          <cell r="N9"/>
          <cell r="O9"/>
          <cell r="P9"/>
          <cell r="Q9"/>
          <cell r="R9" t="str">
            <v>0090</v>
          </cell>
          <cell r="S9"/>
          <cell r="T9"/>
          <cell r="U9"/>
          <cell r="V9"/>
          <cell r="W9"/>
          <cell r="X9"/>
          <cell r="Y9"/>
          <cell r="Z9"/>
          <cell r="AA9"/>
          <cell r="AB9"/>
          <cell r="AC9"/>
          <cell r="AD9"/>
          <cell r="AE9"/>
          <cell r="AF9"/>
          <cell r="AG9"/>
          <cell r="AH9"/>
          <cell r="AI9"/>
          <cell r="AJ9"/>
          <cell r="AK9"/>
          <cell r="AL9"/>
          <cell r="AM9"/>
          <cell r="AN9"/>
          <cell r="AO9"/>
          <cell r="AP9"/>
          <cell r="AQ9"/>
          <cell r="AR9"/>
          <cell r="AS9"/>
          <cell r="AT9"/>
          <cell r="AU9"/>
          <cell r="AV9"/>
          <cell r="AW9"/>
          <cell r="AX9"/>
          <cell r="AY9"/>
          <cell r="AZ9"/>
          <cell r="BA9"/>
          <cell r="BB9"/>
          <cell r="BC9"/>
          <cell r="BD9"/>
          <cell r="BE9"/>
          <cell r="BF9"/>
          <cell r="BG9"/>
          <cell r="BH9"/>
          <cell r="BI9"/>
          <cell r="BJ9"/>
          <cell r="BK9"/>
          <cell r="BL9"/>
          <cell r="BM9"/>
          <cell r="BN9"/>
          <cell r="BO9"/>
          <cell r="BP9"/>
          <cell r="BQ9"/>
          <cell r="BR9"/>
          <cell r="BS9"/>
          <cell r="BT9"/>
          <cell r="BU9"/>
          <cell r="BV9"/>
          <cell r="BW9"/>
          <cell r="BX9"/>
          <cell r="BY9"/>
          <cell r="BZ9"/>
          <cell r="CA9"/>
          <cell r="CB9"/>
          <cell r="CC9"/>
          <cell r="CD9"/>
          <cell r="CE9"/>
          <cell r="CF9"/>
          <cell r="CG9"/>
          <cell r="CH9"/>
          <cell r="CI9"/>
          <cell r="CJ9"/>
          <cell r="CK9"/>
          <cell r="CL9"/>
          <cell r="CM9"/>
          <cell r="CN9"/>
          <cell r="CO9"/>
          <cell r="CP9"/>
          <cell r="CQ9" t="e">
            <v>#REF!</v>
          </cell>
          <cell r="CR9"/>
          <cell r="CS9"/>
          <cell r="CT9"/>
          <cell r="CU9"/>
          <cell r="CV9" t="str">
            <v>5</v>
          </cell>
          <cell r="CW9"/>
          <cell r="CX9"/>
          <cell r="CY9">
            <v>300503</v>
          </cell>
          <cell r="CZ9">
            <v>300505</v>
          </cell>
          <cell r="DA9">
            <v>300507</v>
          </cell>
          <cell r="DB9">
            <v>300509</v>
          </cell>
          <cell r="DC9">
            <v>300511</v>
          </cell>
          <cell r="DD9">
            <v>300513</v>
          </cell>
        </row>
        <row r="10">
          <cell r="B10" t="str">
            <v>6</v>
          </cell>
          <cell r="C10"/>
          <cell r="D10" t="str">
            <v>Delivery Expense</v>
          </cell>
          <cell r="E10"/>
          <cell r="F10"/>
          <cell r="G10"/>
          <cell r="H10"/>
          <cell r="I10"/>
          <cell r="J10"/>
          <cell r="K10"/>
          <cell r="L10"/>
          <cell r="M10"/>
          <cell r="N10"/>
          <cell r="O10"/>
          <cell r="P10"/>
          <cell r="Q10"/>
          <cell r="R10" t="str">
            <v>0110</v>
          </cell>
          <cell r="S10"/>
          <cell r="T10"/>
          <cell r="U10"/>
          <cell r="V10"/>
          <cell r="W10"/>
          <cell r="X10"/>
          <cell r="Y10"/>
          <cell r="Z10"/>
          <cell r="AA10"/>
          <cell r="AB10"/>
          <cell r="AC10"/>
          <cell r="AD10"/>
          <cell r="AE10"/>
          <cell r="AF10"/>
          <cell r="AG10"/>
          <cell r="AH10"/>
          <cell r="AI10"/>
          <cell r="AJ10"/>
          <cell r="AK10"/>
          <cell r="AL10"/>
          <cell r="AM10"/>
          <cell r="AN10"/>
          <cell r="AO10"/>
          <cell r="AP10"/>
          <cell r="AQ10"/>
          <cell r="AR10"/>
          <cell r="AS10"/>
          <cell r="AT10"/>
          <cell r="AU10"/>
          <cell r="AV10"/>
          <cell r="AW10"/>
          <cell r="AX10"/>
          <cell r="AY10"/>
          <cell r="AZ10"/>
          <cell r="BA10"/>
          <cell r="BB10"/>
          <cell r="BC10"/>
          <cell r="BD10"/>
          <cell r="BE10"/>
          <cell r="BF10"/>
          <cell r="BG10"/>
          <cell r="BH10"/>
          <cell r="BI10"/>
          <cell r="BJ10"/>
          <cell r="BK10"/>
          <cell r="BL10"/>
          <cell r="BM10"/>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t="e">
            <v>#REF!</v>
          </cell>
          <cell r="CR10"/>
          <cell r="CS10"/>
          <cell r="CT10"/>
          <cell r="CU10"/>
          <cell r="CV10" t="str">
            <v>6</v>
          </cell>
          <cell r="CW10"/>
          <cell r="CX10"/>
          <cell r="CY10">
            <v>300603</v>
          </cell>
          <cell r="CZ10">
            <v>300605</v>
          </cell>
          <cell r="DA10">
            <v>300607</v>
          </cell>
          <cell r="DB10">
            <v>300609</v>
          </cell>
          <cell r="DC10">
            <v>300611</v>
          </cell>
          <cell r="DD10">
            <v>300613</v>
          </cell>
        </row>
        <row r="11">
          <cell r="B11" t="str">
            <v>7</v>
          </cell>
          <cell r="C11"/>
          <cell r="D11" t="str">
            <v>Policy Adjustment</v>
          </cell>
          <cell r="E11"/>
          <cell r="F11"/>
          <cell r="G11"/>
          <cell r="H11"/>
          <cell r="I11"/>
          <cell r="J11"/>
          <cell r="K11"/>
          <cell r="L11"/>
          <cell r="M11"/>
          <cell r="N11"/>
          <cell r="O11"/>
          <cell r="P11"/>
          <cell r="Q11"/>
          <cell r="R11" t="str">
            <v>0130</v>
          </cell>
          <cell r="S11">
            <v>7555</v>
          </cell>
          <cell r="T11"/>
          <cell r="U11"/>
          <cell r="V11"/>
          <cell r="W11"/>
          <cell r="X11"/>
          <cell r="Y11"/>
          <cell r="Z11"/>
          <cell r="AA11"/>
          <cell r="AB11"/>
          <cell r="AC11"/>
          <cell r="AD11" t="e">
            <v>#REF!</v>
          </cell>
          <cell r="AE11"/>
          <cell r="AF11"/>
          <cell r="AG11"/>
          <cell r="AH11"/>
          <cell r="AI11">
            <v>72277</v>
          </cell>
          <cell r="AJ11"/>
          <cell r="AK11"/>
          <cell r="AL11"/>
          <cell r="AM11"/>
          <cell r="AN11"/>
          <cell r="AO11"/>
          <cell r="AP11"/>
          <cell r="AQ11"/>
          <cell r="AR11"/>
          <cell r="AS11"/>
          <cell r="AT11" t="e">
            <v>#REF!</v>
          </cell>
          <cell r="AU11"/>
          <cell r="AV11"/>
          <cell r="AW11"/>
          <cell r="AX11"/>
          <cell r="AY11">
            <v>645</v>
          </cell>
          <cell r="AZ11"/>
          <cell r="BA11"/>
          <cell r="BB11"/>
          <cell r="BC11"/>
          <cell r="BD11"/>
          <cell r="BE11" t="e">
            <v>#REF!</v>
          </cell>
          <cell r="BF11"/>
          <cell r="BG11"/>
          <cell r="BH11"/>
          <cell r="BI11"/>
          <cell r="BJ11">
            <v>1957</v>
          </cell>
          <cell r="BK11"/>
          <cell r="BL11"/>
          <cell r="BM11"/>
          <cell r="BN11"/>
          <cell r="BO11"/>
          <cell r="BP11" t="e">
            <v>#REF!</v>
          </cell>
          <cell r="BQ11"/>
          <cell r="BR11"/>
          <cell r="BS11"/>
          <cell r="BT11"/>
          <cell r="BU11">
            <v>138</v>
          </cell>
          <cell r="BV11"/>
          <cell r="BW11"/>
          <cell r="BX11"/>
          <cell r="BY11"/>
          <cell r="BZ11"/>
          <cell r="CA11" t="e">
            <v>#REF!</v>
          </cell>
          <cell r="CB11"/>
          <cell r="CC11"/>
          <cell r="CD11"/>
          <cell r="CE11"/>
          <cell r="CF11">
            <v>37848</v>
          </cell>
          <cell r="CG11"/>
          <cell r="CH11"/>
          <cell r="CI11"/>
          <cell r="CJ11"/>
          <cell r="CK11"/>
          <cell r="CL11"/>
          <cell r="CM11"/>
          <cell r="CN11"/>
          <cell r="CO11"/>
          <cell r="CP11"/>
          <cell r="CQ11" t="e">
            <v>#REF!</v>
          </cell>
          <cell r="CR11"/>
          <cell r="CS11"/>
          <cell r="CT11"/>
          <cell r="CU11"/>
          <cell r="CV11" t="str">
            <v>7</v>
          </cell>
          <cell r="CW11"/>
          <cell r="CX11"/>
          <cell r="CY11">
            <v>300703</v>
          </cell>
          <cell r="CZ11">
            <v>300705</v>
          </cell>
          <cell r="DA11">
            <v>300707</v>
          </cell>
          <cell r="DB11">
            <v>300709</v>
          </cell>
          <cell r="DC11">
            <v>300711</v>
          </cell>
          <cell r="DD11">
            <v>300713</v>
          </cell>
        </row>
        <row r="12">
          <cell r="B12" t="str">
            <v>8</v>
          </cell>
          <cell r="C12"/>
          <cell r="D12" t="str">
            <v>Demonstration</v>
          </cell>
          <cell r="E12"/>
          <cell r="F12"/>
          <cell r="G12"/>
          <cell r="H12"/>
          <cell r="I12"/>
          <cell r="J12"/>
          <cell r="K12"/>
          <cell r="L12"/>
          <cell r="M12"/>
          <cell r="N12"/>
          <cell r="O12"/>
          <cell r="P12"/>
          <cell r="Q12"/>
          <cell r="R12" t="str">
            <v>0140</v>
          </cell>
          <cell r="S12"/>
          <cell r="T12"/>
          <cell r="U12"/>
          <cell r="V12"/>
          <cell r="W12"/>
          <cell r="X12"/>
          <cell r="Y12"/>
          <cell r="Z12"/>
          <cell r="AA12"/>
          <cell r="AB12"/>
          <cell r="AC12"/>
          <cell r="AD12"/>
          <cell r="AE12"/>
          <cell r="AF12"/>
          <cell r="AG12"/>
          <cell r="AH12"/>
          <cell r="AI12"/>
          <cell r="AJ12"/>
          <cell r="AK12"/>
          <cell r="AL12"/>
          <cell r="AM12"/>
          <cell r="AN12"/>
          <cell r="AO12"/>
          <cell r="AP12"/>
          <cell r="AQ12"/>
          <cell r="AR12"/>
          <cell r="AS12"/>
          <cell r="AT12"/>
          <cell r="AU12"/>
          <cell r="AV12"/>
          <cell r="AW12"/>
          <cell r="AX12"/>
          <cell r="AY12"/>
          <cell r="AZ12"/>
          <cell r="BA12"/>
          <cell r="BB12"/>
          <cell r="BC12"/>
          <cell r="BD12"/>
          <cell r="BE12"/>
          <cell r="BF12"/>
          <cell r="BG12"/>
          <cell r="BH12"/>
          <cell r="BI12"/>
          <cell r="BJ12"/>
          <cell r="BK12"/>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t="e">
            <v>#REF!</v>
          </cell>
          <cell r="CR12"/>
          <cell r="CS12"/>
          <cell r="CT12"/>
          <cell r="CU12"/>
          <cell r="CV12" t="str">
            <v>8</v>
          </cell>
          <cell r="CW12"/>
          <cell r="CX12"/>
          <cell r="CY12">
            <v>300803</v>
          </cell>
          <cell r="CZ12">
            <v>300805</v>
          </cell>
          <cell r="DA12">
            <v>300807</v>
          </cell>
          <cell r="DB12">
            <v>300809</v>
          </cell>
          <cell r="DC12">
            <v>300811</v>
          </cell>
          <cell r="DD12">
            <v>300813</v>
          </cell>
        </row>
        <row r="13">
          <cell r="B13" t="str">
            <v>9</v>
          </cell>
          <cell r="C13"/>
          <cell r="D13" t="str">
            <v>Advertising</v>
          </cell>
          <cell r="E13"/>
          <cell r="F13"/>
          <cell r="G13"/>
          <cell r="H13"/>
          <cell r="I13"/>
          <cell r="J13"/>
          <cell r="K13"/>
          <cell r="L13"/>
          <cell r="M13"/>
          <cell r="N13"/>
          <cell r="O13"/>
          <cell r="P13"/>
          <cell r="Q13"/>
          <cell r="R13" t="str">
            <v>0150</v>
          </cell>
          <cell r="S13">
            <v>0</v>
          </cell>
          <cell r="T13"/>
          <cell r="U13"/>
          <cell r="V13"/>
          <cell r="W13"/>
          <cell r="X13"/>
          <cell r="Y13"/>
          <cell r="Z13"/>
          <cell r="AA13"/>
          <cell r="AB13"/>
          <cell r="AC13"/>
          <cell r="AD13" t="e">
            <v>#REF!</v>
          </cell>
          <cell r="AE13"/>
          <cell r="AF13"/>
          <cell r="AG13"/>
          <cell r="AH13"/>
          <cell r="AI13">
            <v>0</v>
          </cell>
          <cell r="AJ13"/>
          <cell r="AK13"/>
          <cell r="AL13"/>
          <cell r="AM13"/>
          <cell r="AN13"/>
          <cell r="AO13"/>
          <cell r="AP13"/>
          <cell r="AQ13"/>
          <cell r="AR13"/>
          <cell r="AS13"/>
          <cell r="AT13" t="e">
            <v>#REF!</v>
          </cell>
          <cell r="AU13"/>
          <cell r="AV13"/>
          <cell r="AW13"/>
          <cell r="AX13"/>
          <cell r="AY13">
            <v>0</v>
          </cell>
          <cell r="AZ13"/>
          <cell r="BA13"/>
          <cell r="BB13"/>
          <cell r="BC13"/>
          <cell r="BD13"/>
          <cell r="BE13" t="e">
            <v>#REF!</v>
          </cell>
          <cell r="BF13"/>
          <cell r="BG13"/>
          <cell r="BH13"/>
          <cell r="BI13"/>
          <cell r="BJ13">
            <v>0</v>
          </cell>
          <cell r="BK13"/>
          <cell r="BL13"/>
          <cell r="BM13"/>
          <cell r="BN13"/>
          <cell r="BO13"/>
          <cell r="BP13" t="e">
            <v>#REF!</v>
          </cell>
          <cell r="BQ13"/>
          <cell r="BR13"/>
          <cell r="BS13"/>
          <cell r="BT13"/>
          <cell r="BU13">
            <v>0</v>
          </cell>
          <cell r="BV13"/>
          <cell r="BW13"/>
          <cell r="BX13"/>
          <cell r="BY13"/>
          <cell r="BZ13"/>
          <cell r="CA13" t="e">
            <v>#REF!</v>
          </cell>
          <cell r="CB13"/>
          <cell r="CC13"/>
          <cell r="CD13"/>
          <cell r="CE13"/>
          <cell r="CF13">
            <v>0</v>
          </cell>
          <cell r="CG13"/>
          <cell r="CH13"/>
          <cell r="CI13"/>
          <cell r="CJ13"/>
          <cell r="CK13"/>
          <cell r="CL13"/>
          <cell r="CM13"/>
          <cell r="CN13"/>
          <cell r="CO13"/>
          <cell r="CP13"/>
          <cell r="CQ13" t="e">
            <v>#REF!</v>
          </cell>
          <cell r="CR13"/>
          <cell r="CS13"/>
          <cell r="CT13"/>
          <cell r="CU13"/>
          <cell r="CV13" t="str">
            <v>9</v>
          </cell>
          <cell r="CW13"/>
          <cell r="CX13"/>
          <cell r="CY13">
            <v>300903</v>
          </cell>
          <cell r="CZ13">
            <v>300905</v>
          </cell>
          <cell r="DA13">
            <v>300907</v>
          </cell>
          <cell r="DB13">
            <v>300909</v>
          </cell>
          <cell r="DC13">
            <v>300911</v>
          </cell>
          <cell r="DD13">
            <v>300913</v>
          </cell>
        </row>
        <row r="14">
          <cell r="B14" t="str">
            <v>10</v>
          </cell>
          <cell r="C14"/>
          <cell r="D14" t="str">
            <v>LESS Advertising Reimbursement / Allowances</v>
          </cell>
          <cell r="E14"/>
          <cell r="F14"/>
          <cell r="G14"/>
          <cell r="H14"/>
          <cell r="I14"/>
          <cell r="J14"/>
          <cell r="K14"/>
          <cell r="L14"/>
          <cell r="M14"/>
          <cell r="N14"/>
          <cell r="O14"/>
          <cell r="P14"/>
          <cell r="Q14"/>
          <cell r="R14" t="str">
            <v>0170</v>
          </cell>
          <cell r="S14">
            <v>0</v>
          </cell>
          <cell r="T14"/>
          <cell r="U14"/>
          <cell r="V14"/>
          <cell r="W14"/>
          <cell r="X14"/>
          <cell r="Y14"/>
          <cell r="Z14"/>
          <cell r="AA14"/>
          <cell r="AB14"/>
          <cell r="AC14"/>
          <cell r="AD14" t="e">
            <v>#REF!</v>
          </cell>
          <cell r="AE14"/>
          <cell r="AF14"/>
          <cell r="AG14"/>
          <cell r="AH14"/>
          <cell r="AI14">
            <v>0</v>
          </cell>
          <cell r="AJ14"/>
          <cell r="AK14"/>
          <cell r="AL14"/>
          <cell r="AM14"/>
          <cell r="AN14"/>
          <cell r="AO14"/>
          <cell r="AP14"/>
          <cell r="AQ14"/>
          <cell r="AR14"/>
          <cell r="AS14"/>
          <cell r="AT14" t="e">
            <v>#REF!</v>
          </cell>
          <cell r="AU14"/>
          <cell r="AV14"/>
          <cell r="AW14"/>
          <cell r="AX14"/>
          <cell r="AY14">
            <v>0</v>
          </cell>
          <cell r="AZ14"/>
          <cell r="BA14"/>
          <cell r="BB14"/>
          <cell r="BC14"/>
          <cell r="BD14"/>
          <cell r="BE14" t="e">
            <v>#REF!</v>
          </cell>
          <cell r="BF14"/>
          <cell r="BG14"/>
          <cell r="BH14"/>
          <cell r="BI14"/>
          <cell r="BJ14">
            <v>0</v>
          </cell>
          <cell r="BK14"/>
          <cell r="BL14"/>
          <cell r="BM14"/>
          <cell r="BN14"/>
          <cell r="BO14"/>
          <cell r="BP14" t="e">
            <v>#REF!</v>
          </cell>
          <cell r="BQ14"/>
          <cell r="BR14"/>
          <cell r="BS14"/>
          <cell r="BT14"/>
          <cell r="BU14">
            <v>0</v>
          </cell>
          <cell r="BV14"/>
          <cell r="BW14"/>
          <cell r="BX14"/>
          <cell r="BY14"/>
          <cell r="BZ14"/>
          <cell r="CA14" t="e">
            <v>#REF!</v>
          </cell>
          <cell r="CB14"/>
          <cell r="CC14"/>
          <cell r="CD14"/>
          <cell r="CE14"/>
          <cell r="CF14">
            <v>0</v>
          </cell>
          <cell r="CG14"/>
          <cell r="CH14"/>
          <cell r="CI14"/>
          <cell r="CJ14"/>
          <cell r="CK14"/>
          <cell r="CL14"/>
          <cell r="CM14"/>
          <cell r="CN14"/>
          <cell r="CO14"/>
          <cell r="CP14"/>
          <cell r="CQ14" t="e">
            <v>#REF!</v>
          </cell>
          <cell r="CR14"/>
          <cell r="CS14"/>
          <cell r="CT14"/>
          <cell r="CU14"/>
          <cell r="CV14" t="str">
            <v>10</v>
          </cell>
          <cell r="CW14"/>
          <cell r="CX14"/>
          <cell r="CY14">
            <v>301003</v>
          </cell>
          <cell r="CZ14">
            <v>301005</v>
          </cell>
          <cell r="DA14">
            <v>301007</v>
          </cell>
          <cell r="DB14">
            <v>301009</v>
          </cell>
          <cell r="DC14">
            <v>301011</v>
          </cell>
          <cell r="DD14">
            <v>301013</v>
          </cell>
        </row>
        <row r="15">
          <cell r="B15" t="str">
            <v>11</v>
          </cell>
          <cell r="C15"/>
          <cell r="D15" t="str">
            <v>Interest - Floor Plan - Vehicles</v>
          </cell>
          <cell r="E15"/>
          <cell r="F15"/>
          <cell r="G15"/>
          <cell r="H15"/>
          <cell r="I15"/>
          <cell r="J15"/>
          <cell r="K15"/>
          <cell r="L15"/>
          <cell r="M15"/>
          <cell r="N15"/>
          <cell r="O15"/>
          <cell r="P15"/>
          <cell r="Q15"/>
          <cell r="R15" t="str">
            <v>0160</v>
          </cell>
          <cell r="S15"/>
          <cell r="T15"/>
          <cell r="U15"/>
          <cell r="V15"/>
          <cell r="W15"/>
          <cell r="X15"/>
          <cell r="Y15"/>
          <cell r="Z15"/>
          <cell r="AA15"/>
          <cell r="AB15"/>
          <cell r="AC15"/>
          <cell r="AD15"/>
          <cell r="AE15"/>
          <cell r="AF15"/>
          <cell r="AG15"/>
          <cell r="AH15"/>
          <cell r="AI15"/>
          <cell r="AJ15"/>
          <cell r="AK15"/>
          <cell r="AL15"/>
          <cell r="AM15"/>
          <cell r="AN15"/>
          <cell r="AO15"/>
          <cell r="AP15"/>
          <cell r="AQ15"/>
          <cell r="AR15"/>
          <cell r="AS15"/>
          <cell r="AT15"/>
          <cell r="AU15"/>
          <cell r="AV15"/>
          <cell r="AW15"/>
          <cell r="AX15"/>
          <cell r="AY15"/>
          <cell r="AZ15"/>
          <cell r="BA15"/>
          <cell r="BB15"/>
          <cell r="BC15"/>
          <cell r="BD15"/>
          <cell r="BE15"/>
          <cell r="BF15"/>
          <cell r="BG15"/>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t="e">
            <v>#REF!</v>
          </cell>
          <cell r="CR15"/>
          <cell r="CS15"/>
          <cell r="CT15"/>
          <cell r="CU15"/>
          <cell r="CV15" t="str">
            <v>11</v>
          </cell>
          <cell r="CW15"/>
          <cell r="CX15"/>
          <cell r="CY15">
            <v>301103</v>
          </cell>
          <cell r="CZ15">
            <v>301105</v>
          </cell>
          <cell r="DA15">
            <v>301107</v>
          </cell>
          <cell r="DB15">
            <v>301109</v>
          </cell>
          <cell r="DC15">
            <v>301111</v>
          </cell>
          <cell r="DD15">
            <v>301113</v>
          </cell>
        </row>
        <row r="16">
          <cell r="B16" t="str">
            <v>12</v>
          </cell>
          <cell r="C16"/>
          <cell r="D16" t="str">
            <v>LESS Floor Plan Assistance</v>
          </cell>
          <cell r="E16"/>
          <cell r="F16"/>
          <cell r="G16"/>
          <cell r="H16"/>
          <cell r="I16"/>
          <cell r="J16"/>
          <cell r="K16"/>
          <cell r="L16"/>
          <cell r="M16"/>
          <cell r="N16"/>
          <cell r="O16"/>
          <cell r="P16"/>
          <cell r="Q16"/>
          <cell r="R16" t="str">
            <v>0180</v>
          </cell>
          <cell r="S16"/>
          <cell r="T16"/>
          <cell r="U16"/>
          <cell r="V16"/>
          <cell r="W16"/>
          <cell r="X16"/>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cell r="BE16"/>
          <cell r="BF16"/>
          <cell r="BG16"/>
          <cell r="BH16"/>
          <cell r="BI16"/>
          <cell r="BJ16"/>
          <cell r="BK16"/>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t="e">
            <v>#REF!</v>
          </cell>
          <cell r="CR16"/>
          <cell r="CS16"/>
          <cell r="CT16"/>
          <cell r="CU16"/>
          <cell r="CV16" t="str">
            <v>12</v>
          </cell>
          <cell r="CW16"/>
          <cell r="CX16"/>
          <cell r="CY16">
            <v>301203</v>
          </cell>
          <cell r="CZ16">
            <v>301205</v>
          </cell>
          <cell r="DA16">
            <v>301207</v>
          </cell>
          <cell r="DB16">
            <v>301209</v>
          </cell>
          <cell r="DC16">
            <v>301211</v>
          </cell>
          <cell r="DD16">
            <v>301213</v>
          </cell>
        </row>
        <row r="17">
          <cell r="B17" t="str">
            <v>13</v>
          </cell>
          <cell r="C17"/>
          <cell r="D17" t="str">
            <v>Vehicle Maintenance</v>
          </cell>
          <cell r="E17"/>
          <cell r="F17"/>
          <cell r="G17"/>
          <cell r="H17"/>
          <cell r="I17"/>
          <cell r="J17"/>
          <cell r="K17"/>
          <cell r="L17"/>
          <cell r="M17"/>
          <cell r="N17"/>
          <cell r="O17"/>
          <cell r="P17"/>
          <cell r="Q17"/>
          <cell r="R17" t="str">
            <v>0190</v>
          </cell>
          <cell r="S17"/>
          <cell r="T17"/>
          <cell r="U17"/>
          <cell r="V17"/>
          <cell r="W17"/>
          <cell r="X17"/>
          <cell r="Y17"/>
          <cell r="Z17"/>
          <cell r="AA17"/>
          <cell r="AB17"/>
          <cell r="AC17"/>
          <cell r="AD17"/>
          <cell r="AE17"/>
          <cell r="AF17"/>
          <cell r="AG17"/>
          <cell r="AH17"/>
          <cell r="AI17"/>
          <cell r="AJ17"/>
          <cell r="AK17"/>
          <cell r="AL17"/>
          <cell r="AM17"/>
          <cell r="AN17"/>
          <cell r="AO17"/>
          <cell r="AP17"/>
          <cell r="AQ17"/>
          <cell r="AR17"/>
          <cell r="AS17"/>
          <cell r="AT17"/>
          <cell r="AU17"/>
          <cell r="AV17"/>
          <cell r="AW17"/>
          <cell r="AX17"/>
          <cell r="AY17"/>
          <cell r="AZ17"/>
          <cell r="BA17"/>
          <cell r="BB17"/>
          <cell r="BC17"/>
          <cell r="BD17"/>
          <cell r="BE17"/>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t="e">
            <v>#REF!</v>
          </cell>
          <cell r="CR17"/>
          <cell r="CS17"/>
          <cell r="CT17"/>
          <cell r="CU17"/>
          <cell r="CV17" t="str">
            <v>13</v>
          </cell>
          <cell r="CW17"/>
          <cell r="CX17"/>
          <cell r="CY17">
            <v>301303</v>
          </cell>
          <cell r="CZ17">
            <v>301305</v>
          </cell>
          <cell r="DA17">
            <v>301307</v>
          </cell>
          <cell r="DB17">
            <v>301309</v>
          </cell>
          <cell r="DC17">
            <v>301311</v>
          </cell>
          <cell r="DD17">
            <v>301313</v>
          </cell>
        </row>
        <row r="18">
          <cell r="B18" t="str">
            <v>14</v>
          </cell>
          <cell r="C18"/>
          <cell r="D18" t="str">
            <v>TOTAL VARIABLE SELLING EXPENSE</v>
          </cell>
          <cell r="E18"/>
          <cell r="F18"/>
          <cell r="G18"/>
          <cell r="H18"/>
          <cell r="I18"/>
          <cell r="J18"/>
          <cell r="K18"/>
          <cell r="L18"/>
          <cell r="M18"/>
          <cell r="N18"/>
          <cell r="O18"/>
          <cell r="P18"/>
          <cell r="Q18" t="str">
            <v xml:space="preserve">(Lines 3 to 13) </v>
          </cell>
          <cell r="R18"/>
          <cell r="S18">
            <v>36792</v>
          </cell>
          <cell r="T18"/>
          <cell r="U18"/>
          <cell r="V18"/>
          <cell r="W18"/>
          <cell r="X18"/>
          <cell r="Y18"/>
          <cell r="Z18"/>
          <cell r="AA18"/>
          <cell r="AB18"/>
          <cell r="AC18"/>
          <cell r="AD18" t="e">
            <v>#REF!</v>
          </cell>
          <cell r="AE18"/>
          <cell r="AF18"/>
          <cell r="AG18"/>
          <cell r="AH18"/>
          <cell r="AI18">
            <v>422019</v>
          </cell>
          <cell r="AJ18"/>
          <cell r="AK18"/>
          <cell r="AL18"/>
          <cell r="AM18"/>
          <cell r="AN18"/>
          <cell r="AO18"/>
          <cell r="AP18"/>
          <cell r="AQ18"/>
          <cell r="AR18"/>
          <cell r="AS18"/>
          <cell r="AT18" t="e">
            <v>#REF!</v>
          </cell>
          <cell r="AU18"/>
          <cell r="AV18"/>
          <cell r="AW18"/>
          <cell r="AX18"/>
          <cell r="AY18">
            <v>13505</v>
          </cell>
          <cell r="AZ18"/>
          <cell r="BA18"/>
          <cell r="BB18"/>
          <cell r="BC18"/>
          <cell r="BD18"/>
          <cell r="BE18" t="e">
            <v>#REF!</v>
          </cell>
          <cell r="BF18"/>
          <cell r="BG18"/>
          <cell r="BH18"/>
          <cell r="BI18"/>
          <cell r="BJ18">
            <v>110602</v>
          </cell>
          <cell r="BK18"/>
          <cell r="BL18"/>
          <cell r="BM18"/>
          <cell r="BN18"/>
          <cell r="BO18"/>
          <cell r="BP18" t="e">
            <v>#REF!</v>
          </cell>
          <cell r="BQ18"/>
          <cell r="BR18"/>
          <cell r="BS18"/>
          <cell r="BT18"/>
          <cell r="BU18">
            <v>138</v>
          </cell>
          <cell r="BV18"/>
          <cell r="BW18"/>
          <cell r="BX18"/>
          <cell r="BY18"/>
          <cell r="BZ18"/>
          <cell r="CA18" t="e">
            <v>#REF!</v>
          </cell>
          <cell r="CB18"/>
          <cell r="CC18"/>
          <cell r="CD18"/>
          <cell r="CE18"/>
          <cell r="CF18">
            <v>37848</v>
          </cell>
          <cell r="CG18"/>
          <cell r="CH18"/>
          <cell r="CI18"/>
          <cell r="CJ18"/>
          <cell r="CK18"/>
          <cell r="CL18"/>
          <cell r="CM18"/>
          <cell r="CN18"/>
          <cell r="CO18"/>
          <cell r="CP18"/>
          <cell r="CQ18" t="e">
            <v>#REF!</v>
          </cell>
          <cell r="CR18"/>
          <cell r="CS18"/>
          <cell r="CT18"/>
          <cell r="CU18"/>
          <cell r="CV18" t="str">
            <v>14</v>
          </cell>
          <cell r="CW18"/>
          <cell r="CX18"/>
          <cell r="CY18">
            <v>301403</v>
          </cell>
          <cell r="CZ18">
            <v>301405</v>
          </cell>
          <cell r="DA18">
            <v>301407</v>
          </cell>
          <cell r="DB18">
            <v>301409</v>
          </cell>
          <cell r="DC18">
            <v>301411</v>
          </cell>
          <cell r="DD18">
            <v>301413</v>
          </cell>
        </row>
        <row r="19">
          <cell r="B19" t="str">
            <v>15</v>
          </cell>
          <cell r="C19"/>
          <cell r="D19" t="str">
            <v>Salaries - Owners</v>
          </cell>
          <cell r="E19"/>
          <cell r="F19"/>
          <cell r="G19"/>
          <cell r="H19"/>
          <cell r="I19"/>
          <cell r="J19"/>
          <cell r="K19"/>
          <cell r="L19"/>
          <cell r="M19"/>
          <cell r="N19"/>
          <cell r="O19"/>
          <cell r="P19"/>
          <cell r="Q19"/>
          <cell r="R19" t="str">
            <v>0200</v>
          </cell>
          <cell r="S19">
            <v>1200</v>
          </cell>
          <cell r="T19"/>
          <cell r="U19"/>
          <cell r="V19"/>
          <cell r="W19"/>
          <cell r="X19"/>
          <cell r="Y19"/>
          <cell r="Z19"/>
          <cell r="AA19"/>
          <cell r="AB19"/>
          <cell r="AC19"/>
          <cell r="AD19" t="e">
            <v>#REF!</v>
          </cell>
          <cell r="AE19"/>
          <cell r="AF19"/>
          <cell r="AG19"/>
          <cell r="AH19"/>
          <cell r="AI19">
            <v>11955</v>
          </cell>
          <cell r="AJ19"/>
          <cell r="AK19"/>
          <cell r="AL19"/>
          <cell r="AM19"/>
          <cell r="AN19"/>
          <cell r="AO19"/>
          <cell r="AP19"/>
          <cell r="AQ19"/>
          <cell r="AR19"/>
          <cell r="AS19"/>
          <cell r="AT19" t="e">
            <v>#REF!</v>
          </cell>
          <cell r="AU19"/>
          <cell r="AV19"/>
          <cell r="AW19"/>
          <cell r="AX19"/>
          <cell r="AY19">
            <v>700</v>
          </cell>
          <cell r="AZ19"/>
          <cell r="BA19"/>
          <cell r="BB19"/>
          <cell r="BC19"/>
          <cell r="BD19"/>
          <cell r="BE19" t="e">
            <v>#REF!</v>
          </cell>
          <cell r="BF19"/>
          <cell r="BG19"/>
          <cell r="BH19"/>
          <cell r="BI19"/>
          <cell r="BJ19">
            <v>7246</v>
          </cell>
          <cell r="BK19"/>
          <cell r="BL19"/>
          <cell r="BM19"/>
          <cell r="BN19"/>
          <cell r="BO19"/>
          <cell r="BP19" t="e">
            <v>#REF!</v>
          </cell>
          <cell r="BQ19"/>
          <cell r="BR19"/>
          <cell r="BS19"/>
          <cell r="BT19"/>
          <cell r="BU19">
            <v>450</v>
          </cell>
          <cell r="BV19"/>
          <cell r="BW19"/>
          <cell r="BX19"/>
          <cell r="BY19"/>
          <cell r="BZ19"/>
          <cell r="CA19" t="e">
            <v>#REF!</v>
          </cell>
          <cell r="CB19"/>
          <cell r="CC19"/>
          <cell r="CD19"/>
          <cell r="CE19"/>
          <cell r="CF19">
            <v>4191</v>
          </cell>
          <cell r="CG19"/>
          <cell r="CH19"/>
          <cell r="CI19"/>
          <cell r="CJ19"/>
          <cell r="CK19"/>
          <cell r="CL19"/>
          <cell r="CM19"/>
          <cell r="CN19"/>
          <cell r="CO19"/>
          <cell r="CP19"/>
          <cell r="CQ19" t="e">
            <v>#REF!</v>
          </cell>
          <cell r="CR19"/>
          <cell r="CS19"/>
          <cell r="CT19"/>
          <cell r="CU19"/>
          <cell r="CV19" t="str">
            <v>15</v>
          </cell>
          <cell r="CW19"/>
          <cell r="CX19"/>
          <cell r="CY19">
            <v>301503</v>
          </cell>
          <cell r="CZ19">
            <v>301505</v>
          </cell>
          <cell r="DA19">
            <v>301507</v>
          </cell>
          <cell r="DB19">
            <v>301509</v>
          </cell>
          <cell r="DC19">
            <v>301511</v>
          </cell>
          <cell r="DD19">
            <v>301513</v>
          </cell>
        </row>
        <row r="20">
          <cell r="B20" t="str">
            <v>16</v>
          </cell>
          <cell r="C20"/>
          <cell r="D20" t="str">
            <v>Salaries - Supervision</v>
          </cell>
          <cell r="E20"/>
          <cell r="F20"/>
          <cell r="G20"/>
          <cell r="H20"/>
          <cell r="I20"/>
          <cell r="J20"/>
          <cell r="K20"/>
          <cell r="L20"/>
          <cell r="M20"/>
          <cell r="N20"/>
          <cell r="O20"/>
          <cell r="P20"/>
          <cell r="Q20"/>
          <cell r="R20" t="str">
            <v>0210</v>
          </cell>
          <cell r="S20">
            <v>16429</v>
          </cell>
          <cell r="T20"/>
          <cell r="U20"/>
          <cell r="V20"/>
          <cell r="W20"/>
          <cell r="X20"/>
          <cell r="Y20"/>
          <cell r="Z20"/>
          <cell r="AA20"/>
          <cell r="AB20"/>
          <cell r="AC20"/>
          <cell r="AD20" t="e">
            <v>#REF!</v>
          </cell>
          <cell r="AE20"/>
          <cell r="AF20"/>
          <cell r="AG20"/>
          <cell r="AH20"/>
          <cell r="AI20">
            <v>200576</v>
          </cell>
          <cell r="AJ20"/>
          <cell r="AK20"/>
          <cell r="AL20"/>
          <cell r="AM20"/>
          <cell r="AN20"/>
          <cell r="AO20"/>
          <cell r="AP20"/>
          <cell r="AQ20"/>
          <cell r="AR20"/>
          <cell r="AS20"/>
          <cell r="AT20" t="e">
            <v>#REF!</v>
          </cell>
          <cell r="AU20"/>
          <cell r="AV20"/>
          <cell r="AW20"/>
          <cell r="AX20"/>
          <cell r="AY20">
            <v>14159</v>
          </cell>
          <cell r="AZ20"/>
          <cell r="BA20"/>
          <cell r="BB20"/>
          <cell r="BC20"/>
          <cell r="BD20"/>
          <cell r="BE20" t="e">
            <v>#REF!</v>
          </cell>
          <cell r="BF20"/>
          <cell r="BG20"/>
          <cell r="BH20"/>
          <cell r="BI20"/>
          <cell r="BJ20">
            <v>202786</v>
          </cell>
          <cell r="BK20"/>
          <cell r="BL20"/>
          <cell r="BM20"/>
          <cell r="BN20"/>
          <cell r="BO20"/>
          <cell r="BP20" t="e">
            <v>#REF!</v>
          </cell>
          <cell r="BQ20"/>
          <cell r="BR20"/>
          <cell r="BS20"/>
          <cell r="BT20"/>
          <cell r="BU20">
            <v>7891</v>
          </cell>
          <cell r="BV20"/>
          <cell r="BW20"/>
          <cell r="BX20"/>
          <cell r="BY20"/>
          <cell r="BZ20"/>
          <cell r="CA20" t="e">
            <v>#REF!</v>
          </cell>
          <cell r="CB20"/>
          <cell r="CC20"/>
          <cell r="CD20"/>
          <cell r="CE20"/>
          <cell r="CF20">
            <v>58521</v>
          </cell>
          <cell r="CG20"/>
          <cell r="CH20"/>
          <cell r="CI20"/>
          <cell r="CJ20"/>
          <cell r="CK20"/>
          <cell r="CL20"/>
          <cell r="CM20"/>
          <cell r="CN20"/>
          <cell r="CO20"/>
          <cell r="CP20"/>
          <cell r="CQ20" t="e">
            <v>#REF!</v>
          </cell>
          <cell r="CR20"/>
          <cell r="CS20"/>
          <cell r="CT20"/>
          <cell r="CU20"/>
          <cell r="CV20" t="str">
            <v>16</v>
          </cell>
          <cell r="CW20"/>
          <cell r="CX20"/>
          <cell r="CY20">
            <v>301603</v>
          </cell>
          <cell r="CZ20">
            <v>301605</v>
          </cell>
          <cell r="DA20">
            <v>301607</v>
          </cell>
          <cell r="DB20">
            <v>301609</v>
          </cell>
          <cell r="DC20">
            <v>301611</v>
          </cell>
          <cell r="DD20">
            <v>301613</v>
          </cell>
        </row>
        <row r="21">
          <cell r="B21" t="str">
            <v>17</v>
          </cell>
          <cell r="C21"/>
          <cell r="D21" t="str">
            <v>Salaries - Clerical</v>
          </cell>
          <cell r="E21"/>
          <cell r="F21"/>
          <cell r="G21"/>
          <cell r="H21"/>
          <cell r="I21"/>
          <cell r="J21"/>
          <cell r="K21"/>
          <cell r="L21"/>
          <cell r="M21"/>
          <cell r="N21"/>
          <cell r="O21"/>
          <cell r="P21"/>
          <cell r="Q21"/>
          <cell r="R21" t="str">
            <v>0220</v>
          </cell>
          <cell r="S21">
            <v>7571</v>
          </cell>
          <cell r="T21"/>
          <cell r="U21"/>
          <cell r="V21"/>
          <cell r="W21"/>
          <cell r="X21"/>
          <cell r="Y21"/>
          <cell r="Z21"/>
          <cell r="AA21"/>
          <cell r="AB21"/>
          <cell r="AC21"/>
          <cell r="AD21" t="e">
            <v>#REF!</v>
          </cell>
          <cell r="AE21"/>
          <cell r="AF21"/>
          <cell r="AG21"/>
          <cell r="AH21"/>
          <cell r="AI21">
            <v>63997</v>
          </cell>
          <cell r="AJ21"/>
          <cell r="AK21"/>
          <cell r="AL21"/>
          <cell r="AM21"/>
          <cell r="AN21"/>
          <cell r="AO21"/>
          <cell r="AP21"/>
          <cell r="AQ21"/>
          <cell r="AR21"/>
          <cell r="AS21"/>
          <cell r="AT21" t="e">
            <v>#REF!</v>
          </cell>
          <cell r="AU21"/>
          <cell r="AV21"/>
          <cell r="AW21"/>
          <cell r="AX21"/>
          <cell r="AY21">
            <v>3875</v>
          </cell>
          <cell r="AZ21"/>
          <cell r="BA21"/>
          <cell r="BB21"/>
          <cell r="BC21"/>
          <cell r="BD21"/>
          <cell r="BE21" t="e">
            <v>#REF!</v>
          </cell>
          <cell r="BF21"/>
          <cell r="BG21"/>
          <cell r="BH21"/>
          <cell r="BI21"/>
          <cell r="BJ21">
            <v>30672</v>
          </cell>
          <cell r="BK21"/>
          <cell r="BL21"/>
          <cell r="BM21"/>
          <cell r="BN21"/>
          <cell r="BO21"/>
          <cell r="BP21" t="e">
            <v>#REF!</v>
          </cell>
          <cell r="BQ21"/>
          <cell r="BR21"/>
          <cell r="BS21"/>
          <cell r="BT21"/>
          <cell r="BU21">
            <v>1954</v>
          </cell>
          <cell r="BV21"/>
          <cell r="BW21"/>
          <cell r="BX21"/>
          <cell r="BY21"/>
          <cell r="BZ21"/>
          <cell r="CA21" t="e">
            <v>#REF!</v>
          </cell>
          <cell r="CB21"/>
          <cell r="CC21"/>
          <cell r="CD21"/>
          <cell r="CE21"/>
          <cell r="CF21">
            <v>37569</v>
          </cell>
          <cell r="CG21"/>
          <cell r="CH21"/>
          <cell r="CI21"/>
          <cell r="CJ21"/>
          <cell r="CK21"/>
          <cell r="CL21"/>
          <cell r="CM21"/>
          <cell r="CN21"/>
          <cell r="CO21"/>
          <cell r="CP21"/>
          <cell r="CQ21" t="e">
            <v>#REF!</v>
          </cell>
          <cell r="CR21"/>
          <cell r="CS21"/>
          <cell r="CT21"/>
          <cell r="CU21"/>
          <cell r="CV21" t="str">
            <v>17</v>
          </cell>
          <cell r="CW21"/>
          <cell r="CX21"/>
          <cell r="CY21">
            <v>301703</v>
          </cell>
          <cell r="CZ21">
            <v>301705</v>
          </cell>
          <cell r="DA21">
            <v>301707</v>
          </cell>
          <cell r="DB21">
            <v>301709</v>
          </cell>
          <cell r="DC21">
            <v>301711</v>
          </cell>
          <cell r="DD21">
            <v>301713</v>
          </cell>
        </row>
        <row r="22">
          <cell r="B22" t="str">
            <v>18</v>
          </cell>
          <cell r="C22"/>
          <cell r="D22" t="str">
            <v>Other Salaries &amp; Wages</v>
          </cell>
          <cell r="E22"/>
          <cell r="F22"/>
          <cell r="G22"/>
          <cell r="H22"/>
          <cell r="I22"/>
          <cell r="J22"/>
          <cell r="K22"/>
          <cell r="L22"/>
          <cell r="M22"/>
          <cell r="N22"/>
          <cell r="O22"/>
          <cell r="P22"/>
          <cell r="Q22"/>
          <cell r="R22" t="str">
            <v>0230</v>
          </cell>
          <cell r="S22">
            <v>12667</v>
          </cell>
          <cell r="T22"/>
          <cell r="U22"/>
          <cell r="V22"/>
          <cell r="W22"/>
          <cell r="X22"/>
          <cell r="Y22"/>
          <cell r="Z22"/>
          <cell r="AA22"/>
          <cell r="AB22"/>
          <cell r="AC22"/>
          <cell r="AD22" t="e">
            <v>#REF!</v>
          </cell>
          <cell r="AE22"/>
          <cell r="AF22"/>
          <cell r="AG22"/>
          <cell r="AH22"/>
          <cell r="AI22">
            <v>158729</v>
          </cell>
          <cell r="AJ22"/>
          <cell r="AK22"/>
          <cell r="AL22"/>
          <cell r="AM22"/>
          <cell r="AN22"/>
          <cell r="AO22"/>
          <cell r="AP22"/>
          <cell r="AQ22"/>
          <cell r="AR22"/>
          <cell r="AS22"/>
          <cell r="AT22" t="e">
            <v>#REF!</v>
          </cell>
          <cell r="AU22"/>
          <cell r="AV22"/>
          <cell r="AW22"/>
          <cell r="AX22"/>
          <cell r="AY22">
            <v>13074</v>
          </cell>
          <cell r="AZ22"/>
          <cell r="BA22"/>
          <cell r="BB22"/>
          <cell r="BC22"/>
          <cell r="BD22"/>
          <cell r="BE22" t="e">
            <v>#REF!</v>
          </cell>
          <cell r="BF22"/>
          <cell r="BG22"/>
          <cell r="BH22"/>
          <cell r="BI22"/>
          <cell r="BJ22">
            <v>132628</v>
          </cell>
          <cell r="BK22"/>
          <cell r="BL22"/>
          <cell r="BM22"/>
          <cell r="BN22"/>
          <cell r="BO22"/>
          <cell r="BP22" t="e">
            <v>#REF!</v>
          </cell>
          <cell r="BQ22"/>
          <cell r="BR22"/>
          <cell r="BS22"/>
          <cell r="BT22"/>
          <cell r="BU22">
            <v>10397</v>
          </cell>
          <cell r="BV22"/>
          <cell r="BW22"/>
          <cell r="BX22"/>
          <cell r="BY22"/>
          <cell r="BZ22"/>
          <cell r="CA22" t="e">
            <v>#REF!</v>
          </cell>
          <cell r="CB22"/>
          <cell r="CC22"/>
          <cell r="CD22"/>
          <cell r="CE22"/>
          <cell r="CF22">
            <v>84043</v>
          </cell>
          <cell r="CG22"/>
          <cell r="CH22"/>
          <cell r="CI22"/>
          <cell r="CJ22"/>
          <cell r="CK22"/>
          <cell r="CL22"/>
          <cell r="CM22"/>
          <cell r="CN22"/>
          <cell r="CO22"/>
          <cell r="CP22"/>
          <cell r="CQ22" t="e">
            <v>#REF!</v>
          </cell>
          <cell r="CR22"/>
          <cell r="CS22"/>
          <cell r="CT22"/>
          <cell r="CU22"/>
          <cell r="CV22" t="str">
            <v>18</v>
          </cell>
          <cell r="CW22"/>
          <cell r="CX22"/>
          <cell r="CY22">
            <v>301803</v>
          </cell>
          <cell r="CZ22">
            <v>301805</v>
          </cell>
          <cell r="DA22">
            <v>301807</v>
          </cell>
          <cell r="DB22">
            <v>301809</v>
          </cell>
          <cell r="DC22">
            <v>301811</v>
          </cell>
          <cell r="DD22">
            <v>301813</v>
          </cell>
        </row>
        <row r="23">
          <cell r="B23" t="str">
            <v>19</v>
          </cell>
          <cell r="C23"/>
          <cell r="D23" t="str">
            <v>Absentee Wages - Productive Personnel</v>
          </cell>
          <cell r="E23"/>
          <cell r="F23"/>
          <cell r="G23"/>
          <cell r="H23"/>
          <cell r="I23"/>
          <cell r="J23"/>
          <cell r="K23"/>
          <cell r="L23"/>
          <cell r="M23"/>
          <cell r="N23"/>
          <cell r="O23"/>
          <cell r="P23"/>
          <cell r="Q23"/>
          <cell r="R23" t="str">
            <v>0240</v>
          </cell>
          <cell r="S23">
            <v>6630</v>
          </cell>
          <cell r="T23"/>
          <cell r="U23"/>
          <cell r="V23"/>
          <cell r="W23"/>
          <cell r="X23"/>
          <cell r="Y23"/>
          <cell r="Z23"/>
          <cell r="AA23"/>
          <cell r="AB23"/>
          <cell r="AC23"/>
          <cell r="AD23" t="e">
            <v>#REF!</v>
          </cell>
          <cell r="AE23"/>
          <cell r="AF23"/>
          <cell r="AG23"/>
          <cell r="AH23"/>
          <cell r="AI23">
            <v>19753</v>
          </cell>
          <cell r="AJ23"/>
          <cell r="AK23"/>
          <cell r="AL23"/>
          <cell r="AM23"/>
          <cell r="AN23"/>
          <cell r="AO23"/>
          <cell r="AP23"/>
          <cell r="AQ23"/>
          <cell r="AR23"/>
          <cell r="AS23"/>
          <cell r="AT23" t="e">
            <v>#REF!</v>
          </cell>
          <cell r="AU23"/>
          <cell r="AV23"/>
          <cell r="AW23"/>
          <cell r="AX23"/>
          <cell r="AY23"/>
          <cell r="AZ23"/>
          <cell r="BA23"/>
          <cell r="BB23"/>
          <cell r="BC23"/>
          <cell r="BD23"/>
          <cell r="BE23"/>
          <cell r="BF23"/>
          <cell r="BG23"/>
          <cell r="BH23"/>
          <cell r="BI23"/>
          <cell r="BJ23"/>
          <cell r="BK23"/>
          <cell r="BL23"/>
          <cell r="BM23"/>
          <cell r="BN23"/>
          <cell r="BO23"/>
          <cell r="BP23" t="e">
            <v>#REF!</v>
          </cell>
          <cell r="BQ23"/>
          <cell r="BR23"/>
          <cell r="BS23"/>
          <cell r="BT23"/>
          <cell r="BU23">
            <v>0</v>
          </cell>
          <cell r="BV23"/>
          <cell r="BW23"/>
          <cell r="BX23"/>
          <cell r="BY23"/>
          <cell r="BZ23"/>
          <cell r="CA23" t="e">
            <v>#REF!</v>
          </cell>
          <cell r="CB23"/>
          <cell r="CC23"/>
          <cell r="CD23"/>
          <cell r="CE23"/>
          <cell r="CF23">
            <v>0</v>
          </cell>
          <cell r="CG23"/>
          <cell r="CH23"/>
          <cell r="CI23"/>
          <cell r="CJ23"/>
          <cell r="CK23"/>
          <cell r="CL23"/>
          <cell r="CM23"/>
          <cell r="CN23"/>
          <cell r="CO23"/>
          <cell r="CP23"/>
          <cell r="CQ23" t="e">
            <v>#REF!</v>
          </cell>
          <cell r="CR23"/>
          <cell r="CS23"/>
          <cell r="CT23"/>
          <cell r="CU23"/>
          <cell r="CV23" t="str">
            <v>19</v>
          </cell>
          <cell r="CW23"/>
          <cell r="CX23"/>
          <cell r="CY23">
            <v>301903</v>
          </cell>
          <cell r="CZ23">
            <v>301905</v>
          </cell>
          <cell r="DA23">
            <v>301907</v>
          </cell>
          <cell r="DB23">
            <v>301909</v>
          </cell>
          <cell r="DC23">
            <v>301911</v>
          </cell>
          <cell r="DD23">
            <v>301913</v>
          </cell>
        </row>
        <row r="24">
          <cell r="B24" t="str">
            <v>20</v>
          </cell>
          <cell r="C24"/>
          <cell r="D24" t="str">
            <v>Taxes - Payroll</v>
          </cell>
          <cell r="E24"/>
          <cell r="F24"/>
          <cell r="G24"/>
          <cell r="H24"/>
          <cell r="I24"/>
          <cell r="J24"/>
          <cell r="K24"/>
          <cell r="L24"/>
          <cell r="M24"/>
          <cell r="N24"/>
          <cell r="O24"/>
          <cell r="P24"/>
          <cell r="Q24"/>
          <cell r="R24" t="str">
            <v>0250</v>
          </cell>
          <cell r="S24">
            <v>9833</v>
          </cell>
          <cell r="T24"/>
          <cell r="U24"/>
          <cell r="V24"/>
          <cell r="W24"/>
          <cell r="X24"/>
          <cell r="Y24"/>
          <cell r="Z24"/>
          <cell r="AA24"/>
          <cell r="AB24"/>
          <cell r="AC24"/>
          <cell r="AD24" t="e">
            <v>#REF!</v>
          </cell>
          <cell r="AE24"/>
          <cell r="AF24"/>
          <cell r="AG24"/>
          <cell r="AH24"/>
          <cell r="AI24">
            <v>151653</v>
          </cell>
          <cell r="AJ24"/>
          <cell r="AK24"/>
          <cell r="AL24"/>
          <cell r="AM24"/>
          <cell r="AN24"/>
          <cell r="AO24"/>
          <cell r="AP24"/>
          <cell r="AQ24"/>
          <cell r="AR24"/>
          <cell r="AS24"/>
          <cell r="AT24" t="e">
            <v>#REF!</v>
          </cell>
          <cell r="AU24"/>
          <cell r="AV24"/>
          <cell r="AW24"/>
          <cell r="AX24"/>
          <cell r="AY24">
            <v>2851</v>
          </cell>
          <cell r="AZ24"/>
          <cell r="BA24"/>
          <cell r="BB24"/>
          <cell r="BC24"/>
          <cell r="BD24"/>
          <cell r="BE24" t="e">
            <v>#REF!</v>
          </cell>
          <cell r="BF24"/>
          <cell r="BG24"/>
          <cell r="BH24"/>
          <cell r="BI24"/>
          <cell r="BJ24">
            <v>35130</v>
          </cell>
          <cell r="BK24"/>
          <cell r="BL24"/>
          <cell r="BM24"/>
          <cell r="BN24"/>
          <cell r="BO24"/>
          <cell r="BP24" t="e">
            <v>#REF!</v>
          </cell>
          <cell r="BQ24"/>
          <cell r="BR24"/>
          <cell r="BS24"/>
          <cell r="BT24"/>
          <cell r="BU24">
            <v>2567</v>
          </cell>
          <cell r="BV24"/>
          <cell r="BW24"/>
          <cell r="BX24"/>
          <cell r="BY24"/>
          <cell r="BZ24"/>
          <cell r="CA24" t="e">
            <v>#REF!</v>
          </cell>
          <cell r="CB24"/>
          <cell r="CC24"/>
          <cell r="CD24"/>
          <cell r="CE24"/>
          <cell r="CF24">
            <v>29077</v>
          </cell>
          <cell r="CG24"/>
          <cell r="CH24"/>
          <cell r="CI24"/>
          <cell r="CJ24"/>
          <cell r="CK24"/>
          <cell r="CL24"/>
          <cell r="CM24"/>
          <cell r="CN24"/>
          <cell r="CO24"/>
          <cell r="CP24"/>
          <cell r="CQ24" t="e">
            <v>#REF!</v>
          </cell>
          <cell r="CR24"/>
          <cell r="CS24"/>
          <cell r="CT24"/>
          <cell r="CU24"/>
          <cell r="CV24" t="str">
            <v>20</v>
          </cell>
          <cell r="CW24"/>
          <cell r="CX24"/>
          <cell r="CY24">
            <v>302003</v>
          </cell>
          <cell r="CZ24">
            <v>302005</v>
          </cell>
          <cell r="DA24">
            <v>302007</v>
          </cell>
          <cell r="DB24">
            <v>302009</v>
          </cell>
          <cell r="DC24">
            <v>302011</v>
          </cell>
          <cell r="DD24">
            <v>302013</v>
          </cell>
        </row>
        <row r="25">
          <cell r="B25" t="str">
            <v>21</v>
          </cell>
          <cell r="C25"/>
          <cell r="D25" t="str">
            <v>Employee Benefits / Pension Fund / 401 K</v>
          </cell>
          <cell r="E25"/>
          <cell r="F25"/>
          <cell r="G25"/>
          <cell r="H25"/>
          <cell r="I25"/>
          <cell r="J25"/>
          <cell r="K25"/>
          <cell r="L25"/>
          <cell r="M25"/>
          <cell r="N25"/>
          <cell r="O25"/>
          <cell r="P25"/>
          <cell r="Q25"/>
          <cell r="R25" t="str">
            <v>0260</v>
          </cell>
          <cell r="S25">
            <v>15832</v>
          </cell>
          <cell r="T25"/>
          <cell r="U25"/>
          <cell r="V25"/>
          <cell r="W25"/>
          <cell r="X25"/>
          <cell r="Y25"/>
          <cell r="Z25"/>
          <cell r="AA25"/>
          <cell r="AB25"/>
          <cell r="AC25"/>
          <cell r="AD25" t="e">
            <v>#REF!</v>
          </cell>
          <cell r="AE25"/>
          <cell r="AF25"/>
          <cell r="AG25"/>
          <cell r="AH25"/>
          <cell r="AI25">
            <v>122763</v>
          </cell>
          <cell r="AJ25"/>
          <cell r="AK25"/>
          <cell r="AL25"/>
          <cell r="AM25"/>
          <cell r="AN25"/>
          <cell r="AO25"/>
          <cell r="AP25"/>
          <cell r="AQ25"/>
          <cell r="AR25"/>
          <cell r="AS25"/>
          <cell r="AT25" t="e">
            <v>#REF!</v>
          </cell>
          <cell r="AU25"/>
          <cell r="AV25"/>
          <cell r="AW25"/>
          <cell r="AX25"/>
          <cell r="AY25">
            <v>5626</v>
          </cell>
          <cell r="AZ25"/>
          <cell r="BA25"/>
          <cell r="BB25"/>
          <cell r="BC25"/>
          <cell r="BD25"/>
          <cell r="BE25" t="e">
            <v>#REF!</v>
          </cell>
          <cell r="BF25"/>
          <cell r="BG25"/>
          <cell r="BH25"/>
          <cell r="BI25"/>
          <cell r="BJ25">
            <v>39173</v>
          </cell>
          <cell r="BK25"/>
          <cell r="BL25"/>
          <cell r="BM25"/>
          <cell r="BN25"/>
          <cell r="BO25"/>
          <cell r="BP25" t="e">
            <v>#REF!</v>
          </cell>
          <cell r="BQ25"/>
          <cell r="BR25"/>
          <cell r="BS25"/>
          <cell r="BT25"/>
          <cell r="BU25">
            <v>2177</v>
          </cell>
          <cell r="BV25"/>
          <cell r="BW25"/>
          <cell r="BX25"/>
          <cell r="BY25"/>
          <cell r="BZ25"/>
          <cell r="CA25" t="e">
            <v>#REF!</v>
          </cell>
          <cell r="CB25"/>
          <cell r="CC25"/>
          <cell r="CD25"/>
          <cell r="CE25"/>
          <cell r="CF25">
            <v>30913</v>
          </cell>
          <cell r="CG25"/>
          <cell r="CH25"/>
          <cell r="CI25"/>
          <cell r="CJ25"/>
          <cell r="CK25"/>
          <cell r="CL25"/>
          <cell r="CM25"/>
          <cell r="CN25"/>
          <cell r="CO25"/>
          <cell r="CP25"/>
          <cell r="CQ25" t="e">
            <v>#REF!</v>
          </cell>
          <cell r="CR25"/>
          <cell r="CS25"/>
          <cell r="CT25"/>
          <cell r="CU25"/>
          <cell r="CV25" t="str">
            <v>21</v>
          </cell>
          <cell r="CW25"/>
          <cell r="CX25"/>
          <cell r="CY25">
            <v>302103</v>
          </cell>
          <cell r="CZ25">
            <v>302105</v>
          </cell>
          <cell r="DA25">
            <v>302107</v>
          </cell>
          <cell r="DB25">
            <v>302109</v>
          </cell>
          <cell r="DC25">
            <v>302111</v>
          </cell>
          <cell r="DD25">
            <v>302113</v>
          </cell>
        </row>
        <row r="26">
          <cell r="B26" t="str">
            <v>22</v>
          </cell>
          <cell r="C26"/>
          <cell r="D26" t="str">
            <v>TOTAL SALARY &amp; WAGE GROUP</v>
          </cell>
          <cell r="E26"/>
          <cell r="F26"/>
          <cell r="G26"/>
          <cell r="H26"/>
          <cell r="I26"/>
          <cell r="J26"/>
          <cell r="K26"/>
          <cell r="L26"/>
          <cell r="M26"/>
          <cell r="N26"/>
          <cell r="O26"/>
          <cell r="P26"/>
          <cell r="Q26" t="str">
            <v xml:space="preserve">(Lines 15 to 21) </v>
          </cell>
          <cell r="R26"/>
          <cell r="S26">
            <v>70162</v>
          </cell>
          <cell r="T26"/>
          <cell r="U26"/>
          <cell r="V26"/>
          <cell r="W26"/>
          <cell r="X26"/>
          <cell r="Y26"/>
          <cell r="Z26"/>
          <cell r="AA26"/>
          <cell r="AB26"/>
          <cell r="AC26"/>
          <cell r="AD26" t="e">
            <v>#REF!</v>
          </cell>
          <cell r="AE26"/>
          <cell r="AF26"/>
          <cell r="AG26"/>
          <cell r="AH26"/>
          <cell r="AI26">
            <v>729426</v>
          </cell>
          <cell r="AJ26"/>
          <cell r="AK26"/>
          <cell r="AL26"/>
          <cell r="AM26"/>
          <cell r="AN26"/>
          <cell r="AO26"/>
          <cell r="AP26"/>
          <cell r="AQ26"/>
          <cell r="AR26"/>
          <cell r="AS26"/>
          <cell r="AT26" t="e">
            <v>#REF!</v>
          </cell>
          <cell r="AU26"/>
          <cell r="AV26"/>
          <cell r="AW26"/>
          <cell r="AX26"/>
          <cell r="AY26">
            <v>40285</v>
          </cell>
          <cell r="AZ26"/>
          <cell r="BA26"/>
          <cell r="BB26"/>
          <cell r="BC26"/>
          <cell r="BD26"/>
          <cell r="BE26" t="e">
            <v>#REF!</v>
          </cell>
          <cell r="BF26"/>
          <cell r="BG26"/>
          <cell r="BH26"/>
          <cell r="BI26"/>
          <cell r="BJ26">
            <v>447635</v>
          </cell>
          <cell r="BK26"/>
          <cell r="BL26"/>
          <cell r="BM26"/>
          <cell r="BN26"/>
          <cell r="BO26"/>
          <cell r="BP26" t="e">
            <v>#REF!</v>
          </cell>
          <cell r="BQ26"/>
          <cell r="BR26"/>
          <cell r="BS26"/>
          <cell r="BT26"/>
          <cell r="BU26">
            <v>25436</v>
          </cell>
          <cell r="BV26"/>
          <cell r="BW26"/>
          <cell r="BX26"/>
          <cell r="BY26"/>
          <cell r="BZ26"/>
          <cell r="CA26" t="e">
            <v>#REF!</v>
          </cell>
          <cell r="CB26"/>
          <cell r="CC26"/>
          <cell r="CD26"/>
          <cell r="CE26"/>
          <cell r="CF26">
            <v>244314</v>
          </cell>
          <cell r="CG26"/>
          <cell r="CH26"/>
          <cell r="CI26"/>
          <cell r="CJ26"/>
          <cell r="CK26"/>
          <cell r="CL26"/>
          <cell r="CM26"/>
          <cell r="CN26"/>
          <cell r="CO26"/>
          <cell r="CP26"/>
          <cell r="CQ26" t="e">
            <v>#REF!</v>
          </cell>
          <cell r="CR26"/>
          <cell r="CS26"/>
          <cell r="CT26"/>
          <cell r="CU26"/>
          <cell r="CV26" t="str">
            <v>22</v>
          </cell>
          <cell r="CW26"/>
          <cell r="CX26"/>
          <cell r="CY26">
            <v>302203</v>
          </cell>
          <cell r="CZ26">
            <v>302205</v>
          </cell>
          <cell r="DA26">
            <v>302207</v>
          </cell>
          <cell r="DB26">
            <v>302209</v>
          </cell>
          <cell r="DC26">
            <v>302211</v>
          </cell>
          <cell r="DD26">
            <v>302213</v>
          </cell>
        </row>
        <row r="27">
          <cell r="B27" t="str">
            <v>23</v>
          </cell>
          <cell r="C27"/>
          <cell r="D27" t="str">
            <v>Company Vehicle</v>
          </cell>
          <cell r="E27"/>
          <cell r="F27"/>
          <cell r="G27"/>
          <cell r="H27"/>
          <cell r="I27"/>
          <cell r="J27"/>
          <cell r="K27"/>
          <cell r="L27"/>
          <cell r="M27"/>
          <cell r="N27"/>
          <cell r="O27"/>
          <cell r="P27"/>
          <cell r="Q27"/>
          <cell r="R27" t="str">
            <v>0310</v>
          </cell>
          <cell r="S27">
            <v>75</v>
          </cell>
          <cell r="T27"/>
          <cell r="U27"/>
          <cell r="V27"/>
          <cell r="W27"/>
          <cell r="X27"/>
          <cell r="Y27"/>
          <cell r="Z27"/>
          <cell r="AA27"/>
          <cell r="AB27"/>
          <cell r="AC27"/>
          <cell r="AD27" t="e">
            <v>#REF!</v>
          </cell>
          <cell r="AE27"/>
          <cell r="AF27"/>
          <cell r="AG27"/>
          <cell r="AH27"/>
          <cell r="AI27">
            <v>1103</v>
          </cell>
          <cell r="AJ27"/>
          <cell r="AK27"/>
          <cell r="AL27"/>
          <cell r="AM27"/>
          <cell r="AN27"/>
          <cell r="AO27"/>
          <cell r="AP27"/>
          <cell r="AQ27"/>
          <cell r="AR27"/>
          <cell r="AS27"/>
          <cell r="AT27" t="e">
            <v>#REF!</v>
          </cell>
          <cell r="AU27"/>
          <cell r="AV27"/>
          <cell r="AW27"/>
          <cell r="AX27"/>
          <cell r="AY27">
            <v>501</v>
          </cell>
          <cell r="AZ27"/>
          <cell r="BA27"/>
          <cell r="BB27"/>
          <cell r="BC27"/>
          <cell r="BD27"/>
          <cell r="BE27" t="e">
            <v>#REF!</v>
          </cell>
          <cell r="BF27"/>
          <cell r="BG27"/>
          <cell r="BH27"/>
          <cell r="BI27"/>
          <cell r="BJ27">
            <v>7719</v>
          </cell>
          <cell r="BK27"/>
          <cell r="BL27"/>
          <cell r="BM27"/>
          <cell r="BN27"/>
          <cell r="BO27"/>
          <cell r="BP27" t="e">
            <v>#REF!</v>
          </cell>
          <cell r="BQ27"/>
          <cell r="BR27"/>
          <cell r="BS27"/>
          <cell r="BT27"/>
          <cell r="BU27">
            <v>36</v>
          </cell>
          <cell r="BV27"/>
          <cell r="BW27"/>
          <cell r="BX27"/>
          <cell r="BY27"/>
          <cell r="BZ27"/>
          <cell r="CA27" t="e">
            <v>#REF!</v>
          </cell>
          <cell r="CB27"/>
          <cell r="CC27"/>
          <cell r="CD27"/>
          <cell r="CE27"/>
          <cell r="CF27">
            <v>362</v>
          </cell>
          <cell r="CG27"/>
          <cell r="CH27"/>
          <cell r="CI27"/>
          <cell r="CJ27"/>
          <cell r="CK27"/>
          <cell r="CL27"/>
          <cell r="CM27"/>
          <cell r="CN27"/>
          <cell r="CO27"/>
          <cell r="CP27"/>
          <cell r="CQ27" t="e">
            <v>#REF!</v>
          </cell>
          <cell r="CR27"/>
          <cell r="CS27"/>
          <cell r="CT27"/>
          <cell r="CU27"/>
          <cell r="CV27" t="str">
            <v>23</v>
          </cell>
          <cell r="CW27"/>
          <cell r="CX27"/>
          <cell r="CY27">
            <v>302303</v>
          </cell>
          <cell r="CZ27">
            <v>302305</v>
          </cell>
          <cell r="DA27">
            <v>302307</v>
          </cell>
          <cell r="DB27">
            <v>302309</v>
          </cell>
          <cell r="DC27">
            <v>302311</v>
          </cell>
          <cell r="DD27">
            <v>302313</v>
          </cell>
        </row>
        <row r="28">
          <cell r="B28" t="str">
            <v>24</v>
          </cell>
          <cell r="C28"/>
          <cell r="D28" t="str">
            <v>Small Tools</v>
          </cell>
          <cell r="E28"/>
          <cell r="F28"/>
          <cell r="G28"/>
          <cell r="H28"/>
          <cell r="I28"/>
          <cell r="J28"/>
          <cell r="K28"/>
          <cell r="L28"/>
          <cell r="M28"/>
          <cell r="N28"/>
          <cell r="O28"/>
          <cell r="P28"/>
          <cell r="Q28"/>
          <cell r="R28" t="str">
            <v>0320</v>
          </cell>
          <cell r="S28">
            <v>85</v>
          </cell>
          <cell r="T28"/>
          <cell r="U28"/>
          <cell r="V28"/>
          <cell r="W28"/>
          <cell r="X28"/>
          <cell r="Y28"/>
          <cell r="Z28"/>
          <cell r="AA28"/>
          <cell r="AB28"/>
          <cell r="AC28"/>
          <cell r="AD28" t="e">
            <v>#REF!</v>
          </cell>
          <cell r="AE28"/>
          <cell r="AF28"/>
          <cell r="AG28"/>
          <cell r="AH28"/>
          <cell r="AI28">
            <v>8729</v>
          </cell>
          <cell r="AJ28"/>
          <cell r="AK28"/>
          <cell r="AL28"/>
          <cell r="AM28"/>
          <cell r="AN28"/>
          <cell r="AO28"/>
          <cell r="AP28"/>
          <cell r="AQ28"/>
          <cell r="AR28"/>
          <cell r="AS28"/>
          <cell r="AT28" t="e">
            <v>#REF!</v>
          </cell>
          <cell r="AU28"/>
          <cell r="AV28"/>
          <cell r="AW28"/>
          <cell r="AX28"/>
          <cell r="AY28"/>
          <cell r="AZ28"/>
          <cell r="BA28"/>
          <cell r="BB28"/>
          <cell r="BC28"/>
          <cell r="BD28"/>
          <cell r="BE28"/>
          <cell r="BF28"/>
          <cell r="BG28"/>
          <cell r="BH28"/>
          <cell r="BI28"/>
          <cell r="BJ28"/>
          <cell r="BK28"/>
          <cell r="BL28"/>
          <cell r="BM28"/>
          <cell r="BN28"/>
          <cell r="BO28"/>
          <cell r="BP28" t="e">
            <v>#REF!</v>
          </cell>
          <cell r="BQ28"/>
          <cell r="BR28"/>
          <cell r="BS28"/>
          <cell r="BT28"/>
          <cell r="BU28">
            <v>0</v>
          </cell>
          <cell r="BV28"/>
          <cell r="BW28"/>
          <cell r="BX28"/>
          <cell r="BY28"/>
          <cell r="BZ28"/>
          <cell r="CA28" t="e">
            <v>#REF!</v>
          </cell>
          <cell r="CB28"/>
          <cell r="CC28"/>
          <cell r="CD28"/>
          <cell r="CE28"/>
          <cell r="CF28">
            <v>848</v>
          </cell>
          <cell r="CG28"/>
          <cell r="CH28"/>
          <cell r="CI28"/>
          <cell r="CJ28"/>
          <cell r="CK28"/>
          <cell r="CL28"/>
          <cell r="CM28"/>
          <cell r="CN28"/>
          <cell r="CO28"/>
          <cell r="CP28"/>
          <cell r="CQ28" t="e">
            <v>#REF!</v>
          </cell>
          <cell r="CR28"/>
          <cell r="CS28"/>
          <cell r="CT28"/>
          <cell r="CU28"/>
          <cell r="CV28" t="str">
            <v>24</v>
          </cell>
          <cell r="CW28"/>
          <cell r="CX28"/>
          <cell r="CY28">
            <v>302403</v>
          </cell>
          <cell r="CZ28">
            <v>302405</v>
          </cell>
          <cell r="DA28">
            <v>302407</v>
          </cell>
          <cell r="DB28">
            <v>302409</v>
          </cell>
          <cell r="DC28">
            <v>302411</v>
          </cell>
          <cell r="DD28">
            <v>302413</v>
          </cell>
        </row>
        <row r="29">
          <cell r="B29" t="str">
            <v>25</v>
          </cell>
          <cell r="C29"/>
          <cell r="D29" t="str">
            <v>Freight &amp; Express</v>
          </cell>
          <cell r="E29"/>
          <cell r="F29"/>
          <cell r="G29"/>
          <cell r="H29"/>
          <cell r="I29"/>
          <cell r="J29"/>
          <cell r="K29"/>
          <cell r="L29"/>
          <cell r="M29"/>
          <cell r="N29"/>
          <cell r="O29"/>
          <cell r="P29"/>
          <cell r="Q29"/>
          <cell r="R29" t="str">
            <v>0340</v>
          </cell>
          <cell r="S29"/>
          <cell r="T29"/>
          <cell r="U29"/>
          <cell r="V29"/>
          <cell r="W29"/>
          <cell r="X29"/>
          <cell r="Y29"/>
          <cell r="Z29"/>
          <cell r="AA29"/>
          <cell r="AB29"/>
          <cell r="AC29"/>
          <cell r="AD29"/>
          <cell r="AE29"/>
          <cell r="AF29"/>
          <cell r="AG29"/>
          <cell r="AH29"/>
          <cell r="AI29"/>
          <cell r="AJ29"/>
          <cell r="AK29"/>
          <cell r="AL29"/>
          <cell r="AM29"/>
          <cell r="AN29"/>
          <cell r="AO29"/>
          <cell r="AP29"/>
          <cell r="AQ29"/>
          <cell r="AR29"/>
          <cell r="AS29"/>
          <cell r="AT29" t="e">
            <v>#REF!</v>
          </cell>
          <cell r="AU29"/>
          <cell r="AV29"/>
          <cell r="AW29"/>
          <cell r="AX29"/>
          <cell r="AY29">
            <v>171</v>
          </cell>
          <cell r="AZ29"/>
          <cell r="BA29"/>
          <cell r="BB29"/>
          <cell r="BC29"/>
          <cell r="BD29"/>
          <cell r="BE29" t="e">
            <v>#REF!</v>
          </cell>
          <cell r="BF29"/>
          <cell r="BG29"/>
          <cell r="BH29"/>
          <cell r="BI29"/>
          <cell r="BJ29">
            <v>4933</v>
          </cell>
          <cell r="BK29"/>
          <cell r="BL29"/>
          <cell r="BM29"/>
          <cell r="BN29"/>
          <cell r="BO29"/>
          <cell r="BP29" t="e">
            <v>#REF!</v>
          </cell>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t="e">
            <v>#REF!</v>
          </cell>
          <cell r="CR29"/>
          <cell r="CS29"/>
          <cell r="CT29"/>
          <cell r="CU29"/>
          <cell r="CV29" t="str">
            <v>25</v>
          </cell>
          <cell r="CW29"/>
          <cell r="CX29"/>
          <cell r="CY29">
            <v>302503</v>
          </cell>
          <cell r="CZ29">
            <v>302505</v>
          </cell>
          <cell r="DA29">
            <v>302507</v>
          </cell>
          <cell r="DB29">
            <v>302509</v>
          </cell>
          <cell r="DC29">
            <v>302511</v>
          </cell>
          <cell r="DD29">
            <v>302513</v>
          </cell>
        </row>
        <row r="30">
          <cell r="B30" t="str">
            <v>26</v>
          </cell>
          <cell r="C30"/>
          <cell r="D30" t="str">
            <v>Institutional Advertising</v>
          </cell>
          <cell r="E30"/>
          <cell r="F30"/>
          <cell r="G30"/>
          <cell r="H30"/>
          <cell r="I30"/>
          <cell r="J30"/>
          <cell r="K30"/>
          <cell r="L30"/>
          <cell r="M30"/>
          <cell r="N30"/>
          <cell r="O30"/>
          <cell r="P30"/>
          <cell r="Q30"/>
          <cell r="R30" t="str">
            <v>0350</v>
          </cell>
          <cell r="S30">
            <v>8883</v>
          </cell>
          <cell r="T30"/>
          <cell r="U30"/>
          <cell r="V30"/>
          <cell r="W30"/>
          <cell r="X30"/>
          <cell r="Y30"/>
          <cell r="Z30"/>
          <cell r="AA30"/>
          <cell r="AB30"/>
          <cell r="AC30"/>
          <cell r="AD30" t="e">
            <v>#REF!</v>
          </cell>
          <cell r="AE30"/>
          <cell r="AF30"/>
          <cell r="AG30"/>
          <cell r="AH30"/>
          <cell r="AI30">
            <v>127107</v>
          </cell>
          <cell r="AJ30"/>
          <cell r="AK30"/>
          <cell r="AL30"/>
          <cell r="AM30"/>
          <cell r="AN30"/>
          <cell r="AO30"/>
          <cell r="AP30"/>
          <cell r="AQ30"/>
          <cell r="AR30"/>
          <cell r="AS30"/>
          <cell r="AT30" t="e">
            <v>#REF!</v>
          </cell>
          <cell r="AU30"/>
          <cell r="AV30"/>
          <cell r="AW30"/>
          <cell r="AX30"/>
          <cell r="AY30">
            <v>2207</v>
          </cell>
          <cell r="AZ30"/>
          <cell r="BA30"/>
          <cell r="BB30"/>
          <cell r="BC30"/>
          <cell r="BD30"/>
          <cell r="BE30" t="e">
            <v>#REF!</v>
          </cell>
          <cell r="BF30"/>
          <cell r="BG30"/>
          <cell r="BH30"/>
          <cell r="BI30"/>
          <cell r="BJ30">
            <v>23887</v>
          </cell>
          <cell r="BK30"/>
          <cell r="BL30"/>
          <cell r="BM30"/>
          <cell r="BN30"/>
          <cell r="BO30"/>
          <cell r="BP30" t="e">
            <v>#REF!</v>
          </cell>
          <cell r="BQ30"/>
          <cell r="BR30"/>
          <cell r="BS30"/>
          <cell r="BT30"/>
          <cell r="BU30">
            <v>181</v>
          </cell>
          <cell r="BV30"/>
          <cell r="BW30"/>
          <cell r="BX30"/>
          <cell r="BY30"/>
          <cell r="BZ30"/>
          <cell r="CA30" t="e">
            <v>#REF!</v>
          </cell>
          <cell r="CB30"/>
          <cell r="CC30"/>
          <cell r="CD30"/>
          <cell r="CE30"/>
          <cell r="CF30">
            <v>2297</v>
          </cell>
          <cell r="CG30"/>
          <cell r="CH30"/>
          <cell r="CI30"/>
          <cell r="CJ30"/>
          <cell r="CK30"/>
          <cell r="CL30"/>
          <cell r="CM30"/>
          <cell r="CN30"/>
          <cell r="CO30"/>
          <cell r="CP30"/>
          <cell r="CQ30" t="e">
            <v>#REF!</v>
          </cell>
          <cell r="CR30"/>
          <cell r="CS30"/>
          <cell r="CT30"/>
          <cell r="CU30"/>
          <cell r="CV30" t="str">
            <v>26</v>
          </cell>
          <cell r="CW30"/>
          <cell r="CX30"/>
          <cell r="CY30">
            <v>302603</v>
          </cell>
          <cell r="CZ30">
            <v>302605</v>
          </cell>
          <cell r="DA30">
            <v>302607</v>
          </cell>
          <cell r="DB30">
            <v>302609</v>
          </cell>
          <cell r="DC30">
            <v>302611</v>
          </cell>
          <cell r="DD30">
            <v>302613</v>
          </cell>
        </row>
        <row r="31">
          <cell r="B31" t="str">
            <v>27</v>
          </cell>
          <cell r="C31"/>
          <cell r="D31" t="str">
            <v>Stationery &amp; Office Supplies</v>
          </cell>
          <cell r="E31"/>
          <cell r="F31"/>
          <cell r="G31"/>
          <cell r="H31"/>
          <cell r="I31"/>
          <cell r="J31"/>
          <cell r="K31"/>
          <cell r="L31"/>
          <cell r="M31"/>
          <cell r="N31"/>
          <cell r="O31"/>
          <cell r="P31"/>
          <cell r="Q31"/>
          <cell r="R31" t="str">
            <v>0360</v>
          </cell>
          <cell r="S31">
            <v>1970</v>
          </cell>
          <cell r="T31"/>
          <cell r="U31"/>
          <cell r="V31"/>
          <cell r="W31"/>
          <cell r="X31"/>
          <cell r="Y31"/>
          <cell r="Z31"/>
          <cell r="AA31"/>
          <cell r="AB31"/>
          <cell r="AC31"/>
          <cell r="AD31" t="e">
            <v>#REF!</v>
          </cell>
          <cell r="AE31"/>
          <cell r="AF31"/>
          <cell r="AG31"/>
          <cell r="AH31"/>
          <cell r="AI31">
            <v>15434</v>
          </cell>
          <cell r="AJ31"/>
          <cell r="AK31"/>
          <cell r="AL31"/>
          <cell r="AM31"/>
          <cell r="AN31"/>
          <cell r="AO31"/>
          <cell r="AP31"/>
          <cell r="AQ31"/>
          <cell r="AR31"/>
          <cell r="AS31"/>
          <cell r="AT31" t="e">
            <v>#REF!</v>
          </cell>
          <cell r="AU31"/>
          <cell r="AV31"/>
          <cell r="AW31"/>
          <cell r="AX31"/>
          <cell r="AY31">
            <v>817</v>
          </cell>
          <cell r="AZ31"/>
          <cell r="BA31"/>
          <cell r="BB31"/>
          <cell r="BC31"/>
          <cell r="BD31"/>
          <cell r="BE31" t="e">
            <v>#REF!</v>
          </cell>
          <cell r="BF31"/>
          <cell r="BG31"/>
          <cell r="BH31"/>
          <cell r="BI31"/>
          <cell r="BJ31">
            <v>9057</v>
          </cell>
          <cell r="BK31"/>
          <cell r="BL31"/>
          <cell r="BM31"/>
          <cell r="BN31"/>
          <cell r="BO31"/>
          <cell r="BP31" t="e">
            <v>#REF!</v>
          </cell>
          <cell r="BQ31"/>
          <cell r="BR31"/>
          <cell r="BS31"/>
          <cell r="BT31"/>
          <cell r="BU31">
            <v>371</v>
          </cell>
          <cell r="BV31"/>
          <cell r="BW31"/>
          <cell r="BX31"/>
          <cell r="BY31"/>
          <cell r="BZ31"/>
          <cell r="CA31" t="e">
            <v>#REF!</v>
          </cell>
          <cell r="CB31"/>
          <cell r="CC31"/>
          <cell r="CD31"/>
          <cell r="CE31"/>
          <cell r="CF31">
            <v>3106</v>
          </cell>
          <cell r="CG31"/>
          <cell r="CH31"/>
          <cell r="CI31"/>
          <cell r="CJ31"/>
          <cell r="CK31"/>
          <cell r="CL31"/>
          <cell r="CM31"/>
          <cell r="CN31"/>
          <cell r="CO31"/>
          <cell r="CP31"/>
          <cell r="CQ31" t="e">
            <v>#REF!</v>
          </cell>
          <cell r="CR31"/>
          <cell r="CS31"/>
          <cell r="CT31"/>
          <cell r="CU31"/>
          <cell r="CV31" t="str">
            <v>27</v>
          </cell>
          <cell r="CW31"/>
          <cell r="CX31"/>
          <cell r="CY31">
            <v>302703</v>
          </cell>
          <cell r="CZ31">
            <v>302705</v>
          </cell>
          <cell r="DA31">
            <v>302707</v>
          </cell>
          <cell r="DB31">
            <v>302709</v>
          </cell>
          <cell r="DC31">
            <v>302711</v>
          </cell>
          <cell r="DD31">
            <v>302713</v>
          </cell>
        </row>
        <row r="32">
          <cell r="B32" t="str">
            <v>28</v>
          </cell>
          <cell r="C32"/>
          <cell r="D32" t="str">
            <v>Supplies &amp; Laundry</v>
          </cell>
          <cell r="E32"/>
          <cell r="F32"/>
          <cell r="G32"/>
          <cell r="H32"/>
          <cell r="I32"/>
          <cell r="J32"/>
          <cell r="K32"/>
          <cell r="L32"/>
          <cell r="M32"/>
          <cell r="N32"/>
          <cell r="O32"/>
          <cell r="P32"/>
          <cell r="Q32"/>
          <cell r="R32" t="str">
            <v>0370</v>
          </cell>
          <cell r="S32">
            <v>2838</v>
          </cell>
          <cell r="T32"/>
          <cell r="U32"/>
          <cell r="V32"/>
          <cell r="W32"/>
          <cell r="X32"/>
          <cell r="Y32"/>
          <cell r="Z32"/>
          <cell r="AA32"/>
          <cell r="AB32"/>
          <cell r="AC32"/>
          <cell r="AD32" t="e">
            <v>#REF!</v>
          </cell>
          <cell r="AE32"/>
          <cell r="AF32"/>
          <cell r="AG32"/>
          <cell r="AH32"/>
          <cell r="AI32">
            <v>-15167</v>
          </cell>
          <cell r="AJ32"/>
          <cell r="AK32"/>
          <cell r="AL32"/>
          <cell r="AM32"/>
          <cell r="AN32"/>
          <cell r="AO32"/>
          <cell r="AP32"/>
          <cell r="AQ32"/>
          <cell r="AR32"/>
          <cell r="AS32"/>
          <cell r="AT32" t="e">
            <v>#REF!</v>
          </cell>
          <cell r="AU32"/>
          <cell r="AV32"/>
          <cell r="AW32"/>
          <cell r="AX32"/>
          <cell r="AY32">
            <v>242</v>
          </cell>
          <cell r="AZ32"/>
          <cell r="BA32"/>
          <cell r="BB32"/>
          <cell r="BC32"/>
          <cell r="BD32"/>
          <cell r="BE32" t="e">
            <v>#REF!</v>
          </cell>
          <cell r="BF32"/>
          <cell r="BG32"/>
          <cell r="BH32"/>
          <cell r="BI32"/>
          <cell r="BJ32">
            <v>5128</v>
          </cell>
          <cell r="BK32"/>
          <cell r="BL32"/>
          <cell r="BM32"/>
          <cell r="BN32"/>
          <cell r="BO32"/>
          <cell r="BP32" t="e">
            <v>#REF!</v>
          </cell>
          <cell r="BQ32"/>
          <cell r="BR32"/>
          <cell r="BS32"/>
          <cell r="BT32"/>
          <cell r="BU32">
            <v>866</v>
          </cell>
          <cell r="BV32"/>
          <cell r="BW32"/>
          <cell r="BX32"/>
          <cell r="BY32"/>
          <cell r="BZ32"/>
          <cell r="CA32" t="e">
            <v>#REF!</v>
          </cell>
          <cell r="CB32"/>
          <cell r="CC32"/>
          <cell r="CD32"/>
          <cell r="CE32"/>
          <cell r="CF32">
            <v>13935</v>
          </cell>
          <cell r="CG32"/>
          <cell r="CH32"/>
          <cell r="CI32"/>
          <cell r="CJ32"/>
          <cell r="CK32"/>
          <cell r="CL32"/>
          <cell r="CM32"/>
          <cell r="CN32"/>
          <cell r="CO32"/>
          <cell r="CP32"/>
          <cell r="CQ32" t="e">
            <v>#REF!</v>
          </cell>
          <cell r="CR32"/>
          <cell r="CS32"/>
          <cell r="CT32"/>
          <cell r="CU32"/>
          <cell r="CV32" t="str">
            <v>28</v>
          </cell>
          <cell r="CW32"/>
          <cell r="CX32"/>
          <cell r="CY32">
            <v>302803</v>
          </cell>
          <cell r="CZ32">
            <v>302805</v>
          </cell>
          <cell r="DA32">
            <v>302807</v>
          </cell>
          <cell r="DB32">
            <v>302809</v>
          </cell>
          <cell r="DC32">
            <v>302811</v>
          </cell>
          <cell r="DD32">
            <v>302813</v>
          </cell>
        </row>
        <row r="33">
          <cell r="B33" t="str">
            <v>29</v>
          </cell>
          <cell r="C33"/>
          <cell r="D33" t="str">
            <v>Outside Services</v>
          </cell>
          <cell r="E33"/>
          <cell r="F33"/>
          <cell r="G33"/>
          <cell r="H33"/>
          <cell r="I33"/>
          <cell r="J33"/>
          <cell r="K33"/>
          <cell r="L33"/>
          <cell r="M33"/>
          <cell r="N33"/>
          <cell r="O33"/>
          <cell r="P33"/>
          <cell r="Q33"/>
          <cell r="R33" t="str">
            <v>0380</v>
          </cell>
          <cell r="S33">
            <v>-221</v>
          </cell>
          <cell r="T33"/>
          <cell r="U33"/>
          <cell r="V33"/>
          <cell r="W33"/>
          <cell r="X33"/>
          <cell r="Y33"/>
          <cell r="Z33"/>
          <cell r="AA33"/>
          <cell r="AB33"/>
          <cell r="AC33"/>
          <cell r="AD33" t="e">
            <v>#REF!</v>
          </cell>
          <cell r="AE33"/>
          <cell r="AF33"/>
          <cell r="AG33"/>
          <cell r="AH33"/>
          <cell r="AI33">
            <v>17242</v>
          </cell>
          <cell r="AJ33"/>
          <cell r="AK33"/>
          <cell r="AL33"/>
          <cell r="AM33"/>
          <cell r="AN33"/>
          <cell r="AO33"/>
          <cell r="AP33"/>
          <cell r="AQ33"/>
          <cell r="AR33"/>
          <cell r="AS33"/>
          <cell r="AT33" t="e">
            <v>#REF!</v>
          </cell>
          <cell r="AU33"/>
          <cell r="AV33"/>
          <cell r="AW33"/>
          <cell r="AX33"/>
          <cell r="AY33">
            <v>7464</v>
          </cell>
          <cell r="AZ33"/>
          <cell r="BA33"/>
          <cell r="BB33"/>
          <cell r="BC33"/>
          <cell r="BD33"/>
          <cell r="BE33" t="e">
            <v>#REF!</v>
          </cell>
          <cell r="BF33"/>
          <cell r="BG33"/>
          <cell r="BH33"/>
          <cell r="BI33"/>
          <cell r="BJ33">
            <v>54564</v>
          </cell>
          <cell r="BK33"/>
          <cell r="BL33"/>
          <cell r="BM33"/>
          <cell r="BN33"/>
          <cell r="BO33"/>
          <cell r="BP33" t="e">
            <v>#REF!</v>
          </cell>
          <cell r="BQ33"/>
          <cell r="BR33"/>
          <cell r="BS33"/>
          <cell r="BT33"/>
          <cell r="BU33">
            <v>2065</v>
          </cell>
          <cell r="BV33"/>
          <cell r="BW33"/>
          <cell r="BX33"/>
          <cell r="BY33"/>
          <cell r="BZ33"/>
          <cell r="CA33" t="e">
            <v>#REF!</v>
          </cell>
          <cell r="CB33"/>
          <cell r="CC33"/>
          <cell r="CD33"/>
          <cell r="CE33"/>
          <cell r="CF33">
            <v>29947</v>
          </cell>
          <cell r="CG33"/>
          <cell r="CH33"/>
          <cell r="CI33"/>
          <cell r="CJ33"/>
          <cell r="CK33"/>
          <cell r="CL33"/>
          <cell r="CM33"/>
          <cell r="CN33"/>
          <cell r="CO33"/>
          <cell r="CP33"/>
          <cell r="CQ33" t="e">
            <v>#REF!</v>
          </cell>
          <cell r="CR33"/>
          <cell r="CS33"/>
          <cell r="CT33"/>
          <cell r="CU33"/>
          <cell r="CV33" t="str">
            <v>29</v>
          </cell>
          <cell r="CW33"/>
          <cell r="CX33"/>
          <cell r="CY33">
            <v>302903</v>
          </cell>
          <cell r="CZ33">
            <v>302905</v>
          </cell>
          <cell r="DA33">
            <v>302907</v>
          </cell>
          <cell r="DB33">
            <v>302909</v>
          </cell>
          <cell r="DC33">
            <v>302911</v>
          </cell>
          <cell r="DD33">
            <v>302913</v>
          </cell>
        </row>
        <row r="34">
          <cell r="B34" t="str">
            <v>30</v>
          </cell>
          <cell r="C34"/>
          <cell r="D34" t="str">
            <v>Travel &amp; Entertainment</v>
          </cell>
          <cell r="E34"/>
          <cell r="F34"/>
          <cell r="G34"/>
          <cell r="H34"/>
          <cell r="I34"/>
          <cell r="J34"/>
          <cell r="K34"/>
          <cell r="L34"/>
          <cell r="M34"/>
          <cell r="N34"/>
          <cell r="O34"/>
          <cell r="P34"/>
          <cell r="Q34"/>
          <cell r="R34" t="str">
            <v>0390</v>
          </cell>
          <cell r="S34">
            <v>4856</v>
          </cell>
          <cell r="T34"/>
          <cell r="U34"/>
          <cell r="V34"/>
          <cell r="W34"/>
          <cell r="X34"/>
          <cell r="Y34"/>
          <cell r="Z34"/>
          <cell r="AA34"/>
          <cell r="AB34"/>
          <cell r="AC34"/>
          <cell r="AD34" t="e">
            <v>#REF!</v>
          </cell>
          <cell r="AE34"/>
          <cell r="AF34"/>
          <cell r="AG34"/>
          <cell r="AH34"/>
          <cell r="AI34">
            <v>37164</v>
          </cell>
          <cell r="AJ34"/>
          <cell r="AK34"/>
          <cell r="AL34"/>
          <cell r="AM34"/>
          <cell r="AN34"/>
          <cell r="AO34"/>
          <cell r="AP34"/>
          <cell r="AQ34"/>
          <cell r="AR34"/>
          <cell r="AS34"/>
          <cell r="AT34" t="e">
            <v>#REF!</v>
          </cell>
          <cell r="AU34"/>
          <cell r="AV34"/>
          <cell r="AW34"/>
          <cell r="AX34"/>
          <cell r="AY34">
            <v>846</v>
          </cell>
          <cell r="AZ34"/>
          <cell r="BA34"/>
          <cell r="BB34"/>
          <cell r="BC34"/>
          <cell r="BD34"/>
          <cell r="BE34" t="e">
            <v>#REF!</v>
          </cell>
          <cell r="BF34"/>
          <cell r="BG34"/>
          <cell r="BH34"/>
          <cell r="BI34"/>
          <cell r="BJ34">
            <v>7261</v>
          </cell>
          <cell r="BK34"/>
          <cell r="BL34"/>
          <cell r="BM34"/>
          <cell r="BN34"/>
          <cell r="BO34"/>
          <cell r="BP34" t="e">
            <v>#REF!</v>
          </cell>
          <cell r="BQ34"/>
          <cell r="BR34"/>
          <cell r="BS34"/>
          <cell r="BT34"/>
          <cell r="BU34">
            <v>586</v>
          </cell>
          <cell r="BV34"/>
          <cell r="BW34"/>
          <cell r="BX34"/>
          <cell r="BY34"/>
          <cell r="BZ34"/>
          <cell r="CA34" t="e">
            <v>#REF!</v>
          </cell>
          <cell r="CB34"/>
          <cell r="CC34"/>
          <cell r="CD34"/>
          <cell r="CE34"/>
          <cell r="CF34">
            <v>4421</v>
          </cell>
          <cell r="CG34"/>
          <cell r="CH34"/>
          <cell r="CI34"/>
          <cell r="CJ34"/>
          <cell r="CK34"/>
          <cell r="CL34"/>
          <cell r="CM34"/>
          <cell r="CN34"/>
          <cell r="CO34"/>
          <cell r="CP34"/>
          <cell r="CQ34" t="e">
            <v>#REF!</v>
          </cell>
          <cell r="CR34"/>
          <cell r="CS34"/>
          <cell r="CT34"/>
          <cell r="CU34"/>
          <cell r="CV34" t="str">
            <v>30</v>
          </cell>
          <cell r="CW34"/>
          <cell r="CX34"/>
          <cell r="CY34">
            <v>303003</v>
          </cell>
          <cell r="CZ34">
            <v>303005</v>
          </cell>
          <cell r="DA34">
            <v>303007</v>
          </cell>
          <cell r="DB34">
            <v>303009</v>
          </cell>
          <cell r="DC34">
            <v>303011</v>
          </cell>
          <cell r="DD34">
            <v>303013</v>
          </cell>
        </row>
        <row r="35">
          <cell r="B35" t="str">
            <v>31</v>
          </cell>
          <cell r="C35"/>
          <cell r="D35" t="str">
            <v>Legal &amp; Auditing</v>
          </cell>
          <cell r="E35"/>
          <cell r="F35"/>
          <cell r="G35"/>
          <cell r="H35"/>
          <cell r="I35"/>
          <cell r="J35"/>
          <cell r="K35"/>
          <cell r="L35"/>
          <cell r="M35"/>
          <cell r="N35"/>
          <cell r="O35"/>
          <cell r="P35"/>
          <cell r="Q35"/>
          <cell r="R35" t="str">
            <v>0400</v>
          </cell>
          <cell r="S35">
            <v>1225</v>
          </cell>
          <cell r="T35"/>
          <cell r="U35"/>
          <cell r="V35"/>
          <cell r="W35"/>
          <cell r="X35"/>
          <cell r="Y35"/>
          <cell r="Z35"/>
          <cell r="AA35"/>
          <cell r="AB35"/>
          <cell r="AC35"/>
          <cell r="AD35" t="e">
            <v>#REF!</v>
          </cell>
          <cell r="AE35"/>
          <cell r="AF35"/>
          <cell r="AG35"/>
          <cell r="AH35"/>
          <cell r="AI35">
            <v>14856</v>
          </cell>
          <cell r="AJ35"/>
          <cell r="AK35"/>
          <cell r="AL35"/>
          <cell r="AM35"/>
          <cell r="AN35"/>
          <cell r="AO35"/>
          <cell r="AP35"/>
          <cell r="AQ35"/>
          <cell r="AR35"/>
          <cell r="AS35"/>
          <cell r="AT35" t="e">
            <v>#REF!</v>
          </cell>
          <cell r="AU35"/>
          <cell r="AV35"/>
          <cell r="AW35"/>
          <cell r="AX35"/>
          <cell r="AY35">
            <v>746</v>
          </cell>
          <cell r="AZ35"/>
          <cell r="BA35"/>
          <cell r="BB35"/>
          <cell r="BC35"/>
          <cell r="BD35"/>
          <cell r="BE35" t="e">
            <v>#REF!</v>
          </cell>
          <cell r="BF35"/>
          <cell r="BG35"/>
          <cell r="BH35"/>
          <cell r="BI35"/>
          <cell r="BJ35">
            <v>9043</v>
          </cell>
          <cell r="BK35"/>
          <cell r="BL35"/>
          <cell r="BM35"/>
          <cell r="BN35"/>
          <cell r="BO35"/>
          <cell r="BP35" t="e">
            <v>#REF!</v>
          </cell>
          <cell r="BQ35"/>
          <cell r="BR35"/>
          <cell r="BS35"/>
          <cell r="BT35"/>
          <cell r="BU35">
            <v>426</v>
          </cell>
          <cell r="BV35"/>
          <cell r="BW35"/>
          <cell r="BX35"/>
          <cell r="BY35"/>
          <cell r="BZ35"/>
          <cell r="CA35" t="e">
            <v>#REF!</v>
          </cell>
          <cell r="CB35"/>
          <cell r="CC35"/>
          <cell r="CD35"/>
          <cell r="CE35"/>
          <cell r="CF35">
            <v>5167</v>
          </cell>
          <cell r="CG35"/>
          <cell r="CH35"/>
          <cell r="CI35"/>
          <cell r="CJ35"/>
          <cell r="CK35"/>
          <cell r="CL35"/>
          <cell r="CM35"/>
          <cell r="CN35"/>
          <cell r="CO35"/>
          <cell r="CP35"/>
          <cell r="CQ35" t="e">
            <v>#REF!</v>
          </cell>
          <cell r="CR35"/>
          <cell r="CS35"/>
          <cell r="CT35"/>
          <cell r="CU35"/>
          <cell r="CV35" t="str">
            <v>31</v>
          </cell>
          <cell r="CW35"/>
          <cell r="CX35"/>
          <cell r="CY35">
            <v>303103</v>
          </cell>
          <cell r="CZ35">
            <v>303105</v>
          </cell>
          <cell r="DA35">
            <v>303107</v>
          </cell>
          <cell r="DB35">
            <v>303109</v>
          </cell>
          <cell r="DC35">
            <v>303111</v>
          </cell>
          <cell r="DD35">
            <v>303113</v>
          </cell>
        </row>
        <row r="36">
          <cell r="B36" t="str">
            <v>32</v>
          </cell>
          <cell r="C36"/>
          <cell r="D36" t="str">
            <v>Communication, Telephone, Internet &amp; Data Processing</v>
          </cell>
          <cell r="E36"/>
          <cell r="F36"/>
          <cell r="G36"/>
          <cell r="H36"/>
          <cell r="I36"/>
          <cell r="J36"/>
          <cell r="K36"/>
          <cell r="L36"/>
          <cell r="M36"/>
          <cell r="N36"/>
          <cell r="O36"/>
          <cell r="P36"/>
          <cell r="Q36"/>
          <cell r="R36" t="str">
            <v>0410</v>
          </cell>
          <cell r="S36">
            <v>5198</v>
          </cell>
          <cell r="T36"/>
          <cell r="U36"/>
          <cell r="V36"/>
          <cell r="W36"/>
          <cell r="X36"/>
          <cell r="Y36"/>
          <cell r="Z36"/>
          <cell r="AA36"/>
          <cell r="AB36"/>
          <cell r="AC36"/>
          <cell r="AD36" t="e">
            <v>#REF!</v>
          </cell>
          <cell r="AE36"/>
          <cell r="AF36"/>
          <cell r="AG36"/>
          <cell r="AH36"/>
          <cell r="AI36">
            <v>56193</v>
          </cell>
          <cell r="AJ36"/>
          <cell r="AK36"/>
          <cell r="AL36"/>
          <cell r="AM36"/>
          <cell r="AN36"/>
          <cell r="AO36"/>
          <cell r="AP36"/>
          <cell r="AQ36"/>
          <cell r="AR36"/>
          <cell r="AS36"/>
          <cell r="AT36" t="e">
            <v>#REF!</v>
          </cell>
          <cell r="AU36"/>
          <cell r="AV36"/>
          <cell r="AW36"/>
          <cell r="AX36"/>
          <cell r="AY36">
            <v>3354</v>
          </cell>
          <cell r="AZ36"/>
          <cell r="BA36"/>
          <cell r="BB36"/>
          <cell r="BC36"/>
          <cell r="BD36"/>
          <cell r="BE36" t="e">
            <v>#REF!</v>
          </cell>
          <cell r="BF36"/>
          <cell r="BG36"/>
          <cell r="BH36"/>
          <cell r="BI36"/>
          <cell r="BJ36">
            <v>37310</v>
          </cell>
          <cell r="BK36"/>
          <cell r="BL36"/>
          <cell r="BM36"/>
          <cell r="BN36"/>
          <cell r="BO36"/>
          <cell r="BP36" t="e">
            <v>#REF!</v>
          </cell>
          <cell r="BQ36"/>
          <cell r="BR36"/>
          <cell r="BS36"/>
          <cell r="BT36"/>
          <cell r="BU36">
            <v>1081</v>
          </cell>
          <cell r="BV36"/>
          <cell r="BW36"/>
          <cell r="BX36"/>
          <cell r="BY36"/>
          <cell r="BZ36"/>
          <cell r="CA36" t="e">
            <v>#REF!</v>
          </cell>
          <cell r="CB36"/>
          <cell r="CC36"/>
          <cell r="CD36"/>
          <cell r="CE36"/>
          <cell r="CF36">
            <v>13999</v>
          </cell>
          <cell r="CG36"/>
          <cell r="CH36"/>
          <cell r="CI36"/>
          <cell r="CJ36"/>
          <cell r="CK36"/>
          <cell r="CL36"/>
          <cell r="CM36"/>
          <cell r="CN36"/>
          <cell r="CO36"/>
          <cell r="CP36"/>
          <cell r="CQ36" t="e">
            <v>#REF!</v>
          </cell>
          <cell r="CR36"/>
          <cell r="CS36"/>
          <cell r="CT36"/>
          <cell r="CU36"/>
          <cell r="CV36" t="str">
            <v>32</v>
          </cell>
          <cell r="CW36"/>
          <cell r="CX36"/>
          <cell r="CY36">
            <v>303203</v>
          </cell>
          <cell r="CZ36">
            <v>303205</v>
          </cell>
          <cell r="DA36">
            <v>303207</v>
          </cell>
          <cell r="DB36">
            <v>303209</v>
          </cell>
          <cell r="DC36">
            <v>303211</v>
          </cell>
          <cell r="DD36">
            <v>303213</v>
          </cell>
        </row>
        <row r="37">
          <cell r="B37" t="str">
            <v>33</v>
          </cell>
          <cell r="C37"/>
          <cell r="D37" t="str">
            <v>Employee Training</v>
          </cell>
          <cell r="E37"/>
          <cell r="F37"/>
          <cell r="G37"/>
          <cell r="H37"/>
          <cell r="I37"/>
          <cell r="J37"/>
          <cell r="K37"/>
          <cell r="L37"/>
          <cell r="M37"/>
          <cell r="N37"/>
          <cell r="O37"/>
          <cell r="P37"/>
          <cell r="Q37"/>
          <cell r="R37" t="str">
            <v>0420</v>
          </cell>
          <cell r="S37">
            <v>1846</v>
          </cell>
          <cell r="T37"/>
          <cell r="U37"/>
          <cell r="V37"/>
          <cell r="W37"/>
          <cell r="X37"/>
          <cell r="Y37"/>
          <cell r="Z37"/>
          <cell r="AA37"/>
          <cell r="AB37"/>
          <cell r="AC37"/>
          <cell r="AD37" t="e">
            <v>#REF!</v>
          </cell>
          <cell r="AE37"/>
          <cell r="AF37"/>
          <cell r="AG37"/>
          <cell r="AH37"/>
          <cell r="AI37">
            <v>17093</v>
          </cell>
          <cell r="AJ37"/>
          <cell r="AK37"/>
          <cell r="AL37"/>
          <cell r="AM37"/>
          <cell r="AN37"/>
          <cell r="AO37"/>
          <cell r="AP37"/>
          <cell r="AQ37"/>
          <cell r="AR37"/>
          <cell r="AS37"/>
          <cell r="AT37" t="e">
            <v>#REF!</v>
          </cell>
          <cell r="AU37"/>
          <cell r="AV37"/>
          <cell r="AW37"/>
          <cell r="AX37"/>
          <cell r="AY37">
            <v>-3</v>
          </cell>
          <cell r="AZ37"/>
          <cell r="BA37"/>
          <cell r="BB37"/>
          <cell r="BC37"/>
          <cell r="BD37"/>
          <cell r="BE37" t="e">
            <v>#REF!</v>
          </cell>
          <cell r="BF37"/>
          <cell r="BG37"/>
          <cell r="BH37"/>
          <cell r="BI37"/>
          <cell r="BJ37">
            <v>186</v>
          </cell>
          <cell r="BK37"/>
          <cell r="BL37"/>
          <cell r="BM37"/>
          <cell r="BN37"/>
          <cell r="BO37"/>
          <cell r="BP37" t="e">
            <v>#REF!</v>
          </cell>
          <cell r="BQ37"/>
          <cell r="BR37"/>
          <cell r="BS37"/>
          <cell r="BT37"/>
          <cell r="BU37">
            <v>-5</v>
          </cell>
          <cell r="BV37"/>
          <cell r="BW37"/>
          <cell r="BX37"/>
          <cell r="BY37"/>
          <cell r="BZ37"/>
          <cell r="CA37" t="e">
            <v>#REF!</v>
          </cell>
          <cell r="CB37"/>
          <cell r="CC37"/>
          <cell r="CD37"/>
          <cell r="CE37"/>
          <cell r="CF37">
            <v>250</v>
          </cell>
          <cell r="CG37"/>
          <cell r="CH37"/>
          <cell r="CI37"/>
          <cell r="CJ37"/>
          <cell r="CK37"/>
          <cell r="CL37"/>
          <cell r="CM37"/>
          <cell r="CN37"/>
          <cell r="CO37"/>
          <cell r="CP37"/>
          <cell r="CQ37" t="e">
            <v>#REF!</v>
          </cell>
          <cell r="CR37"/>
          <cell r="CS37"/>
          <cell r="CT37"/>
          <cell r="CU37"/>
          <cell r="CV37" t="str">
            <v>33</v>
          </cell>
          <cell r="CW37"/>
          <cell r="CX37"/>
          <cell r="CY37">
            <v>303303</v>
          </cell>
          <cell r="CZ37">
            <v>303305</v>
          </cell>
          <cell r="DA37">
            <v>303307</v>
          </cell>
          <cell r="DB37">
            <v>303309</v>
          </cell>
          <cell r="DC37">
            <v>303311</v>
          </cell>
          <cell r="DD37">
            <v>303313</v>
          </cell>
        </row>
        <row r="38">
          <cell r="B38" t="str">
            <v>34</v>
          </cell>
          <cell r="C38"/>
          <cell r="D38" t="str">
            <v>Bad Debts</v>
          </cell>
          <cell r="E38"/>
          <cell r="F38"/>
          <cell r="G38"/>
          <cell r="H38"/>
          <cell r="I38"/>
          <cell r="J38"/>
          <cell r="K38"/>
          <cell r="L38"/>
          <cell r="M38"/>
          <cell r="N38"/>
          <cell r="O38"/>
          <cell r="P38"/>
          <cell r="Q38"/>
          <cell r="R38" t="str">
            <v>0430</v>
          </cell>
          <cell r="S38">
            <v>0</v>
          </cell>
          <cell r="T38"/>
          <cell r="U38"/>
          <cell r="V38"/>
          <cell r="W38"/>
          <cell r="X38"/>
          <cell r="Y38"/>
          <cell r="Z38"/>
          <cell r="AA38"/>
          <cell r="AB38"/>
          <cell r="AC38"/>
          <cell r="AD38" t="e">
            <v>#REF!</v>
          </cell>
          <cell r="AE38"/>
          <cell r="AF38"/>
          <cell r="AG38"/>
          <cell r="AH38"/>
          <cell r="AI38">
            <v>761</v>
          </cell>
          <cell r="AJ38"/>
          <cell r="AK38"/>
          <cell r="AL38"/>
          <cell r="AM38"/>
          <cell r="AN38"/>
          <cell r="AO38"/>
          <cell r="AP38"/>
          <cell r="AQ38"/>
          <cell r="AR38"/>
          <cell r="AS38"/>
          <cell r="AT38" t="e">
            <v>#REF!</v>
          </cell>
          <cell r="AU38"/>
          <cell r="AV38"/>
          <cell r="AW38"/>
          <cell r="AX38"/>
          <cell r="AY38">
            <v>0</v>
          </cell>
          <cell r="AZ38"/>
          <cell r="BA38"/>
          <cell r="BB38"/>
          <cell r="BC38"/>
          <cell r="BD38"/>
          <cell r="BE38" t="e">
            <v>#REF!</v>
          </cell>
          <cell r="BF38"/>
          <cell r="BG38"/>
          <cell r="BH38"/>
          <cell r="BI38"/>
          <cell r="BJ38">
            <v>1095</v>
          </cell>
          <cell r="BK38"/>
          <cell r="BL38"/>
          <cell r="BM38"/>
          <cell r="BN38"/>
          <cell r="BO38"/>
          <cell r="BP38" t="e">
            <v>#REF!</v>
          </cell>
          <cell r="BQ38"/>
          <cell r="BR38"/>
          <cell r="BS38"/>
          <cell r="BT38"/>
          <cell r="BU38">
            <v>0</v>
          </cell>
          <cell r="BV38"/>
          <cell r="BW38"/>
          <cell r="BX38"/>
          <cell r="BY38"/>
          <cell r="BZ38"/>
          <cell r="CA38" t="e">
            <v>#REF!</v>
          </cell>
          <cell r="CB38"/>
          <cell r="CC38"/>
          <cell r="CD38"/>
          <cell r="CE38"/>
          <cell r="CF38">
            <v>342</v>
          </cell>
          <cell r="CG38"/>
          <cell r="CH38"/>
          <cell r="CI38"/>
          <cell r="CJ38"/>
          <cell r="CK38"/>
          <cell r="CL38"/>
          <cell r="CM38"/>
          <cell r="CN38"/>
          <cell r="CO38"/>
          <cell r="CP38"/>
          <cell r="CQ38" t="e">
            <v>#REF!</v>
          </cell>
          <cell r="CR38"/>
          <cell r="CS38"/>
          <cell r="CT38"/>
          <cell r="CU38"/>
          <cell r="CV38" t="str">
            <v>34</v>
          </cell>
          <cell r="CW38"/>
          <cell r="CX38"/>
          <cell r="CY38">
            <v>303403</v>
          </cell>
          <cell r="CZ38">
            <v>303405</v>
          </cell>
          <cell r="DA38">
            <v>303407</v>
          </cell>
          <cell r="DB38">
            <v>303409</v>
          </cell>
          <cell r="DC38">
            <v>303411</v>
          </cell>
          <cell r="DD38">
            <v>303413</v>
          </cell>
        </row>
        <row r="39">
          <cell r="B39" t="str">
            <v>35</v>
          </cell>
          <cell r="C39"/>
          <cell r="D39" t="str">
            <v>Postage &amp; Misc.</v>
          </cell>
          <cell r="E39"/>
          <cell r="F39"/>
          <cell r="G39"/>
          <cell r="H39"/>
          <cell r="I39"/>
          <cell r="J39"/>
          <cell r="K39"/>
          <cell r="L39"/>
          <cell r="M39"/>
          <cell r="N39"/>
          <cell r="O39"/>
          <cell r="P39"/>
          <cell r="Q39"/>
          <cell r="R39" t="str">
            <v>0440</v>
          </cell>
          <cell r="S39">
            <v>1440</v>
          </cell>
          <cell r="T39"/>
          <cell r="U39"/>
          <cell r="V39"/>
          <cell r="W39"/>
          <cell r="X39"/>
          <cell r="Y39"/>
          <cell r="Z39"/>
          <cell r="AA39"/>
          <cell r="AB39"/>
          <cell r="AC39"/>
          <cell r="AD39" t="e">
            <v>#REF!</v>
          </cell>
          <cell r="AE39"/>
          <cell r="AF39"/>
          <cell r="AG39"/>
          <cell r="AH39"/>
          <cell r="AI39">
            <v>10416</v>
          </cell>
          <cell r="AJ39"/>
          <cell r="AK39"/>
          <cell r="AL39"/>
          <cell r="AM39"/>
          <cell r="AN39"/>
          <cell r="AO39"/>
          <cell r="AP39"/>
          <cell r="AQ39"/>
          <cell r="AR39"/>
          <cell r="AS39"/>
          <cell r="AT39" t="e">
            <v>#REF!</v>
          </cell>
          <cell r="AU39"/>
          <cell r="AV39"/>
          <cell r="AW39"/>
          <cell r="AX39"/>
          <cell r="AY39">
            <v>536</v>
          </cell>
          <cell r="AZ39"/>
          <cell r="BA39"/>
          <cell r="BB39"/>
          <cell r="BC39"/>
          <cell r="BD39"/>
          <cell r="BE39" t="e">
            <v>#REF!</v>
          </cell>
          <cell r="BF39"/>
          <cell r="BG39"/>
          <cell r="BH39"/>
          <cell r="BI39"/>
          <cell r="BJ39">
            <v>3019</v>
          </cell>
          <cell r="BK39"/>
          <cell r="BL39"/>
          <cell r="BM39"/>
          <cell r="BN39"/>
          <cell r="BO39"/>
          <cell r="BP39" t="e">
            <v>#REF!</v>
          </cell>
          <cell r="BQ39"/>
          <cell r="BR39"/>
          <cell r="BS39"/>
          <cell r="BT39"/>
          <cell r="BU39">
            <v>311</v>
          </cell>
          <cell r="BV39"/>
          <cell r="BW39"/>
          <cell r="BX39"/>
          <cell r="BY39"/>
          <cell r="BZ39"/>
          <cell r="CA39" t="e">
            <v>#REF!</v>
          </cell>
          <cell r="CB39"/>
          <cell r="CC39"/>
          <cell r="CD39"/>
          <cell r="CE39"/>
          <cell r="CF39">
            <v>1731</v>
          </cell>
          <cell r="CG39"/>
          <cell r="CH39"/>
          <cell r="CI39"/>
          <cell r="CJ39"/>
          <cell r="CK39"/>
          <cell r="CL39"/>
          <cell r="CM39"/>
          <cell r="CN39"/>
          <cell r="CO39"/>
          <cell r="CP39"/>
          <cell r="CQ39" t="e">
            <v>#REF!</v>
          </cell>
          <cell r="CR39"/>
          <cell r="CS39"/>
          <cell r="CT39"/>
          <cell r="CU39"/>
          <cell r="CV39" t="str">
            <v>35</v>
          </cell>
          <cell r="CW39"/>
          <cell r="CX39"/>
          <cell r="CY39">
            <v>303503</v>
          </cell>
          <cell r="CZ39">
            <v>303505</v>
          </cell>
          <cell r="DA39">
            <v>303507</v>
          </cell>
          <cell r="DB39">
            <v>303509</v>
          </cell>
          <cell r="DC39">
            <v>303511</v>
          </cell>
          <cell r="DD39">
            <v>303513</v>
          </cell>
        </row>
        <row r="40">
          <cell r="B40" t="str">
            <v>36</v>
          </cell>
          <cell r="C40"/>
          <cell r="D40" t="str">
            <v>Dues, Subscriptions, Memberships &amp; Contributions</v>
          </cell>
          <cell r="E40"/>
          <cell r="F40"/>
          <cell r="G40"/>
          <cell r="H40"/>
          <cell r="I40"/>
          <cell r="J40"/>
          <cell r="K40"/>
          <cell r="L40"/>
          <cell r="M40"/>
          <cell r="N40"/>
          <cell r="O40"/>
          <cell r="P40"/>
          <cell r="Q40"/>
          <cell r="R40" t="str">
            <v>0480</v>
          </cell>
          <cell r="S40">
            <v>864</v>
          </cell>
          <cell r="T40"/>
          <cell r="U40"/>
          <cell r="V40"/>
          <cell r="W40"/>
          <cell r="X40"/>
          <cell r="Y40"/>
          <cell r="Z40"/>
          <cell r="AA40"/>
          <cell r="AB40"/>
          <cell r="AC40"/>
          <cell r="AD40" t="e">
            <v>#REF!</v>
          </cell>
          <cell r="AE40"/>
          <cell r="AF40"/>
          <cell r="AG40"/>
          <cell r="AH40"/>
          <cell r="AI40">
            <v>14757</v>
          </cell>
          <cell r="AJ40"/>
          <cell r="AK40"/>
          <cell r="AL40"/>
          <cell r="AM40"/>
          <cell r="AN40"/>
          <cell r="AO40"/>
          <cell r="AP40"/>
          <cell r="AQ40"/>
          <cell r="AR40"/>
          <cell r="AS40"/>
          <cell r="AT40" t="e">
            <v>#REF!</v>
          </cell>
          <cell r="AU40"/>
          <cell r="AV40"/>
          <cell r="AW40"/>
          <cell r="AX40"/>
          <cell r="AY40">
            <v>747</v>
          </cell>
          <cell r="AZ40"/>
          <cell r="BA40"/>
          <cell r="BB40"/>
          <cell r="BC40"/>
          <cell r="BD40"/>
          <cell r="BE40" t="e">
            <v>#REF!</v>
          </cell>
          <cell r="BF40"/>
          <cell r="BG40"/>
          <cell r="BH40"/>
          <cell r="BI40"/>
          <cell r="BJ40">
            <v>16014</v>
          </cell>
          <cell r="BK40"/>
          <cell r="BL40"/>
          <cell r="BM40"/>
          <cell r="BN40"/>
          <cell r="BO40"/>
          <cell r="BP40" t="e">
            <v>#REF!</v>
          </cell>
          <cell r="BQ40"/>
          <cell r="BR40"/>
          <cell r="BS40"/>
          <cell r="BT40"/>
          <cell r="BU40">
            <v>1056</v>
          </cell>
          <cell r="BV40"/>
          <cell r="BW40"/>
          <cell r="BX40"/>
          <cell r="BY40"/>
          <cell r="BZ40"/>
          <cell r="CA40" t="e">
            <v>#REF!</v>
          </cell>
          <cell r="CB40"/>
          <cell r="CC40"/>
          <cell r="CD40"/>
          <cell r="CE40"/>
          <cell r="CF40">
            <v>13041</v>
          </cell>
          <cell r="CG40"/>
          <cell r="CH40"/>
          <cell r="CI40"/>
          <cell r="CJ40"/>
          <cell r="CK40"/>
          <cell r="CL40"/>
          <cell r="CM40"/>
          <cell r="CN40"/>
          <cell r="CO40"/>
          <cell r="CP40"/>
          <cell r="CQ40" t="e">
            <v>#REF!</v>
          </cell>
          <cell r="CR40"/>
          <cell r="CS40"/>
          <cell r="CT40"/>
          <cell r="CU40"/>
          <cell r="CV40" t="str">
            <v>36</v>
          </cell>
          <cell r="CW40"/>
          <cell r="CX40"/>
          <cell r="CY40">
            <v>303603</v>
          </cell>
          <cell r="CZ40">
            <v>303605</v>
          </cell>
          <cell r="DA40">
            <v>303607</v>
          </cell>
          <cell r="DB40">
            <v>303609</v>
          </cell>
          <cell r="DC40">
            <v>303611</v>
          </cell>
          <cell r="DD40">
            <v>303613</v>
          </cell>
        </row>
        <row r="41">
          <cell r="B41" t="str">
            <v>37</v>
          </cell>
          <cell r="C41"/>
          <cell r="D41" t="str">
            <v>TOTAL SEMI-FIXED EXPENSE GROUP</v>
          </cell>
          <cell r="E41"/>
          <cell r="F41"/>
          <cell r="G41"/>
          <cell r="H41"/>
          <cell r="I41"/>
          <cell r="J41"/>
          <cell r="K41"/>
          <cell r="L41"/>
          <cell r="M41"/>
          <cell r="N41"/>
          <cell r="O41"/>
          <cell r="P41"/>
          <cell r="Q41" t="str">
            <v xml:space="preserve">(Lines 23 to 36) </v>
          </cell>
          <cell r="R41"/>
          <cell r="S41">
            <v>29059</v>
          </cell>
          <cell r="T41"/>
          <cell r="U41"/>
          <cell r="V41"/>
          <cell r="W41"/>
          <cell r="X41"/>
          <cell r="Y41"/>
          <cell r="Z41"/>
          <cell r="AA41"/>
          <cell r="AB41"/>
          <cell r="AC41"/>
          <cell r="AD41" t="e">
            <v>#REF!</v>
          </cell>
          <cell r="AE41"/>
          <cell r="AF41"/>
          <cell r="AG41"/>
          <cell r="AH41"/>
          <cell r="AI41">
            <v>305688</v>
          </cell>
          <cell r="AJ41"/>
          <cell r="AK41"/>
          <cell r="AL41"/>
          <cell r="AM41"/>
          <cell r="AN41"/>
          <cell r="AO41"/>
          <cell r="AP41"/>
          <cell r="AQ41"/>
          <cell r="AR41"/>
          <cell r="AS41"/>
          <cell r="AT41" t="e">
            <v>#REF!</v>
          </cell>
          <cell r="AU41"/>
          <cell r="AV41"/>
          <cell r="AW41"/>
          <cell r="AX41"/>
          <cell r="AY41">
            <v>17628</v>
          </cell>
          <cell r="AZ41"/>
          <cell r="BA41"/>
          <cell r="BB41"/>
          <cell r="BC41"/>
          <cell r="BD41"/>
          <cell r="BE41" t="e">
            <v>#REF!</v>
          </cell>
          <cell r="BF41"/>
          <cell r="BG41"/>
          <cell r="BH41"/>
          <cell r="BI41"/>
          <cell r="BJ41">
            <v>179216</v>
          </cell>
          <cell r="BK41"/>
          <cell r="BL41"/>
          <cell r="BM41"/>
          <cell r="BN41"/>
          <cell r="BO41"/>
          <cell r="BP41" t="e">
            <v>#REF!</v>
          </cell>
          <cell r="BQ41"/>
          <cell r="BR41"/>
          <cell r="BS41"/>
          <cell r="BT41"/>
          <cell r="BU41">
            <v>6974</v>
          </cell>
          <cell r="BV41"/>
          <cell r="BW41"/>
          <cell r="BX41"/>
          <cell r="BY41"/>
          <cell r="BZ41"/>
          <cell r="CA41" t="e">
            <v>#REF!</v>
          </cell>
          <cell r="CB41"/>
          <cell r="CC41"/>
          <cell r="CD41"/>
          <cell r="CE41"/>
          <cell r="CF41">
            <v>89446</v>
          </cell>
          <cell r="CG41"/>
          <cell r="CH41"/>
          <cell r="CI41"/>
          <cell r="CJ41"/>
          <cell r="CK41"/>
          <cell r="CL41"/>
          <cell r="CM41"/>
          <cell r="CN41"/>
          <cell r="CO41"/>
          <cell r="CP41"/>
          <cell r="CQ41" t="e">
            <v>#REF!</v>
          </cell>
          <cell r="CR41"/>
          <cell r="CS41"/>
          <cell r="CT41"/>
          <cell r="CU41"/>
          <cell r="CV41" t="str">
            <v>37</v>
          </cell>
          <cell r="CW41"/>
          <cell r="CX41"/>
          <cell r="CY41">
            <v>303703</v>
          </cell>
          <cell r="CZ41">
            <v>303705</v>
          </cell>
          <cell r="DA41">
            <v>303707</v>
          </cell>
          <cell r="DB41">
            <v>303709</v>
          </cell>
          <cell r="DC41">
            <v>303711</v>
          </cell>
          <cell r="DD41">
            <v>303713</v>
          </cell>
        </row>
        <row r="42">
          <cell r="B42" t="str">
            <v>38</v>
          </cell>
          <cell r="C42"/>
          <cell r="D42" t="str">
            <v>Rent and Interest - Real Estate Mortgages</v>
          </cell>
          <cell r="E42"/>
          <cell r="F42"/>
          <cell r="G42"/>
          <cell r="H42"/>
          <cell r="I42"/>
          <cell r="J42"/>
          <cell r="K42"/>
          <cell r="L42"/>
          <cell r="M42"/>
          <cell r="N42"/>
          <cell r="O42"/>
          <cell r="P42"/>
          <cell r="Q42"/>
          <cell r="R42" t="str">
            <v>0500</v>
          </cell>
          <cell r="S42">
            <v>6900</v>
          </cell>
          <cell r="T42"/>
          <cell r="U42"/>
          <cell r="V42"/>
          <cell r="W42"/>
          <cell r="X42"/>
          <cell r="Y42"/>
          <cell r="Z42"/>
          <cell r="AA42"/>
          <cell r="AB42"/>
          <cell r="AC42"/>
          <cell r="AD42" t="e">
            <v>#REF!</v>
          </cell>
          <cell r="AE42"/>
          <cell r="AF42"/>
          <cell r="AG42"/>
          <cell r="AH42"/>
          <cell r="AI42">
            <v>82800</v>
          </cell>
          <cell r="AJ42"/>
          <cell r="AK42"/>
          <cell r="AL42"/>
          <cell r="AM42"/>
          <cell r="AN42"/>
          <cell r="AO42"/>
          <cell r="AP42"/>
          <cell r="AQ42"/>
          <cell r="AR42"/>
          <cell r="AS42"/>
          <cell r="AT42" t="e">
            <v>#REF!</v>
          </cell>
          <cell r="AU42"/>
          <cell r="AV42"/>
          <cell r="AW42"/>
          <cell r="AX42"/>
          <cell r="AY42">
            <v>4200</v>
          </cell>
          <cell r="AZ42"/>
          <cell r="BA42"/>
          <cell r="BB42"/>
          <cell r="BC42"/>
          <cell r="BD42"/>
          <cell r="BE42" t="e">
            <v>#REF!</v>
          </cell>
          <cell r="BF42"/>
          <cell r="BG42"/>
          <cell r="BH42"/>
          <cell r="BI42"/>
          <cell r="BJ42">
            <v>50400</v>
          </cell>
          <cell r="BK42"/>
          <cell r="BL42"/>
          <cell r="BM42"/>
          <cell r="BN42"/>
          <cell r="BO42"/>
          <cell r="BP42" t="e">
            <v>#REF!</v>
          </cell>
          <cell r="BQ42"/>
          <cell r="BR42"/>
          <cell r="BS42"/>
          <cell r="BT42"/>
          <cell r="BU42">
            <v>2400</v>
          </cell>
          <cell r="BV42"/>
          <cell r="BW42"/>
          <cell r="BX42"/>
          <cell r="BY42"/>
          <cell r="BZ42"/>
          <cell r="CA42" t="e">
            <v>#REF!</v>
          </cell>
          <cell r="CB42"/>
          <cell r="CC42"/>
          <cell r="CD42"/>
          <cell r="CE42"/>
          <cell r="CF42">
            <v>28800</v>
          </cell>
          <cell r="CG42"/>
          <cell r="CH42"/>
          <cell r="CI42"/>
          <cell r="CJ42"/>
          <cell r="CK42"/>
          <cell r="CL42"/>
          <cell r="CM42"/>
          <cell r="CN42"/>
          <cell r="CO42"/>
          <cell r="CP42"/>
          <cell r="CQ42" t="e">
            <v>#REF!</v>
          </cell>
          <cell r="CR42"/>
          <cell r="CS42"/>
          <cell r="CT42"/>
          <cell r="CU42"/>
          <cell r="CV42" t="str">
            <v>38</v>
          </cell>
          <cell r="CW42"/>
          <cell r="CX42"/>
          <cell r="CY42">
            <v>303803</v>
          </cell>
          <cell r="CZ42">
            <v>303805</v>
          </cell>
          <cell r="DA42">
            <v>303807</v>
          </cell>
          <cell r="DB42">
            <v>303809</v>
          </cell>
          <cell r="DC42">
            <v>303811</v>
          </cell>
          <cell r="DD42">
            <v>303813</v>
          </cell>
        </row>
        <row r="43">
          <cell r="B43" t="str">
            <v>39</v>
          </cell>
          <cell r="C43"/>
          <cell r="D43" t="str">
            <v>Amortization - Leaseholds</v>
          </cell>
          <cell r="E43"/>
          <cell r="F43"/>
          <cell r="G43"/>
          <cell r="H43"/>
          <cell r="I43"/>
          <cell r="J43"/>
          <cell r="K43"/>
          <cell r="L43"/>
          <cell r="M43"/>
          <cell r="N43"/>
          <cell r="O43"/>
          <cell r="P43"/>
          <cell r="Q43"/>
          <cell r="R43" t="str">
            <v>0510</v>
          </cell>
          <cell r="S43">
            <v>0</v>
          </cell>
          <cell r="T43"/>
          <cell r="U43"/>
          <cell r="V43"/>
          <cell r="W43"/>
          <cell r="X43"/>
          <cell r="Y43"/>
          <cell r="Z43"/>
          <cell r="AA43"/>
          <cell r="AB43"/>
          <cell r="AC43"/>
          <cell r="AD43" t="e">
            <v>#REF!</v>
          </cell>
          <cell r="AE43"/>
          <cell r="AF43"/>
          <cell r="AG43"/>
          <cell r="AH43"/>
          <cell r="AI43">
            <v>0</v>
          </cell>
          <cell r="AJ43"/>
          <cell r="AK43"/>
          <cell r="AL43"/>
          <cell r="AM43"/>
          <cell r="AN43"/>
          <cell r="AO43"/>
          <cell r="AP43"/>
          <cell r="AQ43"/>
          <cell r="AR43"/>
          <cell r="AS43"/>
          <cell r="AT43" t="e">
            <v>#REF!</v>
          </cell>
          <cell r="AU43"/>
          <cell r="AV43"/>
          <cell r="AW43"/>
          <cell r="AX43"/>
          <cell r="AY43">
            <v>0</v>
          </cell>
          <cell r="AZ43"/>
          <cell r="BA43"/>
          <cell r="BB43"/>
          <cell r="BC43"/>
          <cell r="BD43"/>
          <cell r="BE43" t="e">
            <v>#REF!</v>
          </cell>
          <cell r="BF43"/>
          <cell r="BG43"/>
          <cell r="BH43"/>
          <cell r="BI43"/>
          <cell r="BJ43">
            <v>0</v>
          </cell>
          <cell r="BK43"/>
          <cell r="BL43"/>
          <cell r="BM43"/>
          <cell r="BN43"/>
          <cell r="BO43"/>
          <cell r="BP43" t="e">
            <v>#REF!</v>
          </cell>
          <cell r="BQ43"/>
          <cell r="BR43"/>
          <cell r="BS43"/>
          <cell r="BT43"/>
          <cell r="BU43">
            <v>0</v>
          </cell>
          <cell r="BV43"/>
          <cell r="BW43"/>
          <cell r="BX43"/>
          <cell r="BY43"/>
          <cell r="BZ43"/>
          <cell r="CA43" t="e">
            <v>#REF!</v>
          </cell>
          <cell r="CB43"/>
          <cell r="CC43"/>
          <cell r="CD43"/>
          <cell r="CE43"/>
          <cell r="CF43">
            <v>0</v>
          </cell>
          <cell r="CG43"/>
          <cell r="CH43"/>
          <cell r="CI43"/>
          <cell r="CJ43"/>
          <cell r="CK43"/>
          <cell r="CL43"/>
          <cell r="CM43"/>
          <cell r="CN43"/>
          <cell r="CO43"/>
          <cell r="CP43"/>
          <cell r="CQ43" t="e">
            <v>#REF!</v>
          </cell>
          <cell r="CR43"/>
          <cell r="CS43"/>
          <cell r="CT43"/>
          <cell r="CU43"/>
          <cell r="CV43" t="str">
            <v>39</v>
          </cell>
          <cell r="CW43"/>
          <cell r="CX43"/>
          <cell r="CY43">
            <v>303903</v>
          </cell>
          <cell r="CZ43">
            <v>303905</v>
          </cell>
          <cell r="DA43">
            <v>303907</v>
          </cell>
          <cell r="DB43">
            <v>303909</v>
          </cell>
          <cell r="DC43">
            <v>303911</v>
          </cell>
          <cell r="DD43">
            <v>303913</v>
          </cell>
        </row>
        <row r="44">
          <cell r="B44" t="str">
            <v>40</v>
          </cell>
          <cell r="C44"/>
          <cell r="D44" t="str">
            <v>Repair &amp; Maintenance - Real Estate</v>
          </cell>
          <cell r="E44"/>
          <cell r="F44"/>
          <cell r="G44"/>
          <cell r="H44"/>
          <cell r="I44"/>
          <cell r="J44"/>
          <cell r="K44"/>
          <cell r="L44"/>
          <cell r="M44"/>
          <cell r="N44"/>
          <cell r="O44"/>
          <cell r="P44"/>
          <cell r="Q44"/>
          <cell r="R44" t="str">
            <v>0520</v>
          </cell>
          <cell r="S44">
            <v>0</v>
          </cell>
          <cell r="T44"/>
          <cell r="U44"/>
          <cell r="V44"/>
          <cell r="W44"/>
          <cell r="X44"/>
          <cell r="Y44"/>
          <cell r="Z44"/>
          <cell r="AA44"/>
          <cell r="AB44"/>
          <cell r="AC44"/>
          <cell r="AD44" t="e">
            <v>#REF!</v>
          </cell>
          <cell r="AE44"/>
          <cell r="AF44"/>
          <cell r="AG44"/>
          <cell r="AH44"/>
          <cell r="AI44">
            <v>3148</v>
          </cell>
          <cell r="AJ44"/>
          <cell r="AK44"/>
          <cell r="AL44"/>
          <cell r="AM44"/>
          <cell r="AN44"/>
          <cell r="AO44"/>
          <cell r="AP44"/>
          <cell r="AQ44"/>
          <cell r="AR44"/>
          <cell r="AS44"/>
          <cell r="AT44" t="e">
            <v>#REF!</v>
          </cell>
          <cell r="AU44"/>
          <cell r="AV44"/>
          <cell r="AW44"/>
          <cell r="AX44"/>
          <cell r="AY44">
            <v>0</v>
          </cell>
          <cell r="AZ44"/>
          <cell r="BA44"/>
          <cell r="BB44"/>
          <cell r="BC44"/>
          <cell r="BD44"/>
          <cell r="BE44" t="e">
            <v>#REF!</v>
          </cell>
          <cell r="BF44"/>
          <cell r="BG44"/>
          <cell r="BH44"/>
          <cell r="BI44"/>
          <cell r="BJ44">
            <v>582</v>
          </cell>
          <cell r="BK44"/>
          <cell r="BL44"/>
          <cell r="BM44"/>
          <cell r="BN44"/>
          <cell r="BO44"/>
          <cell r="BP44" t="e">
            <v>#REF!</v>
          </cell>
          <cell r="BQ44"/>
          <cell r="BR44"/>
          <cell r="BS44"/>
          <cell r="BT44"/>
          <cell r="BU44">
            <v>0</v>
          </cell>
          <cell r="BV44"/>
          <cell r="BW44"/>
          <cell r="BX44"/>
          <cell r="BY44"/>
          <cell r="BZ44"/>
          <cell r="CA44" t="e">
            <v>#REF!</v>
          </cell>
          <cell r="CB44"/>
          <cell r="CC44"/>
          <cell r="CD44"/>
          <cell r="CE44"/>
          <cell r="CF44">
            <v>434</v>
          </cell>
          <cell r="CG44"/>
          <cell r="CH44"/>
          <cell r="CI44"/>
          <cell r="CJ44"/>
          <cell r="CK44"/>
          <cell r="CL44"/>
          <cell r="CM44"/>
          <cell r="CN44"/>
          <cell r="CO44"/>
          <cell r="CP44"/>
          <cell r="CQ44" t="e">
            <v>#REF!</v>
          </cell>
          <cell r="CR44"/>
          <cell r="CS44"/>
          <cell r="CT44"/>
          <cell r="CU44"/>
          <cell r="CV44" t="str">
            <v>40</v>
          </cell>
          <cell r="CW44"/>
          <cell r="CX44"/>
          <cell r="CY44">
            <v>304003</v>
          </cell>
          <cell r="CZ44">
            <v>304005</v>
          </cell>
          <cell r="DA44">
            <v>304007</v>
          </cell>
          <cell r="DB44">
            <v>304009</v>
          </cell>
          <cell r="DC44">
            <v>304011</v>
          </cell>
          <cell r="DD44">
            <v>304013</v>
          </cell>
        </row>
        <row r="45">
          <cell r="B45" t="str">
            <v>41</v>
          </cell>
          <cell r="C45"/>
          <cell r="D45" t="str">
            <v>Depreciation - Buildings &amp; Improvements</v>
          </cell>
          <cell r="E45"/>
          <cell r="F45"/>
          <cell r="G45"/>
          <cell r="H45"/>
          <cell r="I45"/>
          <cell r="J45"/>
          <cell r="K45"/>
          <cell r="L45"/>
          <cell r="M45"/>
          <cell r="N45"/>
          <cell r="O45"/>
          <cell r="P45"/>
          <cell r="Q45"/>
          <cell r="R45" t="str">
            <v>0530</v>
          </cell>
          <cell r="S45">
            <v>480</v>
          </cell>
          <cell r="T45"/>
          <cell r="U45"/>
          <cell r="V45"/>
          <cell r="W45"/>
          <cell r="X45"/>
          <cell r="Y45"/>
          <cell r="Z45"/>
          <cell r="AA45"/>
          <cell r="AB45"/>
          <cell r="AC45"/>
          <cell r="AD45" t="e">
            <v>#REF!</v>
          </cell>
          <cell r="AE45"/>
          <cell r="AF45"/>
          <cell r="AG45"/>
          <cell r="AH45"/>
          <cell r="AI45">
            <v>2880</v>
          </cell>
          <cell r="AJ45"/>
          <cell r="AK45"/>
          <cell r="AL45"/>
          <cell r="AM45"/>
          <cell r="AN45"/>
          <cell r="AO45"/>
          <cell r="AP45"/>
          <cell r="AQ45"/>
          <cell r="AR45"/>
          <cell r="AS45"/>
          <cell r="AT45" t="e">
            <v>#REF!</v>
          </cell>
          <cell r="AU45"/>
          <cell r="AV45"/>
          <cell r="AW45"/>
          <cell r="AX45"/>
          <cell r="AY45">
            <v>292</v>
          </cell>
          <cell r="AZ45"/>
          <cell r="BA45"/>
          <cell r="BB45"/>
          <cell r="BC45"/>
          <cell r="BD45"/>
          <cell r="BE45" t="e">
            <v>#REF!</v>
          </cell>
          <cell r="BF45"/>
          <cell r="BG45"/>
          <cell r="BH45"/>
          <cell r="BI45"/>
          <cell r="BJ45">
            <v>1753</v>
          </cell>
          <cell r="BK45"/>
          <cell r="BL45"/>
          <cell r="BM45"/>
          <cell r="BN45"/>
          <cell r="BO45"/>
          <cell r="BP45" t="e">
            <v>#REF!</v>
          </cell>
          <cell r="BQ45"/>
          <cell r="BR45"/>
          <cell r="BS45"/>
          <cell r="BT45"/>
          <cell r="BU45">
            <v>167</v>
          </cell>
          <cell r="BV45"/>
          <cell r="BW45"/>
          <cell r="BX45"/>
          <cell r="BY45"/>
          <cell r="BZ45"/>
          <cell r="CA45" t="e">
            <v>#REF!</v>
          </cell>
          <cell r="CB45"/>
          <cell r="CC45"/>
          <cell r="CD45"/>
          <cell r="CE45"/>
          <cell r="CF45">
            <v>1002</v>
          </cell>
          <cell r="CG45"/>
          <cell r="CH45"/>
          <cell r="CI45"/>
          <cell r="CJ45"/>
          <cell r="CK45"/>
          <cell r="CL45"/>
          <cell r="CM45"/>
          <cell r="CN45"/>
          <cell r="CO45"/>
          <cell r="CP45"/>
          <cell r="CQ45" t="e">
            <v>#REF!</v>
          </cell>
          <cell r="CR45"/>
          <cell r="CS45"/>
          <cell r="CT45"/>
          <cell r="CU45"/>
          <cell r="CV45" t="str">
            <v>41</v>
          </cell>
          <cell r="CW45"/>
          <cell r="CX45"/>
          <cell r="CY45">
            <v>304103</v>
          </cell>
          <cell r="CZ45">
            <v>304105</v>
          </cell>
          <cell r="DA45">
            <v>304107</v>
          </cell>
          <cell r="DB45">
            <v>304109</v>
          </cell>
          <cell r="DC45">
            <v>304111</v>
          </cell>
          <cell r="DD45">
            <v>304113</v>
          </cell>
        </row>
        <row r="46">
          <cell r="B46" t="str">
            <v>42</v>
          </cell>
          <cell r="C46"/>
          <cell r="D46" t="str">
            <v>Insurance - Buildings &amp; Improvements</v>
          </cell>
          <cell r="E46"/>
          <cell r="F46"/>
          <cell r="G46"/>
          <cell r="H46"/>
          <cell r="I46"/>
          <cell r="J46"/>
          <cell r="K46"/>
          <cell r="L46"/>
          <cell r="M46"/>
          <cell r="N46"/>
          <cell r="O46"/>
          <cell r="P46"/>
          <cell r="Q46"/>
          <cell r="R46" t="str">
            <v>0540</v>
          </cell>
          <cell r="S46">
            <v>423</v>
          </cell>
          <cell r="T46"/>
          <cell r="U46"/>
          <cell r="V46"/>
          <cell r="W46"/>
          <cell r="X46"/>
          <cell r="Y46"/>
          <cell r="Z46"/>
          <cell r="AA46"/>
          <cell r="AB46"/>
          <cell r="AC46"/>
          <cell r="AD46" t="e">
            <v>#REF!</v>
          </cell>
          <cell r="AE46"/>
          <cell r="AF46"/>
          <cell r="AG46"/>
          <cell r="AH46"/>
          <cell r="AI46">
            <v>4760</v>
          </cell>
          <cell r="AJ46"/>
          <cell r="AK46"/>
          <cell r="AL46"/>
          <cell r="AM46"/>
          <cell r="AN46"/>
          <cell r="AO46"/>
          <cell r="AP46"/>
          <cell r="AQ46"/>
          <cell r="AR46"/>
          <cell r="AS46"/>
          <cell r="AT46" t="e">
            <v>#REF!</v>
          </cell>
          <cell r="AU46"/>
          <cell r="AV46"/>
          <cell r="AW46"/>
          <cell r="AX46"/>
          <cell r="AY46">
            <v>257</v>
          </cell>
          <cell r="AZ46"/>
          <cell r="BA46"/>
          <cell r="BB46"/>
          <cell r="BC46"/>
          <cell r="BD46"/>
          <cell r="BE46" t="e">
            <v>#REF!</v>
          </cell>
          <cell r="BF46"/>
          <cell r="BG46"/>
          <cell r="BH46"/>
          <cell r="BI46"/>
          <cell r="BJ46">
            <v>2897</v>
          </cell>
          <cell r="BK46"/>
          <cell r="BL46"/>
          <cell r="BM46"/>
          <cell r="BN46"/>
          <cell r="BO46"/>
          <cell r="BP46" t="e">
            <v>#REF!</v>
          </cell>
          <cell r="BQ46"/>
          <cell r="BR46"/>
          <cell r="BS46"/>
          <cell r="BT46"/>
          <cell r="BU46">
            <v>147</v>
          </cell>
          <cell r="BV46"/>
          <cell r="BW46"/>
          <cell r="BX46"/>
          <cell r="BY46"/>
          <cell r="BZ46"/>
          <cell r="CA46" t="e">
            <v>#REF!</v>
          </cell>
          <cell r="CB46"/>
          <cell r="CC46"/>
          <cell r="CD46"/>
          <cell r="CE46"/>
          <cell r="CF46">
            <v>1655</v>
          </cell>
          <cell r="CG46"/>
          <cell r="CH46"/>
          <cell r="CI46"/>
          <cell r="CJ46"/>
          <cell r="CK46"/>
          <cell r="CL46"/>
          <cell r="CM46"/>
          <cell r="CN46"/>
          <cell r="CO46"/>
          <cell r="CP46"/>
          <cell r="CQ46" t="e">
            <v>#REF!</v>
          </cell>
          <cell r="CR46"/>
          <cell r="CS46"/>
          <cell r="CT46"/>
          <cell r="CU46"/>
          <cell r="CV46" t="str">
            <v>42</v>
          </cell>
          <cell r="CW46"/>
          <cell r="CX46"/>
          <cell r="CY46">
            <v>304203</v>
          </cell>
          <cell r="CZ46">
            <v>304205</v>
          </cell>
          <cell r="DA46">
            <v>304207</v>
          </cell>
          <cell r="DB46">
            <v>304209</v>
          </cell>
          <cell r="DC46">
            <v>304211</v>
          </cell>
          <cell r="DD46">
            <v>304213</v>
          </cell>
        </row>
        <row r="47">
          <cell r="B47" t="str">
            <v>43</v>
          </cell>
          <cell r="C47"/>
          <cell r="D47" t="str">
            <v>Taxes - Real Estate</v>
          </cell>
          <cell r="E47"/>
          <cell r="F47"/>
          <cell r="G47"/>
          <cell r="H47"/>
          <cell r="I47"/>
          <cell r="J47"/>
          <cell r="K47"/>
          <cell r="L47"/>
          <cell r="M47"/>
          <cell r="N47"/>
          <cell r="O47"/>
          <cell r="P47"/>
          <cell r="Q47"/>
          <cell r="R47" t="str">
            <v>0550</v>
          </cell>
          <cell r="S47">
            <v>876</v>
          </cell>
          <cell r="T47"/>
          <cell r="U47"/>
          <cell r="V47"/>
          <cell r="W47"/>
          <cell r="X47"/>
          <cell r="Y47"/>
          <cell r="Z47"/>
          <cell r="AA47"/>
          <cell r="AB47"/>
          <cell r="AC47"/>
          <cell r="AD47" t="e">
            <v>#REF!</v>
          </cell>
          <cell r="AE47"/>
          <cell r="AF47"/>
          <cell r="AG47"/>
          <cell r="AH47"/>
          <cell r="AI47">
            <v>10509</v>
          </cell>
          <cell r="AJ47"/>
          <cell r="AK47"/>
          <cell r="AL47"/>
          <cell r="AM47"/>
          <cell r="AN47"/>
          <cell r="AO47"/>
          <cell r="AP47"/>
          <cell r="AQ47"/>
          <cell r="AR47"/>
          <cell r="AS47"/>
          <cell r="AT47" t="e">
            <v>#REF!</v>
          </cell>
          <cell r="AU47"/>
          <cell r="AV47"/>
          <cell r="AW47"/>
          <cell r="AX47"/>
          <cell r="AY47">
            <v>533</v>
          </cell>
          <cell r="AZ47"/>
          <cell r="BA47"/>
          <cell r="BB47"/>
          <cell r="BC47"/>
          <cell r="BD47"/>
          <cell r="BE47" t="e">
            <v>#REF!</v>
          </cell>
          <cell r="BF47"/>
          <cell r="BG47"/>
          <cell r="BH47"/>
          <cell r="BI47"/>
          <cell r="BJ47">
            <v>6397</v>
          </cell>
          <cell r="BK47"/>
          <cell r="BL47"/>
          <cell r="BM47"/>
          <cell r="BN47"/>
          <cell r="BO47"/>
          <cell r="BP47" t="e">
            <v>#REF!</v>
          </cell>
          <cell r="BQ47"/>
          <cell r="BR47"/>
          <cell r="BS47"/>
          <cell r="BT47"/>
          <cell r="BU47">
            <v>305</v>
          </cell>
          <cell r="BV47"/>
          <cell r="BW47"/>
          <cell r="BX47"/>
          <cell r="BY47"/>
          <cell r="BZ47"/>
          <cell r="CA47" t="e">
            <v>#REF!</v>
          </cell>
          <cell r="CB47"/>
          <cell r="CC47"/>
          <cell r="CD47"/>
          <cell r="CE47"/>
          <cell r="CF47">
            <v>3655</v>
          </cell>
          <cell r="CG47"/>
          <cell r="CH47"/>
          <cell r="CI47"/>
          <cell r="CJ47"/>
          <cell r="CK47"/>
          <cell r="CL47"/>
          <cell r="CM47"/>
          <cell r="CN47"/>
          <cell r="CO47"/>
          <cell r="CP47"/>
          <cell r="CQ47" t="e">
            <v>#REF!</v>
          </cell>
          <cell r="CR47"/>
          <cell r="CS47"/>
          <cell r="CT47"/>
          <cell r="CU47"/>
          <cell r="CV47" t="str">
            <v>43</v>
          </cell>
          <cell r="CW47"/>
          <cell r="CX47"/>
          <cell r="CY47">
            <v>304303</v>
          </cell>
          <cell r="CZ47">
            <v>304305</v>
          </cell>
          <cell r="DA47">
            <v>304307</v>
          </cell>
          <cell r="DB47">
            <v>304309</v>
          </cell>
          <cell r="DC47">
            <v>304311</v>
          </cell>
          <cell r="DD47">
            <v>304313</v>
          </cell>
        </row>
        <row r="48">
          <cell r="B48" t="str">
            <v>44</v>
          </cell>
          <cell r="C48"/>
          <cell r="D48" t="str">
            <v>Heat, Light, Power &amp; Water</v>
          </cell>
          <cell r="E48"/>
          <cell r="F48"/>
          <cell r="G48"/>
          <cell r="H48"/>
          <cell r="I48"/>
          <cell r="J48"/>
          <cell r="K48"/>
          <cell r="L48"/>
          <cell r="M48"/>
          <cell r="N48"/>
          <cell r="O48"/>
          <cell r="P48"/>
          <cell r="Q48"/>
          <cell r="R48" t="str">
            <v>0570</v>
          </cell>
          <cell r="S48">
            <v>2086</v>
          </cell>
          <cell r="T48"/>
          <cell r="U48"/>
          <cell r="V48"/>
          <cell r="W48"/>
          <cell r="X48"/>
          <cell r="Y48"/>
          <cell r="Z48"/>
          <cell r="AA48"/>
          <cell r="AB48"/>
          <cell r="AC48"/>
          <cell r="AD48" t="e">
            <v>#REF!</v>
          </cell>
          <cell r="AE48"/>
          <cell r="AF48"/>
          <cell r="AG48"/>
          <cell r="AH48"/>
          <cell r="AI48">
            <v>29766</v>
          </cell>
          <cell r="AJ48"/>
          <cell r="AK48"/>
          <cell r="AL48"/>
          <cell r="AM48"/>
          <cell r="AN48"/>
          <cell r="AO48"/>
          <cell r="AP48"/>
          <cell r="AQ48"/>
          <cell r="AR48"/>
          <cell r="AS48"/>
          <cell r="AT48" t="e">
            <v>#REF!</v>
          </cell>
          <cell r="AU48"/>
          <cell r="AV48"/>
          <cell r="AW48"/>
          <cell r="AX48"/>
          <cell r="AY48">
            <v>1275</v>
          </cell>
          <cell r="AZ48"/>
          <cell r="BA48"/>
          <cell r="BB48"/>
          <cell r="BC48"/>
          <cell r="BD48"/>
          <cell r="BE48" t="e">
            <v>#REF!</v>
          </cell>
          <cell r="BF48"/>
          <cell r="BG48"/>
          <cell r="BH48"/>
          <cell r="BI48"/>
          <cell r="BJ48">
            <v>18124</v>
          </cell>
          <cell r="BK48"/>
          <cell r="BL48"/>
          <cell r="BM48"/>
          <cell r="BN48"/>
          <cell r="BO48"/>
          <cell r="BP48" t="e">
            <v>#REF!</v>
          </cell>
          <cell r="BQ48"/>
          <cell r="BR48"/>
          <cell r="BS48"/>
          <cell r="BT48"/>
          <cell r="BU48">
            <v>719</v>
          </cell>
          <cell r="BV48"/>
          <cell r="BW48"/>
          <cell r="BX48"/>
          <cell r="BY48"/>
          <cell r="BZ48"/>
          <cell r="CA48" t="e">
            <v>#REF!</v>
          </cell>
          <cell r="CB48"/>
          <cell r="CC48"/>
          <cell r="CD48"/>
          <cell r="CE48"/>
          <cell r="CF48">
            <v>10347</v>
          </cell>
          <cell r="CG48"/>
          <cell r="CH48"/>
          <cell r="CI48"/>
          <cell r="CJ48"/>
          <cell r="CK48"/>
          <cell r="CL48"/>
          <cell r="CM48"/>
          <cell r="CN48"/>
          <cell r="CO48"/>
          <cell r="CP48"/>
          <cell r="CQ48" t="e">
            <v>#REF!</v>
          </cell>
          <cell r="CR48"/>
          <cell r="CS48"/>
          <cell r="CT48"/>
          <cell r="CU48"/>
          <cell r="CV48" t="str">
            <v>44</v>
          </cell>
          <cell r="CW48"/>
          <cell r="CX48"/>
          <cell r="CY48">
            <v>304403</v>
          </cell>
          <cell r="CZ48">
            <v>304405</v>
          </cell>
          <cell r="DA48">
            <v>304407</v>
          </cell>
          <cell r="DB48">
            <v>304409</v>
          </cell>
          <cell r="DC48">
            <v>304411</v>
          </cell>
          <cell r="DD48">
            <v>304413</v>
          </cell>
        </row>
        <row r="49">
          <cell r="B49" t="str">
            <v>45</v>
          </cell>
          <cell r="C49"/>
          <cell r="D49" t="str">
            <v>SUBTOTAL - RENT &amp; RENT EQUIV. EXP.</v>
          </cell>
          <cell r="E49"/>
          <cell r="F49"/>
          <cell r="G49"/>
          <cell r="H49"/>
          <cell r="I49"/>
          <cell r="J49"/>
          <cell r="K49"/>
          <cell r="L49"/>
          <cell r="M49"/>
          <cell r="N49"/>
          <cell r="O49"/>
          <cell r="P49"/>
          <cell r="Q49" t="str">
            <v xml:space="preserve">(Lines 38 to 44) </v>
          </cell>
          <cell r="R49"/>
          <cell r="S49">
            <v>10765</v>
          </cell>
          <cell r="T49"/>
          <cell r="U49"/>
          <cell r="V49"/>
          <cell r="W49"/>
          <cell r="X49"/>
          <cell r="Y49"/>
          <cell r="Z49"/>
          <cell r="AA49"/>
          <cell r="AB49"/>
          <cell r="AC49"/>
          <cell r="AD49" t="e">
            <v>#REF!</v>
          </cell>
          <cell r="AE49"/>
          <cell r="AF49"/>
          <cell r="AG49"/>
          <cell r="AH49"/>
          <cell r="AI49">
            <v>133863</v>
          </cell>
          <cell r="AJ49"/>
          <cell r="AK49"/>
          <cell r="AL49"/>
          <cell r="AM49"/>
          <cell r="AN49"/>
          <cell r="AO49"/>
          <cell r="AP49"/>
          <cell r="AQ49"/>
          <cell r="AR49"/>
          <cell r="AS49"/>
          <cell r="AT49" t="e">
            <v>#REF!</v>
          </cell>
          <cell r="AU49"/>
          <cell r="AV49"/>
          <cell r="AW49"/>
          <cell r="AX49"/>
          <cell r="AY49">
            <v>6557</v>
          </cell>
          <cell r="AZ49"/>
          <cell r="BA49"/>
          <cell r="BB49"/>
          <cell r="BC49"/>
          <cell r="BD49"/>
          <cell r="BE49" t="e">
            <v>#REF!</v>
          </cell>
          <cell r="BF49"/>
          <cell r="BG49"/>
          <cell r="BH49"/>
          <cell r="BI49"/>
          <cell r="BJ49">
            <v>80153</v>
          </cell>
          <cell r="BK49"/>
          <cell r="BL49"/>
          <cell r="BM49"/>
          <cell r="BN49"/>
          <cell r="BO49"/>
          <cell r="BP49" t="e">
            <v>#REF!</v>
          </cell>
          <cell r="BQ49"/>
          <cell r="BR49"/>
          <cell r="BS49"/>
          <cell r="BT49"/>
          <cell r="BU49">
            <v>3738</v>
          </cell>
          <cell r="BV49"/>
          <cell r="BW49"/>
          <cell r="BX49"/>
          <cell r="BY49"/>
          <cell r="BZ49"/>
          <cell r="CA49" t="e">
            <v>#REF!</v>
          </cell>
          <cell r="CB49"/>
          <cell r="CC49"/>
          <cell r="CD49"/>
          <cell r="CE49"/>
          <cell r="CF49">
            <v>45893</v>
          </cell>
          <cell r="CG49"/>
          <cell r="CH49"/>
          <cell r="CI49"/>
          <cell r="CJ49"/>
          <cell r="CK49"/>
          <cell r="CL49"/>
          <cell r="CM49"/>
          <cell r="CN49"/>
          <cell r="CO49"/>
          <cell r="CP49"/>
          <cell r="CQ49" t="e">
            <v>#REF!</v>
          </cell>
          <cell r="CR49"/>
          <cell r="CS49"/>
          <cell r="CT49"/>
          <cell r="CU49"/>
          <cell r="CV49" t="str">
            <v>45</v>
          </cell>
          <cell r="CW49"/>
          <cell r="CX49"/>
          <cell r="CY49">
            <v>304503</v>
          </cell>
          <cell r="CZ49">
            <v>304505</v>
          </cell>
          <cell r="DA49">
            <v>304507</v>
          </cell>
          <cell r="DB49">
            <v>304509</v>
          </cell>
          <cell r="DC49">
            <v>304511</v>
          </cell>
          <cell r="DD49">
            <v>304513</v>
          </cell>
        </row>
        <row r="50">
          <cell r="B50" t="str">
            <v>46</v>
          </cell>
          <cell r="C50"/>
          <cell r="D50" t="str">
            <v>Management Fees</v>
          </cell>
          <cell r="E50"/>
          <cell r="F50"/>
          <cell r="G50"/>
          <cell r="H50"/>
          <cell r="I50"/>
          <cell r="J50"/>
          <cell r="K50"/>
          <cell r="L50"/>
          <cell r="M50"/>
          <cell r="N50"/>
          <cell r="O50"/>
          <cell r="P50"/>
          <cell r="Q50"/>
          <cell r="R50" t="str">
            <v>0600</v>
          </cell>
          <cell r="S50">
            <v>292</v>
          </cell>
          <cell r="T50"/>
          <cell r="U50"/>
          <cell r="V50"/>
          <cell r="W50"/>
          <cell r="X50"/>
          <cell r="Y50"/>
          <cell r="Z50"/>
          <cell r="AA50"/>
          <cell r="AB50"/>
          <cell r="AC50"/>
          <cell r="AD50" t="e">
            <v>#REF!</v>
          </cell>
          <cell r="AE50"/>
          <cell r="AF50"/>
          <cell r="AG50"/>
          <cell r="AH50"/>
          <cell r="AI50">
            <v>3419</v>
          </cell>
          <cell r="AJ50"/>
          <cell r="AK50"/>
          <cell r="AL50"/>
          <cell r="AM50"/>
          <cell r="AN50"/>
          <cell r="AO50"/>
          <cell r="AP50"/>
          <cell r="AQ50"/>
          <cell r="AR50"/>
          <cell r="AS50"/>
          <cell r="AT50" t="e">
            <v>#REF!</v>
          </cell>
          <cell r="AU50"/>
          <cell r="AV50"/>
          <cell r="AW50"/>
          <cell r="AX50"/>
          <cell r="AY50">
            <v>291</v>
          </cell>
          <cell r="AZ50"/>
          <cell r="BA50"/>
          <cell r="BB50"/>
          <cell r="BC50"/>
          <cell r="BD50"/>
          <cell r="BE50" t="e">
            <v>#REF!</v>
          </cell>
          <cell r="BF50"/>
          <cell r="BG50"/>
          <cell r="BH50"/>
          <cell r="BI50"/>
          <cell r="BJ50">
            <v>3258</v>
          </cell>
          <cell r="BK50"/>
          <cell r="BL50"/>
          <cell r="BM50"/>
          <cell r="BN50"/>
          <cell r="BO50"/>
          <cell r="BP50" t="e">
            <v>#REF!</v>
          </cell>
          <cell r="BQ50"/>
          <cell r="BR50"/>
          <cell r="BS50"/>
          <cell r="BT50"/>
          <cell r="BU50">
            <v>0</v>
          </cell>
          <cell r="BV50"/>
          <cell r="BW50"/>
          <cell r="BX50"/>
          <cell r="BY50"/>
          <cell r="BZ50"/>
          <cell r="CA50" t="e">
            <v>#REF!</v>
          </cell>
          <cell r="CB50"/>
          <cell r="CC50"/>
          <cell r="CD50"/>
          <cell r="CE50"/>
          <cell r="CF50">
            <v>406</v>
          </cell>
          <cell r="CG50"/>
          <cell r="CH50"/>
          <cell r="CI50"/>
          <cell r="CJ50"/>
          <cell r="CK50"/>
          <cell r="CL50"/>
          <cell r="CM50"/>
          <cell r="CN50"/>
          <cell r="CO50"/>
          <cell r="CP50"/>
          <cell r="CQ50" t="e">
            <v>#REF!</v>
          </cell>
          <cell r="CR50"/>
          <cell r="CS50"/>
          <cell r="CT50"/>
          <cell r="CU50"/>
          <cell r="CV50" t="str">
            <v>46</v>
          </cell>
          <cell r="CW50"/>
          <cell r="CX50"/>
          <cell r="CY50">
            <v>304603</v>
          </cell>
          <cell r="CZ50">
            <v>304605</v>
          </cell>
          <cell r="DA50">
            <v>304607</v>
          </cell>
          <cell r="DB50">
            <v>304609</v>
          </cell>
          <cell r="DC50">
            <v>304611</v>
          </cell>
          <cell r="DD50">
            <v>304613</v>
          </cell>
        </row>
        <row r="51">
          <cell r="B51" t="str">
            <v>47</v>
          </cell>
          <cell r="C51"/>
          <cell r="D51" t="str">
            <v>Equipment - Repairs &amp; Rental</v>
          </cell>
          <cell r="E51"/>
          <cell r="F51"/>
          <cell r="G51"/>
          <cell r="H51"/>
          <cell r="I51"/>
          <cell r="J51"/>
          <cell r="K51"/>
          <cell r="L51"/>
          <cell r="M51"/>
          <cell r="N51"/>
          <cell r="O51"/>
          <cell r="P51"/>
          <cell r="Q51"/>
          <cell r="R51" t="str">
            <v>0620</v>
          </cell>
          <cell r="S51">
            <v>2723</v>
          </cell>
          <cell r="T51"/>
          <cell r="U51"/>
          <cell r="V51"/>
          <cell r="W51"/>
          <cell r="X51"/>
          <cell r="Y51"/>
          <cell r="Z51"/>
          <cell r="AA51"/>
          <cell r="AB51"/>
          <cell r="AC51"/>
          <cell r="AD51" t="e">
            <v>#REF!</v>
          </cell>
          <cell r="AE51"/>
          <cell r="AF51"/>
          <cell r="AG51"/>
          <cell r="AH51"/>
          <cell r="AI51">
            <v>11933</v>
          </cell>
          <cell r="AJ51"/>
          <cell r="AK51"/>
          <cell r="AL51"/>
          <cell r="AM51"/>
          <cell r="AN51"/>
          <cell r="AO51"/>
          <cell r="AP51"/>
          <cell r="AQ51"/>
          <cell r="AR51"/>
          <cell r="AS51"/>
          <cell r="AT51" t="e">
            <v>#REF!</v>
          </cell>
          <cell r="AU51"/>
          <cell r="AV51"/>
          <cell r="AW51"/>
          <cell r="AX51"/>
          <cell r="AY51">
            <v>601</v>
          </cell>
          <cell r="AZ51"/>
          <cell r="BA51"/>
          <cell r="BB51"/>
          <cell r="BC51"/>
          <cell r="BD51"/>
          <cell r="BE51" t="e">
            <v>#REF!</v>
          </cell>
          <cell r="BF51"/>
          <cell r="BG51"/>
          <cell r="BH51"/>
          <cell r="BI51"/>
          <cell r="BJ51">
            <v>2846</v>
          </cell>
          <cell r="BK51"/>
          <cell r="BL51"/>
          <cell r="BM51"/>
          <cell r="BN51"/>
          <cell r="BO51"/>
          <cell r="BP51" t="e">
            <v>#REF!</v>
          </cell>
          <cell r="BQ51"/>
          <cell r="BR51"/>
          <cell r="BS51"/>
          <cell r="BT51"/>
          <cell r="BU51">
            <v>566</v>
          </cell>
          <cell r="BV51"/>
          <cell r="BW51"/>
          <cell r="BX51"/>
          <cell r="BY51"/>
          <cell r="BZ51"/>
          <cell r="CA51" t="e">
            <v>#REF!</v>
          </cell>
          <cell r="CB51"/>
          <cell r="CC51"/>
          <cell r="CD51"/>
          <cell r="CE51"/>
          <cell r="CF51">
            <v>9208</v>
          </cell>
          <cell r="CG51"/>
          <cell r="CH51"/>
          <cell r="CI51"/>
          <cell r="CJ51"/>
          <cell r="CK51"/>
          <cell r="CL51"/>
          <cell r="CM51"/>
          <cell r="CN51"/>
          <cell r="CO51"/>
          <cell r="CP51"/>
          <cell r="CQ51" t="e">
            <v>#REF!</v>
          </cell>
          <cell r="CR51"/>
          <cell r="CS51"/>
          <cell r="CT51"/>
          <cell r="CU51"/>
          <cell r="CV51" t="str">
            <v>47</v>
          </cell>
          <cell r="CW51"/>
          <cell r="CX51"/>
          <cell r="CY51">
            <v>304703</v>
          </cell>
          <cell r="CZ51">
            <v>304705</v>
          </cell>
          <cell r="DA51">
            <v>304707</v>
          </cell>
          <cell r="DB51">
            <v>304709</v>
          </cell>
          <cell r="DC51">
            <v>304711</v>
          </cell>
          <cell r="DD51">
            <v>304713</v>
          </cell>
        </row>
        <row r="52">
          <cell r="B52" t="str">
            <v>48</v>
          </cell>
          <cell r="C52"/>
          <cell r="D52" t="str">
            <v>Depreciation - Other than Buildings &amp; Improvements</v>
          </cell>
          <cell r="E52"/>
          <cell r="F52"/>
          <cell r="G52"/>
          <cell r="H52"/>
          <cell r="I52"/>
          <cell r="J52"/>
          <cell r="K52"/>
          <cell r="L52"/>
          <cell r="M52"/>
          <cell r="N52"/>
          <cell r="O52"/>
          <cell r="P52"/>
          <cell r="Q52"/>
          <cell r="R52" t="str">
            <v>0630</v>
          </cell>
          <cell r="S52">
            <v>6104</v>
          </cell>
          <cell r="T52"/>
          <cell r="U52"/>
          <cell r="V52"/>
          <cell r="W52"/>
          <cell r="X52"/>
          <cell r="Y52"/>
          <cell r="Z52"/>
          <cell r="AA52"/>
          <cell r="AB52"/>
          <cell r="AC52"/>
          <cell r="AD52" t="e">
            <v>#REF!</v>
          </cell>
          <cell r="AE52"/>
          <cell r="AF52"/>
          <cell r="AG52"/>
          <cell r="AH52"/>
          <cell r="AI52">
            <v>71898</v>
          </cell>
          <cell r="AJ52"/>
          <cell r="AK52"/>
          <cell r="AL52"/>
          <cell r="AM52"/>
          <cell r="AN52"/>
          <cell r="AO52"/>
          <cell r="AP52"/>
          <cell r="AQ52"/>
          <cell r="AR52"/>
          <cell r="AS52"/>
          <cell r="AT52" t="e">
            <v>#REF!</v>
          </cell>
          <cell r="AU52"/>
          <cell r="AV52"/>
          <cell r="AW52"/>
          <cell r="AX52"/>
          <cell r="AY52">
            <v>2001</v>
          </cell>
          <cell r="AZ52"/>
          <cell r="BA52"/>
          <cell r="BB52"/>
          <cell r="BC52"/>
          <cell r="BD52"/>
          <cell r="BE52" t="e">
            <v>#REF!</v>
          </cell>
          <cell r="BF52"/>
          <cell r="BG52"/>
          <cell r="BH52"/>
          <cell r="BI52"/>
          <cell r="BJ52">
            <v>23385</v>
          </cell>
          <cell r="BK52"/>
          <cell r="BL52"/>
          <cell r="BM52"/>
          <cell r="BN52"/>
          <cell r="BO52"/>
          <cell r="BP52" t="e">
            <v>#REF!</v>
          </cell>
          <cell r="BQ52"/>
          <cell r="BR52"/>
          <cell r="BS52"/>
          <cell r="BT52"/>
          <cell r="BU52">
            <v>4069</v>
          </cell>
          <cell r="BV52"/>
          <cell r="BW52"/>
          <cell r="BX52"/>
          <cell r="BY52"/>
          <cell r="BZ52"/>
          <cell r="CA52" t="e">
            <v>#REF!</v>
          </cell>
          <cell r="CB52"/>
          <cell r="CC52"/>
          <cell r="CD52"/>
          <cell r="CE52"/>
          <cell r="CF52">
            <v>46888</v>
          </cell>
          <cell r="CG52"/>
          <cell r="CH52"/>
          <cell r="CI52"/>
          <cell r="CJ52"/>
          <cell r="CK52"/>
          <cell r="CL52"/>
          <cell r="CM52"/>
          <cell r="CN52"/>
          <cell r="CO52"/>
          <cell r="CP52"/>
          <cell r="CQ52" t="e">
            <v>#REF!</v>
          </cell>
          <cell r="CR52"/>
          <cell r="CS52"/>
          <cell r="CT52"/>
          <cell r="CU52"/>
          <cell r="CV52" t="str">
            <v>48</v>
          </cell>
          <cell r="CW52"/>
          <cell r="CX52"/>
          <cell r="CY52">
            <v>304803</v>
          </cell>
          <cell r="CZ52">
            <v>304805</v>
          </cell>
          <cell r="DA52">
            <v>304807</v>
          </cell>
          <cell r="DB52">
            <v>304809</v>
          </cell>
          <cell r="DC52">
            <v>304811</v>
          </cell>
          <cell r="DD52">
            <v>304813</v>
          </cell>
        </row>
        <row r="53">
          <cell r="B53" t="str">
            <v>49</v>
          </cell>
          <cell r="C53"/>
          <cell r="D53" t="str">
            <v>Insurance - Other than Buildings &amp; Improvements</v>
          </cell>
          <cell r="E53"/>
          <cell r="F53"/>
          <cell r="G53"/>
          <cell r="H53"/>
          <cell r="I53"/>
          <cell r="J53"/>
          <cell r="K53"/>
          <cell r="L53"/>
          <cell r="M53"/>
          <cell r="N53"/>
          <cell r="O53"/>
          <cell r="P53"/>
          <cell r="Q53"/>
          <cell r="R53" t="str">
            <v>0640</v>
          </cell>
          <cell r="S53">
            <v>3266</v>
          </cell>
          <cell r="T53"/>
          <cell r="U53"/>
          <cell r="V53"/>
          <cell r="W53"/>
          <cell r="X53"/>
          <cell r="Y53"/>
          <cell r="Z53"/>
          <cell r="AA53"/>
          <cell r="AB53"/>
          <cell r="AC53"/>
          <cell r="AD53" t="e">
            <v>#REF!</v>
          </cell>
          <cell r="AE53"/>
          <cell r="AF53"/>
          <cell r="AG53"/>
          <cell r="AH53"/>
          <cell r="AI53">
            <v>31808</v>
          </cell>
          <cell r="AJ53"/>
          <cell r="AK53"/>
          <cell r="AL53"/>
          <cell r="AM53"/>
          <cell r="AN53"/>
          <cell r="AO53"/>
          <cell r="AP53"/>
          <cell r="AQ53"/>
          <cell r="AR53"/>
          <cell r="AS53"/>
          <cell r="AT53" t="e">
            <v>#REF!</v>
          </cell>
          <cell r="AU53"/>
          <cell r="AV53"/>
          <cell r="AW53"/>
          <cell r="AX53"/>
          <cell r="AY53">
            <v>1988</v>
          </cell>
          <cell r="AZ53"/>
          <cell r="BA53"/>
          <cell r="BB53"/>
          <cell r="BC53"/>
          <cell r="BD53"/>
          <cell r="BE53" t="e">
            <v>#REF!</v>
          </cell>
          <cell r="BF53"/>
          <cell r="BG53"/>
          <cell r="BH53"/>
          <cell r="BI53"/>
          <cell r="BJ53">
            <v>19361</v>
          </cell>
          <cell r="BK53"/>
          <cell r="BL53"/>
          <cell r="BM53"/>
          <cell r="BN53"/>
          <cell r="BO53"/>
          <cell r="BP53" t="e">
            <v>#REF!</v>
          </cell>
          <cell r="BQ53"/>
          <cell r="BR53"/>
          <cell r="BS53"/>
          <cell r="BT53"/>
          <cell r="BU53">
            <v>1137</v>
          </cell>
          <cell r="BV53"/>
          <cell r="BW53"/>
          <cell r="BX53"/>
          <cell r="BY53"/>
          <cell r="BZ53"/>
          <cell r="CA53" t="e">
            <v>#REF!</v>
          </cell>
          <cell r="CB53"/>
          <cell r="CC53"/>
          <cell r="CD53"/>
          <cell r="CE53"/>
          <cell r="CF53">
            <v>11064</v>
          </cell>
          <cell r="CG53"/>
          <cell r="CH53"/>
          <cell r="CI53"/>
          <cell r="CJ53"/>
          <cell r="CK53"/>
          <cell r="CL53"/>
          <cell r="CM53"/>
          <cell r="CN53"/>
          <cell r="CO53"/>
          <cell r="CP53"/>
          <cell r="CQ53" t="e">
            <v>#REF!</v>
          </cell>
          <cell r="CR53"/>
          <cell r="CS53"/>
          <cell r="CT53"/>
          <cell r="CU53"/>
          <cell r="CV53" t="str">
            <v>49</v>
          </cell>
          <cell r="CW53"/>
          <cell r="CX53"/>
          <cell r="CY53">
            <v>304903</v>
          </cell>
          <cell r="CZ53">
            <v>304905</v>
          </cell>
          <cell r="DA53">
            <v>304907</v>
          </cell>
          <cell r="DB53">
            <v>304909</v>
          </cell>
          <cell r="DC53">
            <v>304911</v>
          </cell>
          <cell r="DD53">
            <v>304913</v>
          </cell>
        </row>
        <row r="54">
          <cell r="B54" t="str">
            <v>50</v>
          </cell>
          <cell r="C54"/>
          <cell r="D54" t="str">
            <v>Taxes - Other than Real Estate, Payroll &amp; Income</v>
          </cell>
          <cell r="E54"/>
          <cell r="F54"/>
          <cell r="G54"/>
          <cell r="H54"/>
          <cell r="I54"/>
          <cell r="J54"/>
          <cell r="K54"/>
          <cell r="L54"/>
          <cell r="M54"/>
          <cell r="N54"/>
          <cell r="O54"/>
          <cell r="P54"/>
          <cell r="Q54"/>
          <cell r="R54" t="str">
            <v>0650</v>
          </cell>
          <cell r="S54">
            <v>1428</v>
          </cell>
          <cell r="T54"/>
          <cell r="U54"/>
          <cell r="V54"/>
          <cell r="W54"/>
          <cell r="X54"/>
          <cell r="Y54"/>
          <cell r="Z54"/>
          <cell r="AA54"/>
          <cell r="AB54"/>
          <cell r="AC54"/>
          <cell r="AD54" t="e">
            <v>#REF!</v>
          </cell>
          <cell r="AE54"/>
          <cell r="AF54"/>
          <cell r="AG54"/>
          <cell r="AH54"/>
          <cell r="AI54">
            <v>17705</v>
          </cell>
          <cell r="AJ54"/>
          <cell r="AK54"/>
          <cell r="AL54"/>
          <cell r="AM54"/>
          <cell r="AN54"/>
          <cell r="AO54"/>
          <cell r="AP54"/>
          <cell r="AQ54"/>
          <cell r="AR54"/>
          <cell r="AS54"/>
          <cell r="AT54" t="e">
            <v>#REF!</v>
          </cell>
          <cell r="AU54"/>
          <cell r="AV54"/>
          <cell r="AW54"/>
          <cell r="AX54"/>
          <cell r="AY54">
            <v>913</v>
          </cell>
          <cell r="AZ54"/>
          <cell r="BA54"/>
          <cell r="BB54"/>
          <cell r="BC54"/>
          <cell r="BD54"/>
          <cell r="BE54" t="e">
            <v>#REF!</v>
          </cell>
          <cell r="BF54"/>
          <cell r="BG54"/>
          <cell r="BH54"/>
          <cell r="BI54"/>
          <cell r="BJ54">
            <v>11666</v>
          </cell>
          <cell r="BK54"/>
          <cell r="BL54"/>
          <cell r="BM54"/>
          <cell r="BN54"/>
          <cell r="BO54"/>
          <cell r="BP54" t="e">
            <v>#REF!</v>
          </cell>
          <cell r="BQ54"/>
          <cell r="BR54"/>
          <cell r="BS54"/>
          <cell r="BT54"/>
          <cell r="BU54">
            <v>457</v>
          </cell>
          <cell r="BV54"/>
          <cell r="BW54"/>
          <cell r="BX54"/>
          <cell r="BY54"/>
          <cell r="BZ54"/>
          <cell r="CA54" t="e">
            <v>#REF!</v>
          </cell>
          <cell r="CB54"/>
          <cell r="CC54"/>
          <cell r="CD54"/>
          <cell r="CE54"/>
          <cell r="CF54">
            <v>5780</v>
          </cell>
          <cell r="CG54"/>
          <cell r="CH54"/>
          <cell r="CI54"/>
          <cell r="CJ54"/>
          <cell r="CK54"/>
          <cell r="CL54"/>
          <cell r="CM54"/>
          <cell r="CN54"/>
          <cell r="CO54"/>
          <cell r="CP54"/>
          <cell r="CQ54" t="e">
            <v>#REF!</v>
          </cell>
          <cell r="CR54"/>
          <cell r="CS54"/>
          <cell r="CT54"/>
          <cell r="CU54"/>
          <cell r="CV54" t="str">
            <v>50</v>
          </cell>
          <cell r="CW54"/>
          <cell r="CX54"/>
          <cell r="CY54">
            <v>305003</v>
          </cell>
          <cell r="CZ54">
            <v>305005</v>
          </cell>
          <cell r="DA54">
            <v>305007</v>
          </cell>
          <cell r="DB54">
            <v>305009</v>
          </cell>
          <cell r="DC54">
            <v>305011</v>
          </cell>
          <cell r="DD54">
            <v>305013</v>
          </cell>
        </row>
        <row r="55">
          <cell r="B55" t="str">
            <v>51</v>
          </cell>
          <cell r="C55"/>
          <cell r="D55" t="str">
            <v>TOTAL FIXED EXPENSE GROUP</v>
          </cell>
          <cell r="E55"/>
          <cell r="F55"/>
          <cell r="G55"/>
          <cell r="H55"/>
          <cell r="I55"/>
          <cell r="J55"/>
          <cell r="K55"/>
          <cell r="L55"/>
          <cell r="M55"/>
          <cell r="N55"/>
          <cell r="O55"/>
          <cell r="P55"/>
          <cell r="Q55" t="str">
            <v>(Lines 45 to 50)</v>
          </cell>
          <cell r="R55"/>
          <cell r="S55">
            <v>24578</v>
          </cell>
          <cell r="T55"/>
          <cell r="U55"/>
          <cell r="V55"/>
          <cell r="W55"/>
          <cell r="X55"/>
          <cell r="Y55"/>
          <cell r="Z55"/>
          <cell r="AA55"/>
          <cell r="AB55"/>
          <cell r="AC55"/>
          <cell r="AD55" t="e">
            <v>#REF!</v>
          </cell>
          <cell r="AE55"/>
          <cell r="AF55"/>
          <cell r="AG55"/>
          <cell r="AH55"/>
          <cell r="AI55">
            <v>270626</v>
          </cell>
          <cell r="AJ55"/>
          <cell r="AK55"/>
          <cell r="AL55"/>
          <cell r="AM55"/>
          <cell r="AN55"/>
          <cell r="AO55"/>
          <cell r="AP55"/>
          <cell r="AQ55"/>
          <cell r="AR55"/>
          <cell r="AS55"/>
          <cell r="AT55" t="e">
            <v>#REF!</v>
          </cell>
          <cell r="AU55"/>
          <cell r="AV55"/>
          <cell r="AW55"/>
          <cell r="AX55"/>
          <cell r="AY55">
            <v>12351</v>
          </cell>
          <cell r="AZ55"/>
          <cell r="BA55"/>
          <cell r="BB55"/>
          <cell r="BC55"/>
          <cell r="BD55"/>
          <cell r="BE55" t="e">
            <v>#REF!</v>
          </cell>
          <cell r="BF55"/>
          <cell r="BG55"/>
          <cell r="BH55"/>
          <cell r="BI55"/>
          <cell r="BJ55">
            <v>140669</v>
          </cell>
          <cell r="BK55"/>
          <cell r="BL55"/>
          <cell r="BM55"/>
          <cell r="BN55"/>
          <cell r="BO55"/>
          <cell r="BP55" t="e">
            <v>#REF!</v>
          </cell>
          <cell r="BQ55"/>
          <cell r="BR55"/>
          <cell r="BS55"/>
          <cell r="BT55"/>
          <cell r="BU55">
            <v>9967</v>
          </cell>
          <cell r="BV55"/>
          <cell r="BW55"/>
          <cell r="BX55"/>
          <cell r="BY55"/>
          <cell r="BZ55"/>
          <cell r="CA55" t="e">
            <v>#REF!</v>
          </cell>
          <cell r="CB55"/>
          <cell r="CC55"/>
          <cell r="CD55"/>
          <cell r="CE55"/>
          <cell r="CF55">
            <v>119239</v>
          </cell>
          <cell r="CG55"/>
          <cell r="CH55"/>
          <cell r="CI55"/>
          <cell r="CJ55"/>
          <cell r="CK55"/>
          <cell r="CL55"/>
          <cell r="CM55"/>
          <cell r="CN55"/>
          <cell r="CO55"/>
          <cell r="CP55"/>
          <cell r="CQ55" t="e">
            <v>#REF!</v>
          </cell>
          <cell r="CR55"/>
          <cell r="CS55"/>
          <cell r="CT55"/>
          <cell r="CU55"/>
          <cell r="CV55" t="str">
            <v>51</v>
          </cell>
          <cell r="CW55"/>
          <cell r="CX55"/>
          <cell r="CY55">
            <v>305103</v>
          </cell>
          <cell r="CZ55">
            <v>305105</v>
          </cell>
          <cell r="DA55">
            <v>305107</v>
          </cell>
          <cell r="DB55">
            <v>305109</v>
          </cell>
          <cell r="DC55">
            <v>305111</v>
          </cell>
          <cell r="DD55">
            <v>305113</v>
          </cell>
        </row>
        <row r="56">
          <cell r="B56" t="str">
            <v>52</v>
          </cell>
          <cell r="C56"/>
          <cell r="D56" t="str">
            <v>TOTAL FIXED OVERHEAD EXP.</v>
          </cell>
          <cell r="E56"/>
          <cell r="F56"/>
          <cell r="G56"/>
          <cell r="H56"/>
          <cell r="I56"/>
          <cell r="J56"/>
          <cell r="K56"/>
          <cell r="L56"/>
          <cell r="M56"/>
          <cell r="N56"/>
          <cell r="O56"/>
          <cell r="P56"/>
          <cell r="Q56" t="str">
            <v>(Lines 22, 37 &amp; 51)</v>
          </cell>
          <cell r="R56"/>
          <cell r="S56">
            <v>123799</v>
          </cell>
          <cell r="T56"/>
          <cell r="U56"/>
          <cell r="V56"/>
          <cell r="W56"/>
          <cell r="X56"/>
          <cell r="Y56"/>
          <cell r="Z56"/>
          <cell r="AA56"/>
          <cell r="AB56"/>
          <cell r="AC56"/>
          <cell r="AD56" t="e">
            <v>#REF!</v>
          </cell>
          <cell r="AE56"/>
          <cell r="AF56"/>
          <cell r="AG56"/>
          <cell r="AH56"/>
          <cell r="AI56">
            <v>1305740</v>
          </cell>
          <cell r="AJ56"/>
          <cell r="AK56"/>
          <cell r="AL56"/>
          <cell r="AM56"/>
          <cell r="AN56"/>
          <cell r="AO56"/>
          <cell r="AP56"/>
          <cell r="AQ56"/>
          <cell r="AR56"/>
          <cell r="AS56"/>
          <cell r="AT56" t="e">
            <v>#REF!</v>
          </cell>
          <cell r="AU56"/>
          <cell r="AV56"/>
          <cell r="AW56"/>
          <cell r="AX56"/>
          <cell r="AY56">
            <v>70264</v>
          </cell>
          <cell r="AZ56"/>
          <cell r="BA56"/>
          <cell r="BB56"/>
          <cell r="BC56"/>
          <cell r="BD56"/>
          <cell r="BE56" t="e">
            <v>#REF!</v>
          </cell>
          <cell r="BF56"/>
          <cell r="BG56"/>
          <cell r="BH56"/>
          <cell r="BI56"/>
          <cell r="BJ56">
            <v>767520</v>
          </cell>
          <cell r="BK56"/>
          <cell r="BL56"/>
          <cell r="BM56"/>
          <cell r="BN56"/>
          <cell r="BO56"/>
          <cell r="BP56" t="e">
            <v>#REF!</v>
          </cell>
          <cell r="BQ56"/>
          <cell r="BR56"/>
          <cell r="BS56"/>
          <cell r="BT56"/>
          <cell r="BU56">
            <v>42377</v>
          </cell>
          <cell r="BV56"/>
          <cell r="BW56"/>
          <cell r="BX56"/>
          <cell r="BY56"/>
          <cell r="BZ56"/>
          <cell r="CA56" t="e">
            <v>#REF!</v>
          </cell>
          <cell r="CB56"/>
          <cell r="CC56"/>
          <cell r="CD56"/>
          <cell r="CE56"/>
          <cell r="CF56">
            <v>452999</v>
          </cell>
          <cell r="CG56"/>
          <cell r="CH56"/>
          <cell r="CI56"/>
          <cell r="CJ56"/>
          <cell r="CK56"/>
          <cell r="CL56"/>
          <cell r="CM56"/>
          <cell r="CN56"/>
          <cell r="CO56"/>
          <cell r="CP56"/>
          <cell r="CQ56" t="e">
            <v>#REF!</v>
          </cell>
          <cell r="CR56"/>
          <cell r="CS56"/>
          <cell r="CT56"/>
          <cell r="CU56"/>
          <cell r="CV56" t="str">
            <v>52</v>
          </cell>
          <cell r="CW56"/>
          <cell r="CX56"/>
          <cell r="CY56">
            <v>305203</v>
          </cell>
          <cell r="CZ56">
            <v>305205</v>
          </cell>
          <cell r="DA56">
            <v>305207</v>
          </cell>
          <cell r="DB56">
            <v>305209</v>
          </cell>
          <cell r="DC56">
            <v>305211</v>
          </cell>
          <cell r="DD56">
            <v>305213</v>
          </cell>
        </row>
        <row r="57">
          <cell r="B57" t="str">
            <v>53</v>
          </cell>
          <cell r="C57"/>
          <cell r="D57" t="str">
            <v>TOTAL EXPENSES</v>
          </cell>
          <cell r="E57"/>
          <cell r="F57"/>
          <cell r="G57"/>
          <cell r="H57"/>
          <cell r="I57"/>
          <cell r="J57"/>
          <cell r="K57"/>
          <cell r="L57"/>
          <cell r="M57"/>
          <cell r="N57"/>
          <cell r="O57"/>
          <cell r="P57"/>
          <cell r="Q57" t="str">
            <v>(Lines 14 &amp; 52)</v>
          </cell>
          <cell r="R57" t="str">
            <v>DDDC</v>
          </cell>
          <cell r="S57">
            <v>160591</v>
          </cell>
          <cell r="T57"/>
          <cell r="U57"/>
          <cell r="V57"/>
          <cell r="W57"/>
          <cell r="X57"/>
          <cell r="Y57"/>
          <cell r="Z57"/>
          <cell r="AA57"/>
          <cell r="AB57"/>
          <cell r="AC57"/>
          <cell r="AD57" t="e">
            <v>#REF!</v>
          </cell>
          <cell r="AE57"/>
          <cell r="AF57"/>
          <cell r="AG57"/>
          <cell r="AH57"/>
          <cell r="AI57">
            <v>1727759</v>
          </cell>
          <cell r="AJ57"/>
          <cell r="AK57"/>
          <cell r="AL57"/>
          <cell r="AM57"/>
          <cell r="AN57"/>
          <cell r="AO57"/>
          <cell r="AP57"/>
          <cell r="AQ57"/>
          <cell r="AR57"/>
          <cell r="AS57"/>
          <cell r="AT57" t="e">
            <v>#REF!</v>
          </cell>
          <cell r="AU57"/>
          <cell r="AV57"/>
          <cell r="AW57"/>
          <cell r="AX57"/>
          <cell r="AY57">
            <v>83769</v>
          </cell>
          <cell r="AZ57"/>
          <cell r="BA57"/>
          <cell r="BB57"/>
          <cell r="BC57"/>
          <cell r="BD57"/>
          <cell r="BE57" t="e">
            <v>#REF!</v>
          </cell>
          <cell r="BF57"/>
          <cell r="BG57"/>
          <cell r="BH57"/>
          <cell r="BI57"/>
          <cell r="BJ57">
            <v>878122</v>
          </cell>
          <cell r="BK57"/>
          <cell r="BL57"/>
          <cell r="BM57"/>
          <cell r="BN57"/>
          <cell r="BO57"/>
          <cell r="BP57" t="e">
            <v>#REF!</v>
          </cell>
          <cell r="BQ57"/>
          <cell r="BR57"/>
          <cell r="BS57"/>
          <cell r="BT57"/>
          <cell r="BU57">
            <v>42515</v>
          </cell>
          <cell r="BV57"/>
          <cell r="BW57"/>
          <cell r="BX57"/>
          <cell r="BY57"/>
          <cell r="BZ57"/>
          <cell r="CA57" t="e">
            <v>#REF!</v>
          </cell>
          <cell r="CB57"/>
          <cell r="CC57"/>
          <cell r="CD57"/>
          <cell r="CE57"/>
          <cell r="CF57">
            <v>490847</v>
          </cell>
          <cell r="CG57"/>
          <cell r="CH57"/>
          <cell r="CI57"/>
          <cell r="CJ57"/>
          <cell r="CK57"/>
          <cell r="CL57"/>
          <cell r="CM57"/>
          <cell r="CN57"/>
          <cell r="CO57"/>
          <cell r="CP57"/>
          <cell r="CQ57" t="e">
            <v>#REF!</v>
          </cell>
          <cell r="CR57"/>
          <cell r="CS57"/>
          <cell r="CT57"/>
          <cell r="CU57"/>
          <cell r="CV57" t="str">
            <v>53</v>
          </cell>
          <cell r="CW57"/>
          <cell r="CX57"/>
          <cell r="CY57">
            <v>305303</v>
          </cell>
          <cell r="CZ57">
            <v>305305</v>
          </cell>
          <cell r="DA57">
            <v>305307</v>
          </cell>
          <cell r="DB57">
            <v>305309</v>
          </cell>
          <cell r="DC57">
            <v>305311</v>
          </cell>
          <cell r="DD57">
            <v>305313</v>
          </cell>
        </row>
        <row r="58">
          <cell r="B58" t="str">
            <v>54</v>
          </cell>
          <cell r="C58"/>
          <cell r="D58" t="str">
            <v>Dept. Operating Net Profit Or (LOSS)</v>
          </cell>
          <cell r="E58"/>
          <cell r="F58"/>
          <cell r="G58"/>
          <cell r="H58"/>
          <cell r="I58"/>
          <cell r="J58"/>
          <cell r="K58"/>
          <cell r="L58"/>
          <cell r="M58"/>
          <cell r="N58"/>
          <cell r="O58"/>
          <cell r="P58"/>
          <cell r="Q58" t="str">
            <v>(Line 2 less 53)</v>
          </cell>
          <cell r="R58"/>
          <cell r="S58">
            <v>-1551</v>
          </cell>
          <cell r="T58"/>
          <cell r="U58"/>
          <cell r="V58"/>
          <cell r="W58"/>
          <cell r="X58"/>
          <cell r="Y58"/>
          <cell r="Z58"/>
          <cell r="AA58"/>
          <cell r="AB58"/>
          <cell r="AC58"/>
          <cell r="AD58" t="e">
            <v>#REF!</v>
          </cell>
          <cell r="AE58"/>
          <cell r="AF58"/>
          <cell r="AG58"/>
          <cell r="AH58"/>
          <cell r="AI58">
            <v>369675</v>
          </cell>
          <cell r="AJ58"/>
          <cell r="AK58"/>
          <cell r="AL58"/>
          <cell r="AM58"/>
          <cell r="AN58"/>
          <cell r="AO58"/>
          <cell r="AP58"/>
          <cell r="AQ58"/>
          <cell r="AR58"/>
          <cell r="AS58"/>
          <cell r="AT58" t="e">
            <v>#REF!</v>
          </cell>
          <cell r="AU58"/>
          <cell r="AV58"/>
          <cell r="AW58"/>
          <cell r="AX58"/>
          <cell r="AY58">
            <v>42212</v>
          </cell>
          <cell r="AZ58"/>
          <cell r="BA58"/>
          <cell r="BB58"/>
          <cell r="BC58"/>
          <cell r="BD58"/>
          <cell r="BE58" t="e">
            <v>#REF!</v>
          </cell>
          <cell r="BF58"/>
          <cell r="BG58"/>
          <cell r="BH58"/>
          <cell r="BI58"/>
          <cell r="BJ58">
            <v>626160</v>
          </cell>
          <cell r="BK58"/>
          <cell r="BL58"/>
          <cell r="BM58"/>
          <cell r="BN58"/>
          <cell r="BO58"/>
          <cell r="BP58" t="e">
            <v>#REF!</v>
          </cell>
          <cell r="BQ58"/>
          <cell r="BR58"/>
          <cell r="BS58"/>
          <cell r="BT58"/>
          <cell r="BU58">
            <v>-21466</v>
          </cell>
          <cell r="BV58"/>
          <cell r="BW58"/>
          <cell r="BX58"/>
          <cell r="BY58"/>
          <cell r="BZ58"/>
          <cell r="CA58" t="e">
            <v>#REF!</v>
          </cell>
          <cell r="CB58"/>
          <cell r="CC58"/>
          <cell r="CD58"/>
          <cell r="CE58"/>
          <cell r="CF58">
            <v>-143862</v>
          </cell>
          <cell r="CG58"/>
          <cell r="CH58"/>
          <cell r="CI58"/>
          <cell r="CJ58"/>
          <cell r="CK58"/>
          <cell r="CL58"/>
          <cell r="CM58"/>
          <cell r="CN58"/>
          <cell r="CO58"/>
          <cell r="CP58"/>
          <cell r="CQ58" t="e">
            <v>#REF!</v>
          </cell>
          <cell r="CR58"/>
          <cell r="CS58"/>
          <cell r="CT58"/>
          <cell r="CU58"/>
          <cell r="CV58" t="str">
            <v>54</v>
          </cell>
          <cell r="CW58"/>
          <cell r="CX58"/>
          <cell r="CY58">
            <v>305403</v>
          </cell>
          <cell r="CZ58">
            <v>305405</v>
          </cell>
          <cell r="DA58">
            <v>305407</v>
          </cell>
          <cell r="DB58">
            <v>305409</v>
          </cell>
          <cell r="DC58">
            <v>305411</v>
          </cell>
          <cell r="DD58">
            <v>305413</v>
          </cell>
        </row>
        <row r="59">
          <cell r="B59" t="str">
            <v>55</v>
          </cell>
          <cell r="C59"/>
          <cell r="D59" t="str">
            <v>Net Additions &amp; Deductions to Income</v>
          </cell>
          <cell r="E59"/>
          <cell r="F59"/>
          <cell r="G59"/>
          <cell r="H59"/>
          <cell r="I59"/>
          <cell r="J59"/>
          <cell r="K59"/>
          <cell r="L59"/>
          <cell r="M59"/>
          <cell r="N59"/>
          <cell r="O59"/>
          <cell r="P59"/>
          <cell r="Q59" t="str">
            <v>(Pg 3 line 71)</v>
          </cell>
          <cell r="R59" t="str">
            <v>TT31</v>
          </cell>
          <cell r="S59"/>
          <cell r="T59"/>
          <cell r="U59"/>
          <cell r="V59"/>
          <cell r="W59"/>
          <cell r="X59"/>
          <cell r="Y59"/>
          <cell r="Z59"/>
          <cell r="AA59"/>
          <cell r="AB59"/>
          <cell r="AC59"/>
          <cell r="AD59"/>
          <cell r="AE59"/>
          <cell r="AF59"/>
          <cell r="AG59"/>
          <cell r="AH59"/>
          <cell r="AI59"/>
          <cell r="AJ59"/>
          <cell r="AK59"/>
          <cell r="AL59"/>
          <cell r="AM59"/>
          <cell r="AN59"/>
          <cell r="AO59"/>
          <cell r="AP59"/>
          <cell r="AQ59"/>
          <cell r="AR59"/>
          <cell r="AS59"/>
          <cell r="AT59"/>
          <cell r="AU59"/>
          <cell r="AV59"/>
          <cell r="AW59"/>
          <cell r="AX59"/>
          <cell r="AY59"/>
          <cell r="AZ59"/>
          <cell r="BA59"/>
          <cell r="BB59"/>
          <cell r="BC59"/>
          <cell r="BD59"/>
          <cell r="BE59"/>
          <cell r="BF59"/>
          <cell r="BG59"/>
          <cell r="BH59"/>
          <cell r="BI59"/>
          <cell r="BJ59"/>
          <cell r="BK59"/>
          <cell r="BL59"/>
          <cell r="BM59"/>
          <cell r="BN59"/>
          <cell r="BO59"/>
          <cell r="BP59" t="e">
            <v>#REF!</v>
          </cell>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t="e">
            <v>#REF!</v>
          </cell>
          <cell r="CR59"/>
          <cell r="CS59"/>
          <cell r="CT59"/>
          <cell r="CU59"/>
          <cell r="CV59" t="str">
            <v>55</v>
          </cell>
          <cell r="CW59"/>
          <cell r="CX59"/>
          <cell r="CY59">
            <v>305503</v>
          </cell>
          <cell r="CZ59">
            <v>305505</v>
          </cell>
          <cell r="DA59">
            <v>305507</v>
          </cell>
          <cell r="DB59">
            <v>305509</v>
          </cell>
          <cell r="DC59">
            <v>305511</v>
          </cell>
          <cell r="DD59">
            <v>305513</v>
          </cell>
        </row>
        <row r="60">
          <cell r="B60" t="str">
            <v>56</v>
          </cell>
          <cell r="C60"/>
          <cell r="D60" t="str">
            <v>Documentary Fees</v>
          </cell>
          <cell r="E60"/>
          <cell r="F60"/>
          <cell r="G60"/>
          <cell r="H60"/>
          <cell r="I60"/>
          <cell r="J60"/>
          <cell r="K60"/>
          <cell r="L60"/>
          <cell r="M60"/>
          <cell r="N60"/>
          <cell r="O60"/>
          <cell r="P60"/>
          <cell r="Q60"/>
          <cell r="R60" t="str">
            <v>8030</v>
          </cell>
          <cell r="S60"/>
          <cell r="T60"/>
          <cell r="U60"/>
          <cell r="V60"/>
          <cell r="W60"/>
          <cell r="X60"/>
          <cell r="Y60"/>
          <cell r="Z60"/>
          <cell r="AA60"/>
          <cell r="AB60"/>
          <cell r="AC60"/>
          <cell r="AD60"/>
          <cell r="AE60"/>
          <cell r="AF60"/>
          <cell r="AG60"/>
          <cell r="AH60"/>
          <cell r="AI60"/>
          <cell r="AJ60"/>
          <cell r="AK60"/>
          <cell r="AL60"/>
          <cell r="AM60"/>
          <cell r="AN60"/>
          <cell r="AO60"/>
          <cell r="AP60"/>
          <cell r="AQ60"/>
          <cell r="AR60"/>
          <cell r="AS60"/>
          <cell r="AT60"/>
          <cell r="AU60"/>
          <cell r="AV60"/>
          <cell r="AW60"/>
          <cell r="AX60"/>
          <cell r="AY60"/>
          <cell r="AZ60"/>
          <cell r="BA60"/>
          <cell r="BB60"/>
          <cell r="BC60"/>
          <cell r="BD60"/>
          <cell r="BE60"/>
          <cell r="BF60"/>
          <cell r="BG60"/>
          <cell r="BH60"/>
          <cell r="BI60"/>
          <cell r="BJ60"/>
          <cell r="BK60"/>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t="e">
            <v>#REF!</v>
          </cell>
          <cell r="CR60"/>
          <cell r="CS60"/>
          <cell r="CT60"/>
          <cell r="CU60"/>
          <cell r="CV60" t="str">
            <v>56</v>
          </cell>
          <cell r="CW60"/>
          <cell r="CX60"/>
          <cell r="CY60">
            <v>305603</v>
          </cell>
          <cell r="CZ60">
            <v>305605</v>
          </cell>
          <cell r="DA60">
            <v>305607</v>
          </cell>
          <cell r="DB60">
            <v>305609</v>
          </cell>
          <cell r="DC60">
            <v>305611</v>
          </cell>
          <cell r="DD60">
            <v>305613</v>
          </cell>
        </row>
        <row r="61">
          <cell r="B61" t="str">
            <v>57</v>
          </cell>
          <cell r="C61"/>
          <cell r="D61" t="str">
            <v>Quality Growth Program and Nissan 10 Bonus</v>
          </cell>
          <cell r="E61"/>
          <cell r="F61"/>
          <cell r="G61"/>
          <cell r="H61"/>
          <cell r="I61"/>
          <cell r="J61"/>
          <cell r="K61"/>
          <cell r="L61"/>
          <cell r="M61"/>
          <cell r="N61"/>
          <cell r="O61"/>
          <cell r="P61"/>
          <cell r="Q61"/>
          <cell r="R61" t="str">
            <v>8075</v>
          </cell>
          <cell r="S61">
            <v>0</v>
          </cell>
          <cell r="T61"/>
          <cell r="U61"/>
          <cell r="V61"/>
          <cell r="W61"/>
          <cell r="X61"/>
          <cell r="Y61"/>
          <cell r="Z61"/>
          <cell r="AA61"/>
          <cell r="AB61"/>
          <cell r="AC61"/>
          <cell r="AD61" t="e">
            <v>#REF!</v>
          </cell>
          <cell r="AE61"/>
          <cell r="AF61"/>
          <cell r="AG61"/>
          <cell r="AH61"/>
          <cell r="AI61">
            <v>68988</v>
          </cell>
          <cell r="AJ61"/>
          <cell r="AK61"/>
          <cell r="AL61"/>
          <cell r="AM61"/>
          <cell r="AN61"/>
          <cell r="AO61"/>
          <cell r="AP61"/>
          <cell r="AQ61"/>
          <cell r="AR61"/>
          <cell r="AS61"/>
          <cell r="AT61" t="e">
            <v>#REF!</v>
          </cell>
          <cell r="AU61"/>
          <cell r="AV61"/>
          <cell r="AW61"/>
          <cell r="AX61"/>
          <cell r="AY61">
            <v>0</v>
          </cell>
          <cell r="AZ61"/>
          <cell r="BA61"/>
          <cell r="BB61"/>
          <cell r="BC61"/>
          <cell r="BD61"/>
          <cell r="BE61" t="e">
            <v>#REF!</v>
          </cell>
          <cell r="BF61"/>
          <cell r="BG61"/>
          <cell r="BH61"/>
          <cell r="BI61"/>
          <cell r="BJ61">
            <v>2588</v>
          </cell>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t="e">
            <v>#REF!</v>
          </cell>
          <cell r="CR61"/>
          <cell r="CS61"/>
          <cell r="CT61"/>
          <cell r="CU61"/>
          <cell r="CV61" t="str">
            <v>57</v>
          </cell>
          <cell r="CW61"/>
          <cell r="CX61"/>
          <cell r="CY61">
            <v>305703</v>
          </cell>
          <cell r="CZ61">
            <v>305705</v>
          </cell>
          <cell r="DA61">
            <v>305707</v>
          </cell>
          <cell r="DB61">
            <v>305709</v>
          </cell>
          <cell r="DC61">
            <v>305711</v>
          </cell>
          <cell r="DD61">
            <v>305713</v>
          </cell>
        </row>
        <row r="62">
          <cell r="B62" t="str">
            <v>58</v>
          </cell>
          <cell r="C62"/>
          <cell r="D62" t="str">
            <v>Sales Growth Program (SGP)</v>
          </cell>
          <cell r="E62"/>
          <cell r="F62"/>
          <cell r="G62"/>
          <cell r="H62"/>
          <cell r="I62"/>
          <cell r="J62"/>
          <cell r="K62"/>
          <cell r="L62"/>
          <cell r="M62"/>
          <cell r="N62"/>
          <cell r="O62"/>
          <cell r="P62"/>
          <cell r="Q62"/>
          <cell r="R62" t="str">
            <v>8077</v>
          </cell>
          <cell r="S62"/>
          <cell r="T62"/>
          <cell r="U62"/>
          <cell r="V62"/>
          <cell r="W62"/>
          <cell r="X62"/>
          <cell r="Y62"/>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AZ62"/>
          <cell r="BA62"/>
          <cell r="BB62"/>
          <cell r="BC62"/>
          <cell r="BD62"/>
          <cell r="BE62"/>
          <cell r="BF62"/>
          <cell r="BG62"/>
          <cell r="BH62"/>
          <cell r="BI62"/>
          <cell r="BJ62"/>
          <cell r="BK62"/>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t="e">
            <v>#REF!</v>
          </cell>
          <cell r="CR62"/>
          <cell r="CS62"/>
          <cell r="CT62"/>
          <cell r="CU62"/>
          <cell r="CV62" t="str">
            <v>58</v>
          </cell>
          <cell r="CW62"/>
          <cell r="CX62"/>
          <cell r="CY62">
            <v>305803</v>
          </cell>
          <cell r="CZ62">
            <v>305805</v>
          </cell>
          <cell r="DA62">
            <v>305807</v>
          </cell>
          <cell r="DB62">
            <v>305809</v>
          </cell>
          <cell r="DC62">
            <v>305811</v>
          </cell>
          <cell r="DD62">
            <v>305813</v>
          </cell>
        </row>
        <row r="63">
          <cell r="B63" t="str">
            <v>59</v>
          </cell>
          <cell r="C63"/>
          <cell r="D63" t="str">
            <v>Placeholder</v>
          </cell>
          <cell r="E63"/>
          <cell r="F63"/>
          <cell r="G63"/>
          <cell r="H63"/>
          <cell r="I63"/>
          <cell r="J63"/>
          <cell r="K63"/>
          <cell r="L63"/>
          <cell r="M63"/>
          <cell r="N63"/>
          <cell r="O63"/>
          <cell r="P63"/>
          <cell r="Q63"/>
          <cell r="R63" t="str">
            <v>8078</v>
          </cell>
          <cell r="S63"/>
          <cell r="T63"/>
          <cell r="U63"/>
          <cell r="V63"/>
          <cell r="W63"/>
          <cell r="X63"/>
          <cell r="Y63"/>
          <cell r="Z63"/>
          <cell r="AA63"/>
          <cell r="AB63"/>
          <cell r="AC63"/>
          <cell r="AD63"/>
          <cell r="AE63"/>
          <cell r="AF63"/>
          <cell r="AG63"/>
          <cell r="AH63"/>
          <cell r="AI63"/>
          <cell r="AJ63"/>
          <cell r="AK63"/>
          <cell r="AL63"/>
          <cell r="AM63"/>
          <cell r="AN63"/>
          <cell r="AO63"/>
          <cell r="AP63"/>
          <cell r="AQ63"/>
          <cell r="AR63"/>
          <cell r="AS63"/>
          <cell r="AT63"/>
          <cell r="AU63"/>
          <cell r="AV63"/>
          <cell r="AW63"/>
          <cell r="AX63"/>
          <cell r="AY63"/>
          <cell r="AZ63"/>
          <cell r="BA63"/>
          <cell r="BB63"/>
          <cell r="BC63"/>
          <cell r="BD63"/>
          <cell r="BE63"/>
          <cell r="BF63"/>
          <cell r="BG63"/>
          <cell r="BH63"/>
          <cell r="BI63"/>
          <cell r="BJ63"/>
          <cell r="BK63"/>
          <cell r="BL63"/>
          <cell r="BM63"/>
          <cell r="BN63"/>
          <cell r="BO63"/>
          <cell r="BP63"/>
          <cell r="BQ63"/>
          <cell r="BR63"/>
          <cell r="BS63"/>
          <cell r="BT63"/>
          <cell r="BU63"/>
          <cell r="BV63"/>
          <cell r="BW63"/>
          <cell r="BX63"/>
          <cell r="BY63"/>
          <cell r="BZ63"/>
          <cell r="CA63"/>
          <cell r="CB63"/>
          <cell r="CC63"/>
          <cell r="CD63"/>
          <cell r="CE63"/>
          <cell r="CF63"/>
          <cell r="CG63"/>
          <cell r="CH63"/>
          <cell r="CI63"/>
          <cell r="CJ63"/>
          <cell r="CK63"/>
          <cell r="CL63"/>
          <cell r="CM63"/>
          <cell r="CN63"/>
          <cell r="CO63"/>
          <cell r="CP63"/>
          <cell r="CQ63" t="e">
            <v>#REF!</v>
          </cell>
          <cell r="CR63"/>
          <cell r="CS63"/>
          <cell r="CT63"/>
          <cell r="CU63"/>
          <cell r="CV63" t="str">
            <v>59</v>
          </cell>
          <cell r="CW63"/>
          <cell r="CX63"/>
          <cell r="CY63">
            <v>305903</v>
          </cell>
          <cell r="CZ63">
            <v>305905</v>
          </cell>
          <cell r="DA63">
            <v>305907</v>
          </cell>
          <cell r="DB63">
            <v>305909</v>
          </cell>
          <cell r="DC63">
            <v>305911</v>
          </cell>
          <cell r="DD63">
            <v>305913</v>
          </cell>
        </row>
        <row r="64">
          <cell r="B64" t="str">
            <v>60</v>
          </cell>
          <cell r="C64"/>
          <cell r="D64" t="str">
            <v>Miscellaneous Factory Programs</v>
          </cell>
          <cell r="E64"/>
          <cell r="F64"/>
          <cell r="G64"/>
          <cell r="H64"/>
          <cell r="I64"/>
          <cell r="J64"/>
          <cell r="K64"/>
          <cell r="L64"/>
          <cell r="M64"/>
          <cell r="N64"/>
          <cell r="O64"/>
          <cell r="P64"/>
          <cell r="Q64"/>
          <cell r="R64" t="str">
            <v>8070</v>
          </cell>
          <cell r="S64">
            <v>0</v>
          </cell>
          <cell r="T64"/>
          <cell r="U64"/>
          <cell r="V64"/>
          <cell r="W64"/>
          <cell r="X64"/>
          <cell r="Y64"/>
          <cell r="Z64"/>
          <cell r="AA64"/>
          <cell r="AB64"/>
          <cell r="AC64"/>
          <cell r="AD64" t="e">
            <v>#REF!</v>
          </cell>
          <cell r="AE64"/>
          <cell r="AF64"/>
          <cell r="AG64"/>
          <cell r="AH64"/>
          <cell r="AI64">
            <v>0</v>
          </cell>
          <cell r="AJ64"/>
          <cell r="AK64"/>
          <cell r="AL64"/>
          <cell r="AM64"/>
          <cell r="AN64"/>
          <cell r="AO64"/>
          <cell r="AP64"/>
          <cell r="AQ64"/>
          <cell r="AR64"/>
          <cell r="AS64"/>
          <cell r="AT64" t="e">
            <v>#REF!</v>
          </cell>
          <cell r="AU64"/>
          <cell r="AV64"/>
          <cell r="AW64"/>
          <cell r="AX64"/>
          <cell r="AY64">
            <v>0</v>
          </cell>
          <cell r="AZ64"/>
          <cell r="BA64"/>
          <cell r="BB64"/>
          <cell r="BC64"/>
          <cell r="BD64"/>
          <cell r="BE64" t="e">
            <v>#REF!</v>
          </cell>
          <cell r="BF64"/>
          <cell r="BG64"/>
          <cell r="BH64"/>
          <cell r="BI64"/>
          <cell r="BJ64">
            <v>0</v>
          </cell>
          <cell r="BK64"/>
          <cell r="BL64"/>
          <cell r="BM64"/>
          <cell r="BN64"/>
          <cell r="BO64"/>
          <cell r="BP64" t="e">
            <v>#REF!</v>
          </cell>
          <cell r="BQ64"/>
          <cell r="BR64"/>
          <cell r="BS64"/>
          <cell r="BT64"/>
          <cell r="BU64">
            <v>0</v>
          </cell>
          <cell r="BV64"/>
          <cell r="BW64"/>
          <cell r="BX64"/>
          <cell r="BY64"/>
          <cell r="BZ64"/>
          <cell r="CA64" t="e">
            <v>#REF!</v>
          </cell>
          <cell r="CB64"/>
          <cell r="CC64"/>
          <cell r="CD64"/>
          <cell r="CE64"/>
          <cell r="CF64">
            <v>0</v>
          </cell>
          <cell r="CG64"/>
          <cell r="CH64"/>
          <cell r="CI64"/>
          <cell r="CJ64"/>
          <cell r="CK64"/>
          <cell r="CL64"/>
          <cell r="CM64"/>
          <cell r="CN64"/>
          <cell r="CO64"/>
          <cell r="CP64"/>
          <cell r="CQ64" t="e">
            <v>#REF!</v>
          </cell>
          <cell r="CR64"/>
          <cell r="CS64"/>
          <cell r="CT64"/>
          <cell r="CU64"/>
          <cell r="CV64" t="str">
            <v>60</v>
          </cell>
          <cell r="CW64"/>
          <cell r="CX64"/>
          <cell r="CY64">
            <v>306003</v>
          </cell>
          <cell r="CZ64">
            <v>306005</v>
          </cell>
          <cell r="DA64">
            <v>306007</v>
          </cell>
          <cell r="DB64">
            <v>306009</v>
          </cell>
          <cell r="DC64">
            <v>306011</v>
          </cell>
          <cell r="DD64">
            <v>306013</v>
          </cell>
        </row>
        <row r="65">
          <cell r="B65" t="str">
            <v>61</v>
          </cell>
          <cell r="C65"/>
          <cell r="D65" t="str">
            <v>NET PROFIT - before bonuses &amp; Inc. tax</v>
          </cell>
          <cell r="E65"/>
          <cell r="F65"/>
          <cell r="G65"/>
          <cell r="H65"/>
          <cell r="I65"/>
          <cell r="J65"/>
          <cell r="K65"/>
          <cell r="L65"/>
          <cell r="M65"/>
          <cell r="N65"/>
          <cell r="O65"/>
          <cell r="P65"/>
          <cell r="Q65" t="str">
            <v>(Lines 54 to 60)</v>
          </cell>
          <cell r="R65"/>
          <cell r="S65"/>
          <cell r="T65"/>
          <cell r="U65"/>
          <cell r="V65"/>
          <cell r="W65"/>
          <cell r="X65"/>
          <cell r="Y65"/>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AZ65"/>
          <cell r="BA65"/>
          <cell r="BB65"/>
          <cell r="BC65"/>
          <cell r="BD65"/>
          <cell r="BE65"/>
          <cell r="BF65"/>
          <cell r="BG65"/>
          <cell r="BH65"/>
          <cell r="BI65"/>
          <cell r="BJ65"/>
          <cell r="BK65"/>
          <cell r="BL65"/>
          <cell r="BM65"/>
          <cell r="BN65"/>
          <cell r="BO65"/>
          <cell r="BP65"/>
          <cell r="BQ65"/>
          <cell r="BR65"/>
          <cell r="BS65"/>
          <cell r="BT65"/>
          <cell r="BU65"/>
          <cell r="BV65"/>
          <cell r="BW65"/>
          <cell r="BX65"/>
          <cell r="BY65"/>
          <cell r="BZ65"/>
          <cell r="CA65"/>
          <cell r="CB65"/>
          <cell r="CC65"/>
          <cell r="CD65"/>
          <cell r="CE65"/>
          <cell r="CF65"/>
          <cell r="CG65"/>
          <cell r="CH65"/>
          <cell r="CI65"/>
          <cell r="CJ65"/>
          <cell r="CK65"/>
          <cell r="CL65"/>
          <cell r="CM65"/>
          <cell r="CN65"/>
          <cell r="CO65"/>
          <cell r="CP65"/>
          <cell r="CQ65" t="e">
            <v>#REF!</v>
          </cell>
          <cell r="CR65"/>
          <cell r="CS65"/>
          <cell r="CT65"/>
          <cell r="CU65"/>
          <cell r="CV65" t="str">
            <v>61</v>
          </cell>
          <cell r="CW65"/>
          <cell r="CX65"/>
          <cell r="CY65">
            <v>306103</v>
          </cell>
          <cell r="CZ65">
            <v>306105</v>
          </cell>
          <cell r="DA65">
            <v>306107</v>
          </cell>
          <cell r="DB65">
            <v>306109</v>
          </cell>
          <cell r="DC65">
            <v>306111</v>
          </cell>
          <cell r="DD65">
            <v>306113</v>
          </cell>
        </row>
        <row r="66">
          <cell r="B66" t="str">
            <v>62</v>
          </cell>
          <cell r="C66"/>
          <cell r="D66" t="str">
            <v>ADDITIONS TO INCOME</v>
          </cell>
          <cell r="E66"/>
          <cell r="F66"/>
          <cell r="G66"/>
          <cell r="H66"/>
          <cell r="I66"/>
          <cell r="J66"/>
          <cell r="K66"/>
          <cell r="L66"/>
          <cell r="M66"/>
          <cell r="N66"/>
          <cell r="O66"/>
          <cell r="P66"/>
          <cell r="Q66"/>
          <cell r="R66"/>
          <cell r="S66"/>
          <cell r="T66"/>
          <cell r="U66"/>
          <cell r="V66"/>
          <cell r="W66"/>
          <cell r="X66"/>
          <cell r="Y66"/>
          <cell r="Z66"/>
          <cell r="AA66"/>
          <cell r="AB66"/>
          <cell r="AC66"/>
          <cell r="AD66"/>
          <cell r="AE66"/>
          <cell r="AF66"/>
          <cell r="AG66"/>
          <cell r="AH66"/>
          <cell r="AI66"/>
          <cell r="AJ66"/>
          <cell r="AK66"/>
          <cell r="AL66"/>
          <cell r="AM66"/>
          <cell r="AN66"/>
          <cell r="AO66"/>
          <cell r="AP66"/>
          <cell r="AQ66" t="str">
            <v>DEDUCTIONS FROM INCOME</v>
          </cell>
          <cell r="AR66"/>
          <cell r="AS66"/>
          <cell r="AT66"/>
          <cell r="AU66"/>
          <cell r="AV66"/>
          <cell r="AW66"/>
          <cell r="AX66"/>
          <cell r="AY66"/>
          <cell r="AZ66"/>
          <cell r="BA66"/>
          <cell r="BB66"/>
          <cell r="BC66"/>
          <cell r="BD66"/>
          <cell r="BE66"/>
          <cell r="BF66"/>
          <cell r="BG66"/>
          <cell r="BH66"/>
          <cell r="BI66"/>
          <cell r="BJ66"/>
          <cell r="BK66"/>
          <cell r="BL66"/>
          <cell r="BM66"/>
          <cell r="BN66"/>
          <cell r="BO66"/>
          <cell r="BP66"/>
          <cell r="BQ66"/>
          <cell r="BR66"/>
          <cell r="BS66"/>
          <cell r="BT66"/>
          <cell r="BU66"/>
          <cell r="BV66"/>
          <cell r="BW66"/>
          <cell r="BX66"/>
          <cell r="BY66"/>
          <cell r="BZ66"/>
          <cell r="CA66"/>
          <cell r="CB66"/>
          <cell r="CC66"/>
          <cell r="CD66"/>
          <cell r="CE66"/>
          <cell r="CF66"/>
          <cell r="CG66"/>
          <cell r="CH66"/>
          <cell r="CI66"/>
          <cell r="CJ66"/>
          <cell r="CK66"/>
          <cell r="CL66"/>
          <cell r="CM66"/>
          <cell r="CN66"/>
          <cell r="CO66"/>
          <cell r="CP66"/>
          <cell r="CQ66"/>
          <cell r="CR66"/>
          <cell r="CS66"/>
          <cell r="CT66"/>
          <cell r="CU66"/>
          <cell r="CV66" t="str">
            <v>62</v>
          </cell>
          <cell r="CW66"/>
          <cell r="CX66"/>
          <cell r="CY66">
            <v>306203</v>
          </cell>
          <cell r="CZ66">
            <v>306205</v>
          </cell>
          <cell r="DA66">
            <v>306207</v>
          </cell>
          <cell r="DB66">
            <v>306209</v>
          </cell>
          <cell r="DC66">
            <v>306211</v>
          </cell>
          <cell r="DD66">
            <v>306213</v>
          </cell>
        </row>
        <row r="67">
          <cell r="B67" t="str">
            <v>63</v>
          </cell>
          <cell r="C67"/>
          <cell r="D67" t="str">
            <v>ACCOUNT</v>
          </cell>
          <cell r="E67"/>
          <cell r="F67"/>
          <cell r="G67"/>
          <cell r="H67"/>
          <cell r="I67"/>
          <cell r="J67"/>
          <cell r="K67"/>
          <cell r="L67"/>
          <cell r="M67"/>
          <cell r="N67"/>
          <cell r="O67"/>
          <cell r="P67"/>
          <cell r="Q67" t="str">
            <v>ACCT #</v>
          </cell>
          <cell r="R67" t="str">
            <v>Month</v>
          </cell>
          <cell r="S67"/>
          <cell r="T67"/>
          <cell r="U67"/>
          <cell r="V67"/>
          <cell r="W67"/>
          <cell r="X67"/>
          <cell r="Y67"/>
          <cell r="Z67"/>
          <cell r="AA67"/>
          <cell r="AB67" t="str">
            <v>Year to Date</v>
          </cell>
          <cell r="AC67"/>
          <cell r="AD67"/>
          <cell r="AE67"/>
          <cell r="AF67"/>
          <cell r="AG67"/>
          <cell r="AH67"/>
          <cell r="AI67"/>
          <cell r="AJ67"/>
          <cell r="AK67"/>
          <cell r="AL67" t="e">
            <v>#REF!</v>
          </cell>
          <cell r="AM67"/>
          <cell r="AN67"/>
          <cell r="AO67"/>
          <cell r="AP67"/>
          <cell r="AQ67" t="str">
            <v>ACCOUNT</v>
          </cell>
          <cell r="AR67"/>
          <cell r="AS67"/>
          <cell r="AT67"/>
          <cell r="AU67"/>
          <cell r="AV67"/>
          <cell r="AW67"/>
          <cell r="AX67"/>
          <cell r="AY67"/>
          <cell r="AZ67"/>
          <cell r="BA67"/>
          <cell r="BB67"/>
          <cell r="BC67"/>
          <cell r="BD67"/>
          <cell r="BE67"/>
          <cell r="BF67"/>
          <cell r="BG67"/>
          <cell r="BH67"/>
          <cell r="BI67"/>
          <cell r="BJ67"/>
          <cell r="BK67"/>
          <cell r="BL67"/>
          <cell r="BM67"/>
          <cell r="BN67"/>
          <cell r="BO67"/>
          <cell r="BP67"/>
          <cell r="BQ67"/>
          <cell r="BR67"/>
          <cell r="BS67"/>
          <cell r="BT67"/>
          <cell r="BU67" t="str">
            <v>ACCT#</v>
          </cell>
          <cell r="BV67"/>
          <cell r="BW67" t="str">
            <v>Month</v>
          </cell>
          <cell r="BX67"/>
          <cell r="BY67"/>
          <cell r="BZ67"/>
          <cell r="CA67"/>
          <cell r="CB67"/>
          <cell r="CC67"/>
          <cell r="CD67"/>
          <cell r="CE67"/>
          <cell r="CF67"/>
          <cell r="CG67"/>
          <cell r="CH67"/>
          <cell r="CI67"/>
          <cell r="CJ67"/>
          <cell r="CK67"/>
          <cell r="CL67" t="str">
            <v>Year to Date</v>
          </cell>
          <cell r="CM67"/>
          <cell r="CN67"/>
          <cell r="CO67"/>
          <cell r="CP67"/>
          <cell r="CQ67"/>
          <cell r="CR67"/>
          <cell r="CS67"/>
          <cell r="CT67"/>
          <cell r="CU67"/>
          <cell r="CV67" t="str">
            <v>63</v>
          </cell>
          <cell r="CW67"/>
          <cell r="CX67"/>
          <cell r="CY67">
            <v>306303</v>
          </cell>
          <cell r="CZ67">
            <v>306305</v>
          </cell>
          <cell r="DA67">
            <v>306307</v>
          </cell>
          <cell r="DB67">
            <v>306309</v>
          </cell>
          <cell r="DC67">
            <v>306311</v>
          </cell>
          <cell r="DD67">
            <v>306313</v>
          </cell>
        </row>
        <row r="68">
          <cell r="B68" t="str">
            <v>64</v>
          </cell>
          <cell r="C68"/>
          <cell r="D68" t="str">
            <v>Interest Earned / Cash Discounts</v>
          </cell>
          <cell r="E68"/>
          <cell r="F68"/>
          <cell r="G68"/>
          <cell r="H68"/>
          <cell r="I68"/>
          <cell r="J68"/>
          <cell r="K68"/>
          <cell r="L68"/>
          <cell r="M68"/>
          <cell r="N68"/>
          <cell r="O68"/>
          <cell r="P68"/>
          <cell r="Q68" t="str">
            <v>8010</v>
          </cell>
          <cell r="R68">
            <v>0</v>
          </cell>
          <cell r="S68"/>
          <cell r="T68"/>
          <cell r="U68"/>
          <cell r="V68"/>
          <cell r="W68" t="e">
            <v>#REF!</v>
          </cell>
          <cell r="X68"/>
          <cell r="Y68"/>
          <cell r="Z68"/>
          <cell r="AA68"/>
          <cell r="AB68">
            <v>2884</v>
          </cell>
          <cell r="AC68"/>
          <cell r="AD68"/>
          <cell r="AE68"/>
          <cell r="AF68"/>
          <cell r="AG68"/>
          <cell r="AH68"/>
          <cell r="AI68"/>
          <cell r="AJ68"/>
          <cell r="AK68"/>
          <cell r="AL68"/>
          <cell r="AM68"/>
          <cell r="AN68"/>
          <cell r="AO68"/>
          <cell r="AP68"/>
          <cell r="AQ68" t="str">
            <v>Casualty Losses</v>
          </cell>
          <cell r="AR68"/>
          <cell r="AS68"/>
          <cell r="AT68"/>
          <cell r="AU68"/>
          <cell r="AV68"/>
          <cell r="AW68"/>
          <cell r="AX68"/>
          <cell r="AY68"/>
          <cell r="AZ68"/>
          <cell r="BA68"/>
          <cell r="BB68"/>
          <cell r="BC68"/>
          <cell r="BD68"/>
          <cell r="BE68"/>
          <cell r="BF68"/>
          <cell r="BG68"/>
          <cell r="BH68"/>
          <cell r="BI68"/>
          <cell r="BJ68"/>
          <cell r="BK68"/>
          <cell r="BL68"/>
          <cell r="BM68"/>
          <cell r="BN68"/>
          <cell r="BO68">
            <v>8500</v>
          </cell>
          <cell r="BP68"/>
          <cell r="BQ68"/>
          <cell r="BR68"/>
          <cell r="BS68"/>
          <cell r="BT68"/>
          <cell r="BU68"/>
          <cell r="BV68"/>
          <cell r="BW68">
            <v>1114</v>
          </cell>
          <cell r="BX68"/>
          <cell r="BY68"/>
          <cell r="BZ68"/>
          <cell r="CA68"/>
          <cell r="CB68"/>
          <cell r="CC68"/>
          <cell r="CD68"/>
          <cell r="CE68"/>
          <cell r="CF68"/>
          <cell r="CG68" t="e">
            <v>#REF!</v>
          </cell>
          <cell r="CH68"/>
          <cell r="CI68"/>
          <cell r="CJ68"/>
          <cell r="CK68"/>
          <cell r="CL68">
            <v>54981</v>
          </cell>
          <cell r="CM68"/>
          <cell r="CN68"/>
          <cell r="CO68"/>
          <cell r="CP68"/>
          <cell r="CQ68"/>
          <cell r="CR68"/>
          <cell r="CS68"/>
          <cell r="CT68"/>
          <cell r="CU68"/>
          <cell r="CV68" t="str">
            <v>64</v>
          </cell>
          <cell r="CW68"/>
          <cell r="CX68"/>
          <cell r="CY68">
            <v>306403</v>
          </cell>
          <cell r="CZ68">
            <v>306405</v>
          </cell>
          <cell r="DA68">
            <v>306407</v>
          </cell>
          <cell r="DB68">
            <v>306409</v>
          </cell>
          <cell r="DC68">
            <v>306411</v>
          </cell>
          <cell r="DD68">
            <v>306413</v>
          </cell>
        </row>
        <row r="69">
          <cell r="B69" t="str">
            <v>65</v>
          </cell>
          <cell r="C69"/>
          <cell r="D69" t="str">
            <v>Gain on Disposal of Assests</v>
          </cell>
          <cell r="E69"/>
          <cell r="F69"/>
          <cell r="G69"/>
          <cell r="H69"/>
          <cell r="I69"/>
          <cell r="J69"/>
          <cell r="K69"/>
          <cell r="L69"/>
          <cell r="M69"/>
          <cell r="N69"/>
          <cell r="O69"/>
          <cell r="P69"/>
          <cell r="Q69" t="str">
            <v>8020</v>
          </cell>
          <cell r="R69">
            <v>0</v>
          </cell>
          <cell r="S69"/>
          <cell r="T69"/>
          <cell r="U69"/>
          <cell r="V69"/>
          <cell r="W69" t="e">
            <v>#REF!</v>
          </cell>
          <cell r="X69"/>
          <cell r="Y69"/>
          <cell r="Z69"/>
          <cell r="AA69"/>
          <cell r="AB69">
            <v>0</v>
          </cell>
          <cell r="AC69"/>
          <cell r="AD69"/>
          <cell r="AE69"/>
          <cell r="AF69"/>
          <cell r="AG69"/>
          <cell r="AH69"/>
          <cell r="AI69"/>
          <cell r="AJ69"/>
          <cell r="AK69"/>
          <cell r="AL69" t="e">
            <v>#REF!</v>
          </cell>
          <cell r="AM69"/>
          <cell r="AN69"/>
          <cell r="AO69"/>
          <cell r="AP69"/>
          <cell r="AQ69" t="str">
            <v>Interest Paid</v>
          </cell>
          <cell r="AR69"/>
          <cell r="AS69"/>
          <cell r="AT69"/>
          <cell r="AU69"/>
          <cell r="AV69"/>
          <cell r="AW69"/>
          <cell r="AX69"/>
          <cell r="AY69"/>
          <cell r="AZ69"/>
          <cell r="BA69"/>
          <cell r="BB69"/>
          <cell r="BC69"/>
          <cell r="BD69"/>
          <cell r="BE69"/>
          <cell r="BF69"/>
          <cell r="BG69"/>
          <cell r="BH69"/>
          <cell r="BI69"/>
          <cell r="BJ69"/>
          <cell r="BK69"/>
          <cell r="BL69"/>
          <cell r="BM69"/>
          <cell r="BN69"/>
          <cell r="BO69">
            <v>8510</v>
          </cell>
          <cell r="BP69"/>
          <cell r="BQ69"/>
          <cell r="BR69"/>
          <cell r="BS69"/>
          <cell r="BT69"/>
          <cell r="BU69"/>
          <cell r="BV69"/>
          <cell r="BW69">
            <v>17673</v>
          </cell>
          <cell r="BX69"/>
          <cell r="BY69"/>
          <cell r="BZ69"/>
          <cell r="CA69"/>
          <cell r="CB69"/>
          <cell r="CC69"/>
          <cell r="CD69"/>
          <cell r="CE69"/>
          <cell r="CF69"/>
          <cell r="CG69" t="e">
            <v>#REF!</v>
          </cell>
          <cell r="CH69"/>
          <cell r="CI69"/>
          <cell r="CJ69"/>
          <cell r="CK69"/>
          <cell r="CL69">
            <v>222765</v>
          </cell>
          <cell r="CM69"/>
          <cell r="CN69"/>
          <cell r="CO69"/>
          <cell r="CP69"/>
          <cell r="CQ69"/>
          <cell r="CR69"/>
          <cell r="CS69"/>
          <cell r="CT69"/>
          <cell r="CU69"/>
          <cell r="CV69" t="str">
            <v>65</v>
          </cell>
          <cell r="CW69"/>
          <cell r="CX69"/>
          <cell r="CY69">
            <v>306503</v>
          </cell>
          <cell r="CZ69">
            <v>306505</v>
          </cell>
          <cell r="DA69">
            <v>306507</v>
          </cell>
          <cell r="DB69">
            <v>306509</v>
          </cell>
          <cell r="DC69">
            <v>306511</v>
          </cell>
          <cell r="DD69">
            <v>306513</v>
          </cell>
        </row>
        <row r="70">
          <cell r="B70" t="str">
            <v>66</v>
          </cell>
          <cell r="C70"/>
          <cell r="D70" t="str">
            <v>Bad Debts Recovered</v>
          </cell>
          <cell r="E70"/>
          <cell r="F70"/>
          <cell r="G70"/>
          <cell r="H70"/>
          <cell r="I70"/>
          <cell r="J70"/>
          <cell r="K70"/>
          <cell r="L70"/>
          <cell r="M70"/>
          <cell r="N70"/>
          <cell r="O70"/>
          <cell r="P70"/>
          <cell r="Q70" t="str">
            <v>8040</v>
          </cell>
          <cell r="R70">
            <v>0</v>
          </cell>
          <cell r="S70"/>
          <cell r="T70"/>
          <cell r="U70"/>
          <cell r="V70"/>
          <cell r="W70" t="e">
            <v>#REF!</v>
          </cell>
          <cell r="X70"/>
          <cell r="Y70"/>
          <cell r="Z70"/>
          <cell r="AA70"/>
          <cell r="AB70">
            <v>0</v>
          </cell>
          <cell r="AC70"/>
          <cell r="AD70"/>
          <cell r="AE70"/>
          <cell r="AF70"/>
          <cell r="AG70"/>
          <cell r="AH70"/>
          <cell r="AI70"/>
          <cell r="AJ70"/>
          <cell r="AK70"/>
          <cell r="AL70" t="e">
            <v>#REF!</v>
          </cell>
          <cell r="AM70"/>
          <cell r="AN70"/>
          <cell r="AO70"/>
          <cell r="AP70"/>
          <cell r="AQ70" t="str">
            <v>Loss on Disposal of Assets</v>
          </cell>
          <cell r="AR70"/>
          <cell r="AS70"/>
          <cell r="AT70"/>
          <cell r="AU70"/>
          <cell r="AV70"/>
          <cell r="AW70"/>
          <cell r="AX70"/>
          <cell r="AY70"/>
          <cell r="AZ70"/>
          <cell r="BA70"/>
          <cell r="BB70"/>
          <cell r="BC70"/>
          <cell r="BD70"/>
          <cell r="BE70"/>
          <cell r="BF70"/>
          <cell r="BG70"/>
          <cell r="BH70"/>
          <cell r="BI70"/>
          <cell r="BJ70"/>
          <cell r="BK70"/>
          <cell r="BL70"/>
          <cell r="BM70"/>
          <cell r="BN70"/>
          <cell r="BO70">
            <v>8520</v>
          </cell>
          <cell r="BP70"/>
          <cell r="BQ70"/>
          <cell r="BR70"/>
          <cell r="BS70"/>
          <cell r="BT70"/>
          <cell r="BU70"/>
          <cell r="BV70"/>
          <cell r="BW70">
            <v>0</v>
          </cell>
          <cell r="BX70"/>
          <cell r="BY70"/>
          <cell r="BZ70"/>
          <cell r="CA70"/>
          <cell r="CB70"/>
          <cell r="CC70"/>
          <cell r="CD70"/>
          <cell r="CE70"/>
          <cell r="CF70"/>
          <cell r="CG70" t="e">
            <v>#REF!</v>
          </cell>
          <cell r="CH70"/>
          <cell r="CI70"/>
          <cell r="CJ70"/>
          <cell r="CK70"/>
          <cell r="CL70">
            <v>0</v>
          </cell>
          <cell r="CM70"/>
          <cell r="CN70"/>
          <cell r="CO70"/>
          <cell r="CP70"/>
          <cell r="CQ70" t="e">
            <v>#REF!</v>
          </cell>
          <cell r="CR70"/>
          <cell r="CS70"/>
          <cell r="CT70"/>
          <cell r="CU70"/>
          <cell r="CV70" t="str">
            <v>66</v>
          </cell>
          <cell r="CW70"/>
          <cell r="CX70"/>
          <cell r="CY70">
            <v>306603</v>
          </cell>
          <cell r="CZ70">
            <v>306605</v>
          </cell>
          <cell r="DA70">
            <v>306607</v>
          </cell>
          <cell r="DB70">
            <v>306609</v>
          </cell>
          <cell r="DC70">
            <v>306611</v>
          </cell>
          <cell r="DD70">
            <v>306613</v>
          </cell>
        </row>
        <row r="71">
          <cell r="B71" t="str">
            <v>67</v>
          </cell>
          <cell r="C71"/>
          <cell r="D71" t="str">
            <v>Rental / Service Loaner Vehicles Income</v>
          </cell>
          <cell r="E71"/>
          <cell r="F71"/>
          <cell r="G71"/>
          <cell r="H71"/>
          <cell r="I71"/>
          <cell r="J71"/>
          <cell r="K71"/>
          <cell r="L71"/>
          <cell r="M71"/>
          <cell r="N71"/>
          <cell r="O71"/>
          <cell r="P71"/>
          <cell r="Q71" t="str">
            <v>8090</v>
          </cell>
          <cell r="R71">
            <v>4781</v>
          </cell>
          <cell r="S71"/>
          <cell r="T71"/>
          <cell r="U71"/>
          <cell r="V71"/>
          <cell r="W71" t="e">
            <v>#REF!</v>
          </cell>
          <cell r="X71"/>
          <cell r="Y71"/>
          <cell r="Z71"/>
          <cell r="AA71"/>
          <cell r="AB71">
            <v>35594</v>
          </cell>
          <cell r="AC71"/>
          <cell r="AD71"/>
          <cell r="AE71"/>
          <cell r="AF71"/>
          <cell r="AG71"/>
          <cell r="AH71"/>
          <cell r="AI71"/>
          <cell r="AJ71"/>
          <cell r="AK71"/>
          <cell r="AL71" t="e">
            <v>#REF!</v>
          </cell>
          <cell r="AM71"/>
          <cell r="AN71"/>
          <cell r="AO71"/>
          <cell r="AP71"/>
          <cell r="AQ71" t="str">
            <v>Credit Card Expense</v>
          </cell>
          <cell r="AR71"/>
          <cell r="AS71"/>
          <cell r="AT71"/>
          <cell r="AU71"/>
          <cell r="AV71"/>
          <cell r="AW71"/>
          <cell r="AX71"/>
          <cell r="AY71"/>
          <cell r="AZ71"/>
          <cell r="BA71"/>
          <cell r="BB71"/>
          <cell r="BC71"/>
          <cell r="BD71"/>
          <cell r="BE71"/>
          <cell r="BF71"/>
          <cell r="BG71"/>
          <cell r="BH71"/>
          <cell r="BI71"/>
          <cell r="BJ71"/>
          <cell r="BK71"/>
          <cell r="BL71"/>
          <cell r="BM71"/>
          <cell r="BN71"/>
          <cell r="BO71">
            <v>8530</v>
          </cell>
          <cell r="BP71"/>
          <cell r="BQ71"/>
          <cell r="BR71"/>
          <cell r="BS71"/>
          <cell r="BT71"/>
          <cell r="BU71"/>
          <cell r="BV71"/>
          <cell r="BW71">
            <v>6433</v>
          </cell>
          <cell r="BX71"/>
          <cell r="BY71"/>
          <cell r="BZ71"/>
          <cell r="CA71"/>
          <cell r="CB71"/>
          <cell r="CC71"/>
          <cell r="CD71"/>
          <cell r="CE71"/>
          <cell r="CF71"/>
          <cell r="CG71" t="e">
            <v>#REF!</v>
          </cell>
          <cell r="CH71"/>
          <cell r="CI71"/>
          <cell r="CJ71"/>
          <cell r="CK71"/>
          <cell r="CL71">
            <v>74404</v>
          </cell>
          <cell r="CM71"/>
          <cell r="CN71"/>
          <cell r="CO71"/>
          <cell r="CP71"/>
          <cell r="CQ71" t="e">
            <v>#REF!</v>
          </cell>
          <cell r="CR71"/>
          <cell r="CS71"/>
          <cell r="CT71"/>
          <cell r="CU71"/>
          <cell r="CV71" t="str">
            <v>67</v>
          </cell>
          <cell r="CW71"/>
          <cell r="CX71"/>
          <cell r="CY71">
            <v>306703</v>
          </cell>
          <cell r="CZ71">
            <v>306705</v>
          </cell>
          <cell r="DA71"/>
          <cell r="DB71"/>
          <cell r="DC71">
            <v>306711</v>
          </cell>
          <cell r="DD71">
            <v>306713</v>
          </cell>
        </row>
        <row r="72">
          <cell r="B72" t="str">
            <v>68</v>
          </cell>
          <cell r="C72"/>
          <cell r="D72" t="str">
            <v>Other Income</v>
          </cell>
          <cell r="E72"/>
          <cell r="F72"/>
          <cell r="G72"/>
          <cell r="H72"/>
          <cell r="I72"/>
          <cell r="J72"/>
          <cell r="K72"/>
          <cell r="L72"/>
          <cell r="M72"/>
          <cell r="N72"/>
          <cell r="O72"/>
          <cell r="P72"/>
          <cell r="Q72" t="str">
            <v>8050</v>
          </cell>
          <cell r="R72">
            <v>105983</v>
          </cell>
          <cell r="S72"/>
          <cell r="T72"/>
          <cell r="U72"/>
          <cell r="V72"/>
          <cell r="W72" t="e">
            <v>#REF!</v>
          </cell>
          <cell r="X72"/>
          <cell r="Y72"/>
          <cell r="Z72"/>
          <cell r="AA72"/>
          <cell r="AB72">
            <v>1011304</v>
          </cell>
          <cell r="AC72"/>
          <cell r="AD72"/>
          <cell r="AE72"/>
          <cell r="AF72"/>
          <cell r="AG72"/>
          <cell r="AH72"/>
          <cell r="AI72"/>
          <cell r="AJ72"/>
          <cell r="AK72"/>
          <cell r="AL72" t="e">
            <v>#REF!</v>
          </cell>
          <cell r="AM72"/>
          <cell r="AN72"/>
          <cell r="AO72"/>
          <cell r="AP72"/>
          <cell r="AQ72" t="str">
            <v>Rental / Service Loaner Vehicles Expense</v>
          </cell>
          <cell r="AR72"/>
          <cell r="AS72"/>
          <cell r="AT72"/>
          <cell r="AU72"/>
          <cell r="AV72"/>
          <cell r="AW72"/>
          <cell r="AX72"/>
          <cell r="AY72"/>
          <cell r="AZ72"/>
          <cell r="BA72"/>
          <cell r="BB72"/>
          <cell r="BC72"/>
          <cell r="BD72"/>
          <cell r="BE72"/>
          <cell r="BF72"/>
          <cell r="BG72"/>
          <cell r="BH72"/>
          <cell r="BI72"/>
          <cell r="BJ72"/>
          <cell r="BK72"/>
          <cell r="BL72"/>
          <cell r="BM72"/>
          <cell r="BN72"/>
          <cell r="BO72">
            <v>8590</v>
          </cell>
          <cell r="BP72"/>
          <cell r="BQ72"/>
          <cell r="BR72"/>
          <cell r="BS72"/>
          <cell r="BT72"/>
          <cell r="BU72"/>
          <cell r="BV72"/>
          <cell r="BW72">
            <v>30881</v>
          </cell>
          <cell r="BX72"/>
          <cell r="BY72"/>
          <cell r="BZ72"/>
          <cell r="CA72"/>
          <cell r="CB72"/>
          <cell r="CC72"/>
          <cell r="CD72"/>
          <cell r="CE72"/>
          <cell r="CF72"/>
          <cell r="CG72" t="e">
            <v>#REF!</v>
          </cell>
          <cell r="CH72"/>
          <cell r="CI72"/>
          <cell r="CJ72"/>
          <cell r="CK72"/>
          <cell r="CL72">
            <v>260939</v>
          </cell>
          <cell r="CM72"/>
          <cell r="CN72"/>
          <cell r="CO72"/>
          <cell r="CP72"/>
          <cell r="CQ72" t="e">
            <v>#REF!</v>
          </cell>
          <cell r="CR72"/>
          <cell r="CS72"/>
          <cell r="CT72"/>
          <cell r="CU72"/>
          <cell r="CV72" t="str">
            <v>68</v>
          </cell>
          <cell r="CW72"/>
          <cell r="CX72"/>
          <cell r="CY72">
            <v>306803</v>
          </cell>
          <cell r="CZ72">
            <v>306805</v>
          </cell>
          <cell r="DA72"/>
          <cell r="DB72"/>
          <cell r="DC72">
            <v>306811</v>
          </cell>
          <cell r="DD72">
            <v>306813</v>
          </cell>
        </row>
        <row r="73">
          <cell r="B73" t="str">
            <v>69</v>
          </cell>
          <cell r="C73"/>
          <cell r="D73" t="str">
            <v>Other Makes Net Profit</v>
          </cell>
          <cell r="E73"/>
          <cell r="F73"/>
          <cell r="G73"/>
          <cell r="H73"/>
          <cell r="I73"/>
          <cell r="J73"/>
          <cell r="K73"/>
          <cell r="L73"/>
          <cell r="M73"/>
          <cell r="N73"/>
          <cell r="O73"/>
          <cell r="P73"/>
          <cell r="Q73" t="str">
            <v>8200</v>
          </cell>
          <cell r="R73">
            <v>0</v>
          </cell>
          <cell r="S73"/>
          <cell r="T73"/>
          <cell r="U73"/>
          <cell r="V73"/>
          <cell r="W73" t="e">
            <v>#REF!</v>
          </cell>
          <cell r="X73"/>
          <cell r="Y73"/>
          <cell r="Z73"/>
          <cell r="AA73"/>
          <cell r="AB73">
            <v>0</v>
          </cell>
          <cell r="AC73"/>
          <cell r="AD73"/>
          <cell r="AE73"/>
          <cell r="AF73"/>
          <cell r="AG73"/>
          <cell r="AH73"/>
          <cell r="AI73"/>
          <cell r="AJ73"/>
          <cell r="AK73"/>
          <cell r="AL73" t="e">
            <v>#REF!</v>
          </cell>
          <cell r="AM73"/>
          <cell r="AN73"/>
          <cell r="AO73"/>
          <cell r="AP73"/>
          <cell r="AQ73" t="str">
            <v>Other Deductions</v>
          </cell>
          <cell r="AR73"/>
          <cell r="AS73"/>
          <cell r="AT73"/>
          <cell r="AU73"/>
          <cell r="AV73"/>
          <cell r="AW73"/>
          <cell r="AX73"/>
          <cell r="AY73"/>
          <cell r="AZ73"/>
          <cell r="BA73"/>
          <cell r="BB73"/>
          <cell r="BC73"/>
          <cell r="BD73"/>
          <cell r="BE73"/>
          <cell r="BF73"/>
          <cell r="BG73"/>
          <cell r="BH73"/>
          <cell r="BI73"/>
          <cell r="BJ73"/>
          <cell r="BK73"/>
          <cell r="BL73"/>
          <cell r="BM73"/>
          <cell r="BN73"/>
          <cell r="BO73">
            <v>8550</v>
          </cell>
          <cell r="BP73"/>
          <cell r="BQ73"/>
          <cell r="BR73"/>
          <cell r="BS73"/>
          <cell r="BT73"/>
          <cell r="BU73"/>
          <cell r="BV73"/>
          <cell r="BW73">
            <v>933</v>
          </cell>
          <cell r="BX73"/>
          <cell r="BY73"/>
          <cell r="BZ73"/>
          <cell r="CA73"/>
          <cell r="CB73"/>
          <cell r="CC73"/>
          <cell r="CD73"/>
          <cell r="CE73"/>
          <cell r="CF73"/>
          <cell r="CG73" t="e">
            <v>#REF!</v>
          </cell>
          <cell r="CH73"/>
          <cell r="CI73"/>
          <cell r="CJ73"/>
          <cell r="CK73"/>
          <cell r="CL73">
            <v>13870</v>
          </cell>
          <cell r="CM73"/>
          <cell r="CN73"/>
          <cell r="CO73"/>
          <cell r="CP73"/>
          <cell r="CQ73" t="e">
            <v>#REF!</v>
          </cell>
          <cell r="CR73"/>
          <cell r="CS73"/>
          <cell r="CT73"/>
          <cell r="CU73"/>
          <cell r="CV73" t="str">
            <v>69</v>
          </cell>
          <cell r="CW73"/>
          <cell r="CX73"/>
          <cell r="CY73">
            <v>306903</v>
          </cell>
          <cell r="CZ73">
            <v>306905</v>
          </cell>
          <cell r="DC73">
            <v>306911</v>
          </cell>
          <cell r="DD73">
            <v>306913</v>
          </cell>
        </row>
        <row r="74">
          <cell r="B74" t="str">
            <v>70</v>
          </cell>
          <cell r="C74"/>
          <cell r="D74" t="str">
            <v>TOTAL</v>
          </cell>
          <cell r="E74"/>
          <cell r="F74"/>
          <cell r="G74"/>
          <cell r="H74"/>
          <cell r="I74"/>
          <cell r="J74"/>
          <cell r="K74"/>
          <cell r="L74"/>
          <cell r="M74"/>
          <cell r="N74"/>
          <cell r="O74"/>
          <cell r="P74" t="str">
            <v xml:space="preserve">(Lines 64 to 69) </v>
          </cell>
          <cell r="Q74" t="str">
            <v>ADAD</v>
          </cell>
          <cell r="R74">
            <v>110764</v>
          </cell>
          <cell r="S74"/>
          <cell r="T74"/>
          <cell r="U74"/>
          <cell r="V74"/>
          <cell r="W74"/>
          <cell r="X74"/>
          <cell r="Y74"/>
          <cell r="Z74"/>
          <cell r="AA74"/>
          <cell r="AB74">
            <v>1049782</v>
          </cell>
          <cell r="AC74"/>
          <cell r="AD74"/>
          <cell r="AE74"/>
          <cell r="AF74"/>
          <cell r="AG74"/>
          <cell r="AH74"/>
          <cell r="AI74"/>
          <cell r="AJ74"/>
          <cell r="AK74"/>
          <cell r="AL74" t="e">
            <v>#REF!</v>
          </cell>
          <cell r="AM74"/>
          <cell r="AN74"/>
          <cell r="AO74"/>
          <cell r="AP74"/>
          <cell r="AQ74" t="str">
            <v xml:space="preserve">TOTAL </v>
          </cell>
          <cell r="AR74"/>
          <cell r="AS74"/>
          <cell r="AT74"/>
          <cell r="AU74"/>
          <cell r="AV74"/>
          <cell r="AW74"/>
          <cell r="AX74"/>
          <cell r="AY74"/>
          <cell r="AZ74"/>
          <cell r="BA74"/>
          <cell r="BB74"/>
          <cell r="BC74"/>
          <cell r="BD74"/>
          <cell r="BE74"/>
          <cell r="BF74"/>
          <cell r="BG74"/>
          <cell r="BH74"/>
          <cell r="BI74"/>
          <cell r="BJ74"/>
          <cell r="BK74"/>
          <cell r="BL74"/>
          <cell r="BM74"/>
          <cell r="BN74" t="str">
            <v xml:space="preserve">(Lines 64 to 69) </v>
          </cell>
          <cell r="BO74"/>
          <cell r="BP74"/>
          <cell r="BQ74"/>
          <cell r="BR74"/>
          <cell r="BS74"/>
          <cell r="BT74"/>
          <cell r="BU74"/>
          <cell r="BV74"/>
          <cell r="BW74">
            <v>57034</v>
          </cell>
          <cell r="BX74"/>
          <cell r="BY74"/>
          <cell r="BZ74"/>
          <cell r="CA74"/>
          <cell r="CB74"/>
          <cell r="CC74"/>
          <cell r="CD74"/>
          <cell r="CE74"/>
          <cell r="CF74"/>
          <cell r="CG74" t="e">
            <v>#REF!</v>
          </cell>
          <cell r="CH74"/>
          <cell r="CI74"/>
          <cell r="CJ74"/>
          <cell r="CK74"/>
          <cell r="CL74">
            <v>626959</v>
          </cell>
          <cell r="CM74"/>
          <cell r="CN74"/>
          <cell r="CO74"/>
          <cell r="CP74"/>
          <cell r="CQ74" t="e">
            <v>#REF!</v>
          </cell>
          <cell r="CR74"/>
          <cell r="CS74"/>
          <cell r="CT74"/>
          <cell r="CU74"/>
          <cell r="CV74" t="str">
            <v>70</v>
          </cell>
          <cell r="CW74"/>
          <cell r="CX74"/>
          <cell r="CY74">
            <v>307003</v>
          </cell>
          <cell r="CZ74">
            <v>307005</v>
          </cell>
          <cell r="DC74">
            <v>307011</v>
          </cell>
          <cell r="DD74">
            <v>307013</v>
          </cell>
        </row>
        <row r="75">
          <cell r="B75" t="str">
            <v>71</v>
          </cell>
          <cell r="C75"/>
          <cell r="D75"/>
          <cell r="E75"/>
          <cell r="F75"/>
          <cell r="G75"/>
          <cell r="H75"/>
          <cell r="I75"/>
          <cell r="J75"/>
          <cell r="K75"/>
          <cell r="L75"/>
          <cell r="M75"/>
          <cell r="N75"/>
          <cell r="O75"/>
          <cell r="P75"/>
          <cell r="Q75"/>
          <cell r="R75"/>
          <cell r="S75"/>
          <cell r="T75"/>
          <cell r="U75"/>
          <cell r="V75"/>
          <cell r="W75"/>
          <cell r="X75"/>
          <cell r="Y75"/>
          <cell r="Z75"/>
          <cell r="AA75"/>
          <cell r="AB75"/>
          <cell r="AC75"/>
          <cell r="AD75"/>
          <cell r="AE75"/>
          <cell r="AF75"/>
          <cell r="AG75"/>
          <cell r="AH75"/>
          <cell r="AI75"/>
          <cell r="AJ75"/>
          <cell r="AK75"/>
          <cell r="AL75" t="e">
            <v>#REF!</v>
          </cell>
          <cell r="AM75"/>
          <cell r="AN75"/>
          <cell r="AO75"/>
          <cell r="AP75"/>
          <cell r="AQ75" t="str">
            <v>Net Additions or Deductions</v>
          </cell>
          <cell r="AR75"/>
          <cell r="AS75"/>
          <cell r="AT75"/>
          <cell r="AU75"/>
          <cell r="AV75"/>
          <cell r="AW75"/>
          <cell r="AX75"/>
          <cell r="AY75"/>
          <cell r="AZ75"/>
          <cell r="BA75"/>
          <cell r="BB75"/>
          <cell r="BC75"/>
          <cell r="BD75"/>
          <cell r="BE75"/>
          <cell r="BF75"/>
          <cell r="BG75"/>
          <cell r="BH75"/>
          <cell r="BI75"/>
          <cell r="BJ75"/>
          <cell r="BK75"/>
          <cell r="BL75"/>
          <cell r="BM75"/>
          <cell r="BN75" t="str">
            <v>(L70 Adds Less L70 Deds)</v>
          </cell>
          <cell r="BO75" t="str">
            <v>TT31</v>
          </cell>
          <cell r="BP75"/>
          <cell r="BQ75"/>
          <cell r="BR75"/>
          <cell r="BS75"/>
          <cell r="BT75"/>
          <cell r="BU75"/>
          <cell r="BV75"/>
          <cell r="BW75">
            <v>53730</v>
          </cell>
          <cell r="BX75"/>
          <cell r="BY75"/>
          <cell r="BZ75"/>
          <cell r="CA75"/>
          <cell r="CB75"/>
          <cell r="CC75"/>
          <cell r="CD75"/>
          <cell r="CE75"/>
          <cell r="CF75"/>
          <cell r="CG75" t="e">
            <v>#REF!</v>
          </cell>
          <cell r="CH75"/>
          <cell r="CI75"/>
          <cell r="CJ75"/>
          <cell r="CK75"/>
          <cell r="CL75">
            <v>422823</v>
          </cell>
          <cell r="CM75"/>
          <cell r="CN75"/>
          <cell r="CO75"/>
          <cell r="CP75"/>
          <cell r="CQ75" t="e">
            <v>#REF!</v>
          </cell>
          <cell r="CR75"/>
          <cell r="CS75"/>
          <cell r="CT75"/>
          <cell r="CU75"/>
          <cell r="CV75" t="str">
            <v>71</v>
          </cell>
          <cell r="CW75"/>
          <cell r="CX75"/>
          <cell r="CY75">
            <v>307103</v>
          </cell>
          <cell r="CZ75">
            <v>307105</v>
          </cell>
          <cell r="DC75">
            <v>307111</v>
          </cell>
          <cell r="DD75">
            <v>307113</v>
          </cell>
        </row>
        <row r="76">
          <cell r="B76"/>
          <cell r="C76"/>
          <cell r="D76"/>
          <cell r="E76"/>
          <cell r="F76"/>
          <cell r="G76"/>
          <cell r="H76"/>
          <cell r="I76"/>
          <cell r="J76"/>
          <cell r="K76"/>
          <cell r="L76"/>
          <cell r="M76"/>
          <cell r="N76"/>
          <cell r="O76"/>
          <cell r="P76"/>
          <cell r="Q76"/>
          <cell r="R76"/>
          <cell r="S76"/>
          <cell r="T76"/>
          <cell r="U76"/>
          <cell r="V76"/>
          <cell r="W76"/>
          <cell r="X76"/>
          <cell r="Y76"/>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cell r="BE76"/>
          <cell r="BF76"/>
          <cell r="BG76"/>
          <cell r="BH76"/>
          <cell r="BI76"/>
          <cell r="BJ76"/>
          <cell r="BK76"/>
          <cell r="BL76"/>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v>307403</v>
          </cell>
          <cell r="CZ76">
            <v>307405</v>
          </cell>
          <cell r="DC76">
            <v>307411</v>
          </cell>
          <cell r="DD76">
            <v>307413</v>
          </cell>
        </row>
      </sheetData>
      <sheetData sheetId="3" refreshError="1">
        <row r="1">
          <cell r="B1"/>
          <cell r="C1"/>
          <cell r="D1"/>
          <cell r="E1"/>
          <cell r="F1"/>
          <cell r="G1"/>
          <cell r="H1" t="str">
            <v>NEW VEHICLE DEPARTMENTAL SALES GROSS PROFIT</v>
          </cell>
          <cell r="I1"/>
          <cell r="J1"/>
          <cell r="K1"/>
          <cell r="L1"/>
          <cell r="M1"/>
          <cell r="N1"/>
          <cell r="O1"/>
        </row>
        <row r="2">
          <cell r="B2" t="str">
            <v>Page 4              Current Month: (Month)</v>
          </cell>
          <cell r="C2"/>
          <cell r="D2"/>
          <cell r="E2"/>
          <cell r="F2"/>
          <cell r="G2"/>
          <cell r="H2"/>
          <cell r="I2"/>
          <cell r="J2" t="str">
            <v>Year To Date: (Year)</v>
          </cell>
          <cell r="K2"/>
          <cell r="L2"/>
          <cell r="M2"/>
          <cell r="N2"/>
          <cell r="O2"/>
        </row>
        <row r="3">
          <cell r="B3" t="str">
            <v>UNITS</v>
          </cell>
          <cell r="C3" t="str">
            <v>SALES</v>
          </cell>
          <cell r="D3" t="str">
            <v>GROSS</v>
          </cell>
          <cell r="E3" t="str">
            <v>Inccentive</v>
          </cell>
          <cell r="F3" t="str">
            <v>GROSS</v>
          </cell>
          <cell r="G3" t="str">
            <v>Acct.</v>
          </cell>
          <cell r="H3" t="str">
            <v>ACCOUNT NAME</v>
          </cell>
          <cell r="I3"/>
          <cell r="J3" t="str">
            <v>UNITS</v>
          </cell>
          <cell r="K3" t="str">
            <v>SALES</v>
          </cell>
          <cell r="L3" t="str">
            <v xml:space="preserve">GROSS </v>
          </cell>
          <cell r="M3" t="str">
            <v>Inccentive</v>
          </cell>
          <cell r="N3" t="str">
            <v>GROSS</v>
          </cell>
          <cell r="O3" t="str">
            <v>LINE</v>
          </cell>
        </row>
        <row r="4">
          <cell r="B4"/>
          <cell r="C4"/>
          <cell r="D4"/>
          <cell r="E4" t="str">
            <v>Inc in GP</v>
          </cell>
          <cell r="F4" t="str">
            <v>PER UNIT</v>
          </cell>
          <cell r="G4" t="str">
            <v>No.</v>
          </cell>
          <cell r="H4"/>
          <cell r="I4"/>
          <cell r="J4"/>
          <cell r="K4"/>
          <cell r="L4"/>
          <cell r="M4" t="str">
            <v>Inc in GP</v>
          </cell>
          <cell r="N4" t="str">
            <v>PER UNIT</v>
          </cell>
          <cell r="O4" t="str">
            <v>NO</v>
          </cell>
        </row>
        <row r="5">
          <cell r="B5">
            <v>0</v>
          </cell>
          <cell r="C5">
            <v>0</v>
          </cell>
          <cell r="D5">
            <v>0</v>
          </cell>
          <cell r="E5">
            <v>0</v>
          </cell>
          <cell r="F5">
            <v>0</v>
          </cell>
          <cell r="G5">
            <v>4042</v>
          </cell>
          <cell r="H5" t="str">
            <v>Versa Note / Hatch - Retail</v>
          </cell>
          <cell r="I5"/>
          <cell r="J5">
            <v>11</v>
          </cell>
          <cell r="K5">
            <v>193359</v>
          </cell>
          <cell r="L5">
            <v>6785</v>
          </cell>
          <cell r="M5">
            <v>2625</v>
          </cell>
          <cell r="N5">
            <v>617</v>
          </cell>
          <cell r="O5" t="str">
            <v>1</v>
          </cell>
        </row>
        <row r="6">
          <cell r="B6">
            <v>5</v>
          </cell>
          <cell r="C6">
            <v>128701</v>
          </cell>
          <cell r="D6">
            <v>-11580</v>
          </cell>
          <cell r="E6">
            <v>0</v>
          </cell>
          <cell r="F6">
            <v>-2316</v>
          </cell>
          <cell r="G6">
            <v>4052</v>
          </cell>
          <cell r="H6" t="str">
            <v>Versa Sedan - Retail</v>
          </cell>
          <cell r="I6"/>
          <cell r="J6">
            <v>56</v>
          </cell>
          <cell r="K6">
            <v>953649</v>
          </cell>
          <cell r="L6">
            <v>-27095</v>
          </cell>
          <cell r="M6">
            <v>11375</v>
          </cell>
          <cell r="N6">
            <v>-484</v>
          </cell>
          <cell r="O6" t="str">
            <v>2</v>
          </cell>
        </row>
        <row r="7">
          <cell r="B7">
            <v>7</v>
          </cell>
          <cell r="C7">
            <v>129464</v>
          </cell>
          <cell r="D7">
            <v>-12947</v>
          </cell>
          <cell r="E7">
            <v>0</v>
          </cell>
          <cell r="F7">
            <v>-1850</v>
          </cell>
          <cell r="G7">
            <v>4000</v>
          </cell>
          <cell r="H7" t="str">
            <v>Sentra - Retail</v>
          </cell>
          <cell r="I7"/>
          <cell r="J7">
            <v>88</v>
          </cell>
          <cell r="K7">
            <v>1719194</v>
          </cell>
          <cell r="L7">
            <v>-75723</v>
          </cell>
          <cell r="M7">
            <v>9400</v>
          </cell>
          <cell r="N7">
            <v>-860</v>
          </cell>
          <cell r="O7" t="str">
            <v>3</v>
          </cell>
        </row>
        <row r="8">
          <cell r="B8">
            <v>19</v>
          </cell>
          <cell r="C8">
            <v>464223</v>
          </cell>
          <cell r="D8">
            <v>-37587</v>
          </cell>
          <cell r="E8">
            <v>0</v>
          </cell>
          <cell r="F8">
            <v>-1978</v>
          </cell>
          <cell r="G8">
            <v>4070</v>
          </cell>
          <cell r="H8" t="str">
            <v>Altima 4 Cyl - Retail</v>
          </cell>
          <cell r="I8"/>
          <cell r="J8">
            <v>272</v>
          </cell>
          <cell r="K8">
            <v>6980455</v>
          </cell>
          <cell r="L8">
            <v>-280693</v>
          </cell>
          <cell r="M8">
            <v>84250</v>
          </cell>
          <cell r="N8">
            <v>-1032</v>
          </cell>
          <cell r="O8" t="str">
            <v>4</v>
          </cell>
        </row>
        <row r="9">
          <cell r="B9">
            <v>0</v>
          </cell>
          <cell r="C9">
            <v>0</v>
          </cell>
          <cell r="D9">
            <v>0</v>
          </cell>
          <cell r="E9">
            <v>0</v>
          </cell>
          <cell r="F9">
            <v>0</v>
          </cell>
          <cell r="G9">
            <v>4170</v>
          </cell>
          <cell r="H9" t="str">
            <v>Altima 6 Cyl - Retail</v>
          </cell>
          <cell r="I9"/>
          <cell r="J9">
            <v>1</v>
          </cell>
          <cell r="K9">
            <v>36566</v>
          </cell>
          <cell r="L9">
            <v>3505</v>
          </cell>
          <cell r="M9">
            <v>0</v>
          </cell>
          <cell r="N9">
            <v>3505</v>
          </cell>
          <cell r="O9" t="str">
            <v>5</v>
          </cell>
        </row>
        <row r="10">
          <cell r="B10">
            <v>1</v>
          </cell>
          <cell r="C10">
            <v>33625</v>
          </cell>
          <cell r="D10">
            <v>-2678</v>
          </cell>
          <cell r="E10">
            <v>0</v>
          </cell>
          <cell r="F10">
            <v>-2678</v>
          </cell>
          <cell r="G10">
            <v>4050</v>
          </cell>
          <cell r="H10" t="str">
            <v>Maxima - Retail</v>
          </cell>
          <cell r="I10"/>
          <cell r="J10">
            <v>48</v>
          </cell>
          <cell r="K10">
            <v>1846488</v>
          </cell>
          <cell r="L10">
            <v>-28925</v>
          </cell>
          <cell r="M10">
            <v>10650</v>
          </cell>
          <cell r="N10">
            <v>-603</v>
          </cell>
          <cell r="O10" t="str">
            <v>6</v>
          </cell>
        </row>
        <row r="11">
          <cell r="B11">
            <v>0</v>
          </cell>
          <cell r="C11">
            <v>0</v>
          </cell>
          <cell r="D11">
            <v>0</v>
          </cell>
          <cell r="E11">
            <v>0</v>
          </cell>
          <cell r="F11">
            <v>0</v>
          </cell>
          <cell r="G11">
            <v>4010</v>
          </cell>
          <cell r="H11" t="str">
            <v>Z Coupe - Retail</v>
          </cell>
          <cell r="I11"/>
          <cell r="J11">
            <v>8</v>
          </cell>
          <cell r="K11">
            <v>328894</v>
          </cell>
          <cell r="L11">
            <v>20809</v>
          </cell>
          <cell r="M11">
            <v>2500</v>
          </cell>
          <cell r="N11">
            <v>2601</v>
          </cell>
          <cell r="O11" t="str">
            <v>7</v>
          </cell>
        </row>
        <row r="12">
          <cell r="B12">
            <v>0</v>
          </cell>
          <cell r="C12">
            <v>0</v>
          </cell>
          <cell r="D12">
            <v>0</v>
          </cell>
          <cell r="E12">
            <v>0</v>
          </cell>
          <cell r="F12">
            <v>0</v>
          </cell>
          <cell r="G12">
            <v>4012</v>
          </cell>
          <cell r="H12" t="str">
            <v>Z Roadster - Retail</v>
          </cell>
          <cell r="I12"/>
          <cell r="J12">
            <v>2</v>
          </cell>
          <cell r="K12">
            <v>95817</v>
          </cell>
          <cell r="L12">
            <v>7701</v>
          </cell>
          <cell r="M12">
            <v>1150</v>
          </cell>
          <cell r="N12">
            <v>3851</v>
          </cell>
          <cell r="O12" t="str">
            <v>8</v>
          </cell>
        </row>
        <row r="13">
          <cell r="B13">
            <v>0</v>
          </cell>
          <cell r="C13">
            <v>0</v>
          </cell>
          <cell r="D13">
            <v>0</v>
          </cell>
          <cell r="E13">
            <v>0</v>
          </cell>
          <cell r="F13">
            <v>0</v>
          </cell>
          <cell r="G13">
            <v>4002</v>
          </cell>
          <cell r="H13" t="str">
            <v>GT-R - Retail</v>
          </cell>
          <cell r="I13"/>
          <cell r="J13">
            <v>1</v>
          </cell>
          <cell r="K13">
            <v>88267</v>
          </cell>
          <cell r="L13">
            <v>-14999</v>
          </cell>
          <cell r="M13">
            <v>0</v>
          </cell>
          <cell r="N13">
            <v>-14999</v>
          </cell>
          <cell r="O13" t="str">
            <v>9</v>
          </cell>
        </row>
        <row r="14">
          <cell r="B14">
            <v>0</v>
          </cell>
          <cell r="C14">
            <v>0</v>
          </cell>
          <cell r="D14">
            <v>0</v>
          </cell>
          <cell r="E14">
            <v>0</v>
          </cell>
          <cell r="F14">
            <v>0</v>
          </cell>
          <cell r="G14">
            <v>4011</v>
          </cell>
          <cell r="H14" t="str">
            <v>LEAF Electric Vehicle - Retail</v>
          </cell>
          <cell r="I14"/>
          <cell r="J14">
            <v>1</v>
          </cell>
          <cell r="K14">
            <v>30567</v>
          </cell>
          <cell r="L14">
            <v>-3874</v>
          </cell>
          <cell r="M14">
            <v>0</v>
          </cell>
          <cell r="N14">
            <v>-3874</v>
          </cell>
          <cell r="O14" t="str">
            <v>10</v>
          </cell>
        </row>
        <row r="15">
          <cell r="B15">
            <v>0</v>
          </cell>
          <cell r="C15">
            <v>0</v>
          </cell>
          <cell r="D15">
            <v>0</v>
          </cell>
          <cell r="E15">
            <v>0</v>
          </cell>
          <cell r="F15">
            <v>0</v>
          </cell>
          <cell r="G15">
            <v>4024</v>
          </cell>
          <cell r="H15" t="str">
            <v>Pathfinder HEV - Retail</v>
          </cell>
          <cell r="I15"/>
          <cell r="J15">
            <v>0</v>
          </cell>
          <cell r="K15">
            <v>0</v>
          </cell>
          <cell r="L15">
            <v>0</v>
          </cell>
          <cell r="M15">
            <v>0</v>
          </cell>
          <cell r="N15">
            <v>0</v>
          </cell>
          <cell r="O15" t="str">
            <v>11</v>
          </cell>
        </row>
        <row r="16">
          <cell r="B16">
            <v>11</v>
          </cell>
          <cell r="C16">
            <v>378862</v>
          </cell>
          <cell r="D16">
            <v>-13499</v>
          </cell>
          <cell r="E16">
            <v>0</v>
          </cell>
          <cell r="F16">
            <v>-1227</v>
          </cell>
          <cell r="G16">
            <v>4022</v>
          </cell>
          <cell r="H16" t="str">
            <v>Pathfinder - Retail</v>
          </cell>
          <cell r="I16"/>
          <cell r="J16">
            <v>95</v>
          </cell>
          <cell r="K16">
            <v>3470009</v>
          </cell>
          <cell r="L16">
            <v>-74736</v>
          </cell>
          <cell r="M16">
            <v>14400</v>
          </cell>
          <cell r="N16">
            <v>-787</v>
          </cell>
          <cell r="O16" t="str">
            <v>12</v>
          </cell>
        </row>
        <row r="17">
          <cell r="B17">
            <v>1</v>
          </cell>
          <cell r="C17">
            <v>26485</v>
          </cell>
          <cell r="D17">
            <v>-851</v>
          </cell>
          <cell r="E17">
            <v>0</v>
          </cell>
          <cell r="F17">
            <v>-851</v>
          </cell>
          <cell r="G17">
            <v>4034</v>
          </cell>
          <cell r="H17" t="str">
            <v>JUKE - Retail</v>
          </cell>
          <cell r="I17"/>
          <cell r="J17">
            <v>8</v>
          </cell>
          <cell r="K17">
            <v>190332</v>
          </cell>
          <cell r="L17">
            <v>-707</v>
          </cell>
          <cell r="M17">
            <v>1350</v>
          </cell>
          <cell r="N17">
            <v>-88</v>
          </cell>
          <cell r="O17" t="str">
            <v>13</v>
          </cell>
        </row>
        <row r="18">
          <cell r="B18">
            <v>1</v>
          </cell>
          <cell r="C18">
            <v>46440</v>
          </cell>
          <cell r="D18">
            <v>3550</v>
          </cell>
          <cell r="E18">
            <v>0</v>
          </cell>
          <cell r="F18">
            <v>3550</v>
          </cell>
          <cell r="G18">
            <v>4130</v>
          </cell>
          <cell r="H18" t="str">
            <v>Quest - Retail</v>
          </cell>
          <cell r="I18"/>
          <cell r="J18">
            <v>6</v>
          </cell>
          <cell r="K18">
            <v>227613</v>
          </cell>
          <cell r="L18">
            <v>3876</v>
          </cell>
          <cell r="M18">
            <v>1010</v>
          </cell>
          <cell r="N18">
            <v>646</v>
          </cell>
          <cell r="O18" t="str">
            <v>14</v>
          </cell>
        </row>
        <row r="19">
          <cell r="B19">
            <v>0</v>
          </cell>
          <cell r="C19">
            <v>0</v>
          </cell>
          <cell r="D19">
            <v>0</v>
          </cell>
          <cell r="E19">
            <v>0</v>
          </cell>
          <cell r="F19">
            <v>0</v>
          </cell>
          <cell r="G19">
            <v>4142</v>
          </cell>
          <cell r="H19" t="str">
            <v>Xterra - Retail</v>
          </cell>
          <cell r="I19"/>
          <cell r="J19">
            <v>0</v>
          </cell>
          <cell r="K19">
            <v>0</v>
          </cell>
          <cell r="L19">
            <v>0</v>
          </cell>
          <cell r="M19">
            <v>0</v>
          </cell>
          <cell r="N19">
            <v>0</v>
          </cell>
          <cell r="O19" t="str">
            <v>15</v>
          </cell>
        </row>
        <row r="20">
          <cell r="B20">
            <v>33</v>
          </cell>
          <cell r="C20">
            <v>877992</v>
          </cell>
          <cell r="D20">
            <v>-48702</v>
          </cell>
          <cell r="E20">
            <v>0</v>
          </cell>
          <cell r="F20">
            <v>-1476</v>
          </cell>
          <cell r="G20">
            <v>4112</v>
          </cell>
          <cell r="H20" t="str">
            <v>Rogue - Retail</v>
          </cell>
          <cell r="I20"/>
          <cell r="J20">
            <v>259</v>
          </cell>
          <cell r="K20">
            <v>7022172</v>
          </cell>
          <cell r="L20">
            <v>-214376</v>
          </cell>
          <cell r="M20">
            <v>40840</v>
          </cell>
          <cell r="N20">
            <v>-828</v>
          </cell>
          <cell r="O20" t="str">
            <v>16</v>
          </cell>
        </row>
        <row r="21">
          <cell r="B21">
            <v>0</v>
          </cell>
          <cell r="C21">
            <v>0</v>
          </cell>
          <cell r="D21">
            <v>0</v>
          </cell>
          <cell r="E21">
            <v>0</v>
          </cell>
          <cell r="F21">
            <v>0</v>
          </cell>
          <cell r="G21">
            <v>4026</v>
          </cell>
          <cell r="H21" t="str">
            <v>Rogue Select - Retail</v>
          </cell>
          <cell r="I21"/>
          <cell r="J21">
            <v>6</v>
          </cell>
          <cell r="K21">
            <v>147470</v>
          </cell>
          <cell r="L21">
            <v>61</v>
          </cell>
          <cell r="M21">
            <v>5050</v>
          </cell>
          <cell r="N21">
            <v>10</v>
          </cell>
          <cell r="O21" t="str">
            <v>17</v>
          </cell>
        </row>
        <row r="22">
          <cell r="B22">
            <v>0</v>
          </cell>
          <cell r="C22">
            <v>0</v>
          </cell>
          <cell r="D22">
            <v>0</v>
          </cell>
          <cell r="E22">
            <v>0</v>
          </cell>
          <cell r="F22">
            <v>0</v>
          </cell>
          <cell r="G22">
            <v>4113</v>
          </cell>
          <cell r="H22" t="str">
            <v>Rogue HEV - Retail</v>
          </cell>
          <cell r="I22"/>
          <cell r="J22">
            <v>0</v>
          </cell>
          <cell r="K22">
            <v>0</v>
          </cell>
          <cell r="L22">
            <v>0</v>
          </cell>
          <cell r="M22">
            <v>0</v>
          </cell>
          <cell r="N22">
            <v>0</v>
          </cell>
          <cell r="O22" t="str">
            <v>18</v>
          </cell>
        </row>
        <row r="23">
          <cell r="B23">
            <v>6</v>
          </cell>
          <cell r="C23">
            <v>203783</v>
          </cell>
          <cell r="D23">
            <v>-14216</v>
          </cell>
          <cell r="E23">
            <v>0</v>
          </cell>
          <cell r="F23">
            <v>-2369</v>
          </cell>
          <cell r="G23">
            <v>4092</v>
          </cell>
          <cell r="H23" t="str">
            <v>Murano - Retail</v>
          </cell>
          <cell r="I23"/>
          <cell r="J23">
            <v>91</v>
          </cell>
          <cell r="K23">
            <v>3364190</v>
          </cell>
          <cell r="L23">
            <v>-72088</v>
          </cell>
          <cell r="M23">
            <v>26100</v>
          </cell>
          <cell r="N23">
            <v>-792</v>
          </cell>
          <cell r="O23" t="str">
            <v>19</v>
          </cell>
        </row>
        <row r="24">
          <cell r="B24">
            <v>0</v>
          </cell>
          <cell r="C24">
            <v>0</v>
          </cell>
          <cell r="D24">
            <v>0</v>
          </cell>
          <cell r="E24">
            <v>0</v>
          </cell>
          <cell r="F24">
            <v>0</v>
          </cell>
          <cell r="G24">
            <v>4122</v>
          </cell>
          <cell r="H24" t="str">
            <v>Murano HEV - Retail</v>
          </cell>
          <cell r="I24"/>
          <cell r="J24">
            <v>0</v>
          </cell>
          <cell r="K24">
            <v>0</v>
          </cell>
          <cell r="L24">
            <v>0</v>
          </cell>
          <cell r="M24">
            <v>0</v>
          </cell>
          <cell r="N24">
            <v>0</v>
          </cell>
          <cell r="O24" t="str">
            <v>20</v>
          </cell>
        </row>
        <row r="25">
          <cell r="B25">
            <v>4</v>
          </cell>
          <cell r="C25">
            <v>216264</v>
          </cell>
          <cell r="D25">
            <v>-2864</v>
          </cell>
          <cell r="E25">
            <v>0</v>
          </cell>
          <cell r="F25">
            <v>-716</v>
          </cell>
          <cell r="G25">
            <v>4032</v>
          </cell>
          <cell r="H25" t="str">
            <v>Armada - Retail</v>
          </cell>
          <cell r="I25"/>
          <cell r="J25">
            <v>17</v>
          </cell>
          <cell r="K25">
            <v>953188</v>
          </cell>
          <cell r="L25">
            <v>3882</v>
          </cell>
          <cell r="M25">
            <v>2350</v>
          </cell>
          <cell r="N25">
            <v>228</v>
          </cell>
          <cell r="O25" t="str">
            <v>21</v>
          </cell>
        </row>
        <row r="26">
          <cell r="B26">
            <v>4</v>
          </cell>
          <cell r="C26">
            <v>146412</v>
          </cell>
          <cell r="D26">
            <v>-8406</v>
          </cell>
          <cell r="E26">
            <v>0</v>
          </cell>
          <cell r="F26">
            <v>-2102</v>
          </cell>
          <cell r="G26">
            <v>4082</v>
          </cell>
          <cell r="H26" t="str">
            <v>Frontier King Cab - Retail</v>
          </cell>
          <cell r="I26"/>
          <cell r="J26">
            <v>22</v>
          </cell>
          <cell r="K26">
            <v>560098</v>
          </cell>
          <cell r="L26">
            <v>-7139</v>
          </cell>
          <cell r="M26">
            <v>1620</v>
          </cell>
          <cell r="N26">
            <v>-325</v>
          </cell>
          <cell r="O26" t="str">
            <v>22</v>
          </cell>
        </row>
        <row r="27">
          <cell r="B27">
            <v>4</v>
          </cell>
          <cell r="C27">
            <v>112990</v>
          </cell>
          <cell r="D27">
            <v>-7462</v>
          </cell>
          <cell r="E27">
            <v>0</v>
          </cell>
          <cell r="F27">
            <v>-1866</v>
          </cell>
          <cell r="G27">
            <v>4182</v>
          </cell>
          <cell r="H27" t="str">
            <v>Frontier Crew Cab - Retail</v>
          </cell>
          <cell r="I27"/>
          <cell r="J27">
            <v>67</v>
          </cell>
          <cell r="K27">
            <v>1998216</v>
          </cell>
          <cell r="L27">
            <v>14789</v>
          </cell>
          <cell r="M27">
            <v>13380</v>
          </cell>
          <cell r="N27">
            <v>221</v>
          </cell>
          <cell r="O27" t="str">
            <v>23</v>
          </cell>
        </row>
        <row r="28">
          <cell r="B28">
            <v>0</v>
          </cell>
          <cell r="C28">
            <v>0</v>
          </cell>
          <cell r="D28">
            <v>0</v>
          </cell>
          <cell r="E28">
            <v>0</v>
          </cell>
          <cell r="F28">
            <v>0</v>
          </cell>
          <cell r="G28">
            <v>4150</v>
          </cell>
          <cell r="H28" t="str">
            <v>Titan King Cab - Retail</v>
          </cell>
          <cell r="I28"/>
          <cell r="J28">
            <v>0</v>
          </cell>
          <cell r="K28">
            <v>0</v>
          </cell>
          <cell r="L28">
            <v>0</v>
          </cell>
          <cell r="M28">
            <v>0</v>
          </cell>
          <cell r="N28">
            <v>0</v>
          </cell>
          <cell r="O28" t="str">
            <v>24</v>
          </cell>
        </row>
        <row r="29">
          <cell r="B29">
            <v>6</v>
          </cell>
          <cell r="C29">
            <v>348603</v>
          </cell>
          <cell r="D29">
            <v>-14739</v>
          </cell>
          <cell r="E29">
            <v>0</v>
          </cell>
          <cell r="F29">
            <v>-2457</v>
          </cell>
          <cell r="G29">
            <v>4152</v>
          </cell>
          <cell r="H29" t="str">
            <v>Titan Crew Cab - Retail</v>
          </cell>
          <cell r="I29"/>
          <cell r="J29">
            <v>31</v>
          </cell>
          <cell r="K29">
            <v>1640125</v>
          </cell>
          <cell r="L29">
            <v>704</v>
          </cell>
          <cell r="M29">
            <v>3500</v>
          </cell>
          <cell r="N29">
            <v>23</v>
          </cell>
          <cell r="O29" t="str">
            <v>25</v>
          </cell>
        </row>
        <row r="30">
          <cell r="B30">
            <v>0</v>
          </cell>
          <cell r="C30">
            <v>0</v>
          </cell>
          <cell r="D30">
            <v>0</v>
          </cell>
          <cell r="E30">
            <v>0</v>
          </cell>
          <cell r="F30">
            <v>0</v>
          </cell>
          <cell r="G30">
            <v>4140</v>
          </cell>
          <cell r="H30" t="str">
            <v>Titan Single Cab - Retail</v>
          </cell>
          <cell r="I30"/>
          <cell r="J30">
            <v>0</v>
          </cell>
          <cell r="K30">
            <v>0</v>
          </cell>
          <cell r="L30">
            <v>0</v>
          </cell>
          <cell r="M30">
            <v>0</v>
          </cell>
          <cell r="N30">
            <v>0</v>
          </cell>
          <cell r="O30" t="str">
            <v>26</v>
          </cell>
        </row>
        <row r="31">
          <cell r="B31">
            <v>0</v>
          </cell>
          <cell r="C31">
            <v>0</v>
          </cell>
          <cell r="D31">
            <v>0</v>
          </cell>
          <cell r="E31">
            <v>0</v>
          </cell>
          <cell r="F31">
            <v>0</v>
          </cell>
          <cell r="G31">
            <v>4156</v>
          </cell>
          <cell r="H31" t="str">
            <v>Titan XD King Cab - Retail</v>
          </cell>
          <cell r="I31"/>
          <cell r="J31">
            <v>0</v>
          </cell>
          <cell r="K31">
            <v>0</v>
          </cell>
          <cell r="L31">
            <v>0</v>
          </cell>
          <cell r="M31">
            <v>0</v>
          </cell>
          <cell r="N31">
            <v>0</v>
          </cell>
          <cell r="O31" t="str">
            <v>27</v>
          </cell>
        </row>
        <row r="32">
          <cell r="B32">
            <v>0</v>
          </cell>
          <cell r="C32">
            <v>0</v>
          </cell>
          <cell r="D32">
            <v>0</v>
          </cell>
          <cell r="E32">
            <v>0</v>
          </cell>
          <cell r="F32">
            <v>0</v>
          </cell>
          <cell r="G32">
            <v>4158</v>
          </cell>
          <cell r="H32" t="str">
            <v>Titan XD Crew Cab - Retail</v>
          </cell>
          <cell r="I32"/>
          <cell r="J32">
            <v>0</v>
          </cell>
          <cell r="K32">
            <v>0</v>
          </cell>
          <cell r="L32">
            <v>0</v>
          </cell>
          <cell r="M32">
            <v>0</v>
          </cell>
          <cell r="N32">
            <v>0</v>
          </cell>
          <cell r="O32" t="str">
            <v>28</v>
          </cell>
        </row>
        <row r="33">
          <cell r="B33">
            <v>0</v>
          </cell>
          <cell r="C33">
            <v>0</v>
          </cell>
          <cell r="D33">
            <v>0</v>
          </cell>
          <cell r="E33">
            <v>0</v>
          </cell>
          <cell r="F33">
            <v>0</v>
          </cell>
          <cell r="G33">
            <v>4148</v>
          </cell>
          <cell r="H33" t="str">
            <v>Titan XD Single Cab - Retail</v>
          </cell>
          <cell r="I33"/>
          <cell r="J33">
            <v>0</v>
          </cell>
          <cell r="K33">
            <v>0</v>
          </cell>
          <cell r="L33">
            <v>0</v>
          </cell>
          <cell r="M33">
            <v>0</v>
          </cell>
          <cell r="N33">
            <v>0</v>
          </cell>
          <cell r="O33" t="str">
            <v>29</v>
          </cell>
        </row>
        <row r="34">
          <cell r="B34">
            <v>0</v>
          </cell>
          <cell r="C34">
            <v>0</v>
          </cell>
          <cell r="D34">
            <v>0</v>
          </cell>
          <cell r="E34">
            <v>0</v>
          </cell>
          <cell r="F34">
            <v>0</v>
          </cell>
          <cell r="G34">
            <v>4060</v>
          </cell>
          <cell r="H34" t="str">
            <v>Non-Current Models - Retail</v>
          </cell>
          <cell r="I34"/>
          <cell r="J34">
            <v>0</v>
          </cell>
          <cell r="K34">
            <v>0</v>
          </cell>
          <cell r="L34">
            <v>0</v>
          </cell>
          <cell r="M34">
            <v>0</v>
          </cell>
          <cell r="N34">
            <v>0</v>
          </cell>
          <cell r="O34" t="str">
            <v>30</v>
          </cell>
        </row>
        <row r="35">
          <cell r="B35">
            <v>102</v>
          </cell>
          <cell r="C35">
            <v>3113844</v>
          </cell>
          <cell r="D35">
            <v>-171981</v>
          </cell>
          <cell r="E35">
            <v>0</v>
          </cell>
          <cell r="F35">
            <v>-1686</v>
          </cell>
          <cell r="G35" t="str">
            <v>SUBTOTAL NISSAN VEHICLE - RETAIL</v>
          </cell>
          <cell r="H35"/>
          <cell r="I35" t="str">
            <v xml:space="preserve">(Lines 1 to 30) </v>
          </cell>
          <cell r="J35">
            <v>1090</v>
          </cell>
          <cell r="K35">
            <v>31846669</v>
          </cell>
          <cell r="L35">
            <v>-738243</v>
          </cell>
          <cell r="M35">
            <v>231550</v>
          </cell>
          <cell r="N35">
            <v>-677</v>
          </cell>
          <cell r="O35" t="str">
            <v>31</v>
          </cell>
        </row>
        <row r="36">
          <cell r="B36">
            <v>0</v>
          </cell>
          <cell r="C36">
            <v>0</v>
          </cell>
          <cell r="D36">
            <v>0</v>
          </cell>
          <cell r="E36">
            <v>0</v>
          </cell>
          <cell r="F36">
            <v>0</v>
          </cell>
          <cell r="G36">
            <v>4047</v>
          </cell>
          <cell r="H36" t="str">
            <v>Versa Note / Hatch - Lease</v>
          </cell>
          <cell r="I36"/>
          <cell r="J36">
            <v>0</v>
          </cell>
          <cell r="K36">
            <v>0</v>
          </cell>
          <cell r="L36">
            <v>0</v>
          </cell>
          <cell r="M36">
            <v>0</v>
          </cell>
          <cell r="N36">
            <v>0</v>
          </cell>
          <cell r="O36" t="str">
            <v>32</v>
          </cell>
        </row>
        <row r="37">
          <cell r="B37">
            <v>0</v>
          </cell>
          <cell r="C37">
            <v>0</v>
          </cell>
          <cell r="D37">
            <v>0</v>
          </cell>
          <cell r="E37">
            <v>0</v>
          </cell>
          <cell r="F37">
            <v>0</v>
          </cell>
          <cell r="G37">
            <v>4057</v>
          </cell>
          <cell r="H37" t="str">
            <v>Versa Sedan - Lease</v>
          </cell>
          <cell r="I37"/>
          <cell r="J37">
            <v>1</v>
          </cell>
          <cell r="K37">
            <v>13060</v>
          </cell>
          <cell r="L37">
            <v>-1811</v>
          </cell>
          <cell r="M37">
            <v>0</v>
          </cell>
          <cell r="N37">
            <v>-1811</v>
          </cell>
          <cell r="O37" t="str">
            <v>33</v>
          </cell>
        </row>
        <row r="38">
          <cell r="B38">
            <v>1</v>
          </cell>
          <cell r="C38">
            <v>23471</v>
          </cell>
          <cell r="D38">
            <v>1572</v>
          </cell>
          <cell r="E38">
            <v>0</v>
          </cell>
          <cell r="F38">
            <v>1572</v>
          </cell>
          <cell r="G38">
            <v>4005</v>
          </cell>
          <cell r="H38" t="str">
            <v>Sentra - Lease</v>
          </cell>
          <cell r="I38"/>
          <cell r="J38">
            <v>15</v>
          </cell>
          <cell r="K38">
            <v>327350</v>
          </cell>
          <cell r="L38">
            <v>-778</v>
          </cell>
          <cell r="M38">
            <v>2025</v>
          </cell>
          <cell r="N38">
            <v>-52</v>
          </cell>
          <cell r="O38" t="str">
            <v>34</v>
          </cell>
        </row>
        <row r="39">
          <cell r="B39">
            <v>4</v>
          </cell>
          <cell r="C39">
            <v>95489</v>
          </cell>
          <cell r="D39">
            <v>-7512</v>
          </cell>
          <cell r="E39">
            <v>0</v>
          </cell>
          <cell r="F39">
            <v>-1878</v>
          </cell>
          <cell r="G39">
            <v>4075</v>
          </cell>
          <cell r="H39" t="str">
            <v>Altima 4 Cyl - Lease</v>
          </cell>
          <cell r="I39"/>
          <cell r="J39">
            <v>32</v>
          </cell>
          <cell r="K39">
            <v>759029</v>
          </cell>
          <cell r="L39">
            <v>-25092</v>
          </cell>
          <cell r="M39">
            <v>9720</v>
          </cell>
          <cell r="N39">
            <v>-784</v>
          </cell>
          <cell r="O39" t="str">
            <v>35</v>
          </cell>
        </row>
        <row r="40">
          <cell r="B40">
            <v>0</v>
          </cell>
          <cell r="C40">
            <v>0</v>
          </cell>
          <cell r="D40">
            <v>0</v>
          </cell>
          <cell r="E40">
            <v>0</v>
          </cell>
          <cell r="F40">
            <v>0</v>
          </cell>
          <cell r="G40">
            <v>4175</v>
          </cell>
          <cell r="H40" t="str">
            <v>Altima 6 Cyl - Lease</v>
          </cell>
          <cell r="I40"/>
          <cell r="J40">
            <v>2</v>
          </cell>
          <cell r="K40">
            <v>55259</v>
          </cell>
          <cell r="L40">
            <v>-3907</v>
          </cell>
          <cell r="M40">
            <v>0</v>
          </cell>
          <cell r="N40">
            <v>-1954</v>
          </cell>
          <cell r="O40" t="str">
            <v>36</v>
          </cell>
        </row>
        <row r="41">
          <cell r="B41">
            <v>0</v>
          </cell>
          <cell r="C41">
            <v>0</v>
          </cell>
          <cell r="D41">
            <v>0</v>
          </cell>
          <cell r="E41">
            <v>0</v>
          </cell>
          <cell r="F41">
            <v>0</v>
          </cell>
          <cell r="G41">
            <v>4055</v>
          </cell>
          <cell r="H41" t="str">
            <v>Maxima - Lease</v>
          </cell>
          <cell r="I41"/>
          <cell r="J41">
            <v>15</v>
          </cell>
          <cell r="K41">
            <v>555878</v>
          </cell>
          <cell r="L41">
            <v>8142</v>
          </cell>
          <cell r="M41">
            <v>4000</v>
          </cell>
          <cell r="N41">
            <v>543</v>
          </cell>
          <cell r="O41" t="str">
            <v>37</v>
          </cell>
        </row>
        <row r="42">
          <cell r="B42">
            <v>0</v>
          </cell>
          <cell r="C42">
            <v>0</v>
          </cell>
          <cell r="D42">
            <v>0</v>
          </cell>
          <cell r="E42">
            <v>0</v>
          </cell>
          <cell r="F42">
            <v>0</v>
          </cell>
          <cell r="G42">
            <v>4015</v>
          </cell>
          <cell r="H42" t="str">
            <v>Z Coupe - Lease</v>
          </cell>
          <cell r="I42"/>
          <cell r="J42">
            <v>0</v>
          </cell>
          <cell r="K42">
            <v>0</v>
          </cell>
          <cell r="L42">
            <v>0</v>
          </cell>
          <cell r="M42">
            <v>0</v>
          </cell>
          <cell r="N42">
            <v>0</v>
          </cell>
          <cell r="O42" t="str">
            <v>38</v>
          </cell>
        </row>
        <row r="43">
          <cell r="B43">
            <v>0</v>
          </cell>
          <cell r="C43">
            <v>0</v>
          </cell>
          <cell r="D43">
            <v>0</v>
          </cell>
          <cell r="E43">
            <v>0</v>
          </cell>
          <cell r="F43">
            <v>0</v>
          </cell>
          <cell r="G43">
            <v>4017</v>
          </cell>
          <cell r="H43" t="str">
            <v>Z Roadster - Lease</v>
          </cell>
          <cell r="I43"/>
          <cell r="J43">
            <v>0</v>
          </cell>
          <cell r="K43">
            <v>0</v>
          </cell>
          <cell r="L43">
            <v>0</v>
          </cell>
          <cell r="M43">
            <v>0</v>
          </cell>
          <cell r="N43">
            <v>0</v>
          </cell>
          <cell r="O43" t="str">
            <v>39</v>
          </cell>
        </row>
        <row r="44">
          <cell r="B44">
            <v>0</v>
          </cell>
          <cell r="C44">
            <v>0</v>
          </cell>
          <cell r="D44">
            <v>0</v>
          </cell>
          <cell r="E44">
            <v>0</v>
          </cell>
          <cell r="F44">
            <v>0</v>
          </cell>
          <cell r="G44">
            <v>4007</v>
          </cell>
          <cell r="H44" t="str">
            <v>GT-R - Lease</v>
          </cell>
          <cell r="I44"/>
          <cell r="J44">
            <v>0</v>
          </cell>
          <cell r="K44">
            <v>0</v>
          </cell>
          <cell r="L44">
            <v>0</v>
          </cell>
          <cell r="M44">
            <v>0</v>
          </cell>
          <cell r="N44">
            <v>0</v>
          </cell>
          <cell r="O44" t="str">
            <v>40</v>
          </cell>
        </row>
        <row r="45">
          <cell r="B45">
            <v>0</v>
          </cell>
          <cell r="C45">
            <v>0</v>
          </cell>
          <cell r="D45">
            <v>0</v>
          </cell>
          <cell r="E45">
            <v>0</v>
          </cell>
          <cell r="F45">
            <v>0</v>
          </cell>
          <cell r="G45">
            <v>4013</v>
          </cell>
          <cell r="H45" t="str">
            <v>LEAF Electric Vehicle - Lease</v>
          </cell>
          <cell r="I45"/>
          <cell r="J45">
            <v>1</v>
          </cell>
          <cell r="K45">
            <v>27283</v>
          </cell>
          <cell r="L45">
            <v>132</v>
          </cell>
          <cell r="M45">
            <v>1350</v>
          </cell>
          <cell r="N45">
            <v>132</v>
          </cell>
          <cell r="O45" t="str">
            <v>41</v>
          </cell>
        </row>
        <row r="46">
          <cell r="B46">
            <v>0</v>
          </cell>
          <cell r="C46">
            <v>0</v>
          </cell>
          <cell r="D46">
            <v>0</v>
          </cell>
          <cell r="E46">
            <v>0</v>
          </cell>
          <cell r="F46">
            <v>0</v>
          </cell>
          <cell r="G46">
            <v>4025</v>
          </cell>
          <cell r="H46" t="str">
            <v>Pathfinder HEV - Lease</v>
          </cell>
          <cell r="I46"/>
          <cell r="J46">
            <v>0</v>
          </cell>
          <cell r="K46">
            <v>0</v>
          </cell>
          <cell r="L46">
            <v>0</v>
          </cell>
          <cell r="M46">
            <v>0</v>
          </cell>
          <cell r="N46">
            <v>0</v>
          </cell>
          <cell r="O46" t="str">
            <v>42</v>
          </cell>
        </row>
        <row r="47">
          <cell r="B47">
            <v>1</v>
          </cell>
          <cell r="C47">
            <v>40161</v>
          </cell>
          <cell r="D47">
            <v>-698</v>
          </cell>
          <cell r="E47">
            <v>0</v>
          </cell>
          <cell r="F47">
            <v>-698</v>
          </cell>
          <cell r="G47">
            <v>4027</v>
          </cell>
          <cell r="H47" t="str">
            <v>Pathfinder - Lease</v>
          </cell>
          <cell r="I47"/>
          <cell r="J47">
            <v>9</v>
          </cell>
          <cell r="K47">
            <v>336410</v>
          </cell>
          <cell r="L47">
            <v>-4380</v>
          </cell>
          <cell r="M47">
            <v>2850</v>
          </cell>
          <cell r="N47">
            <v>-487</v>
          </cell>
          <cell r="O47" t="str">
            <v>43</v>
          </cell>
        </row>
        <row r="48">
          <cell r="B48">
            <v>0</v>
          </cell>
          <cell r="C48">
            <v>0</v>
          </cell>
          <cell r="D48">
            <v>0</v>
          </cell>
          <cell r="E48">
            <v>0</v>
          </cell>
          <cell r="F48">
            <v>0</v>
          </cell>
          <cell r="G48">
            <v>4039</v>
          </cell>
          <cell r="H48" t="str">
            <v>JUKE - Lease</v>
          </cell>
          <cell r="I48"/>
          <cell r="J48">
            <v>0</v>
          </cell>
          <cell r="K48">
            <v>0</v>
          </cell>
          <cell r="L48">
            <v>0</v>
          </cell>
          <cell r="M48">
            <v>0</v>
          </cell>
          <cell r="N48">
            <v>0</v>
          </cell>
          <cell r="O48" t="str">
            <v>44</v>
          </cell>
        </row>
        <row r="49">
          <cell r="B49">
            <v>0</v>
          </cell>
          <cell r="C49">
            <v>0</v>
          </cell>
          <cell r="D49">
            <v>0</v>
          </cell>
          <cell r="E49">
            <v>0</v>
          </cell>
          <cell r="F49">
            <v>0</v>
          </cell>
          <cell r="G49">
            <v>4135</v>
          </cell>
          <cell r="H49" t="str">
            <v>Quest - Lease</v>
          </cell>
          <cell r="I49"/>
          <cell r="J49">
            <v>1</v>
          </cell>
          <cell r="K49">
            <v>29190</v>
          </cell>
          <cell r="L49">
            <v>-1002</v>
          </cell>
          <cell r="M49">
            <v>0</v>
          </cell>
          <cell r="N49">
            <v>-1002</v>
          </cell>
          <cell r="O49" t="str">
            <v>45</v>
          </cell>
        </row>
        <row r="50">
          <cell r="B50">
            <v>0</v>
          </cell>
          <cell r="C50">
            <v>0</v>
          </cell>
          <cell r="D50">
            <v>0</v>
          </cell>
          <cell r="E50">
            <v>0</v>
          </cell>
          <cell r="F50">
            <v>0</v>
          </cell>
          <cell r="G50">
            <v>4147</v>
          </cell>
          <cell r="H50" t="str">
            <v>Xterra - Lease</v>
          </cell>
          <cell r="I50"/>
          <cell r="J50">
            <v>0</v>
          </cell>
          <cell r="K50">
            <v>0</v>
          </cell>
          <cell r="L50">
            <v>0</v>
          </cell>
          <cell r="M50">
            <v>0</v>
          </cell>
          <cell r="N50">
            <v>0</v>
          </cell>
          <cell r="O50" t="str">
            <v>46</v>
          </cell>
        </row>
        <row r="51">
          <cell r="B51">
            <v>10</v>
          </cell>
          <cell r="C51">
            <v>264470</v>
          </cell>
          <cell r="D51">
            <v>-13695</v>
          </cell>
          <cell r="E51">
            <v>0</v>
          </cell>
          <cell r="F51">
            <v>-1370</v>
          </cell>
          <cell r="G51">
            <v>4117</v>
          </cell>
          <cell r="H51" t="str">
            <v>Rogue - Lease</v>
          </cell>
          <cell r="I51"/>
          <cell r="J51">
            <v>55</v>
          </cell>
          <cell r="K51">
            <v>1458271</v>
          </cell>
          <cell r="L51">
            <v>-30469</v>
          </cell>
          <cell r="M51">
            <v>5670</v>
          </cell>
          <cell r="N51">
            <v>-554</v>
          </cell>
          <cell r="O51" t="str">
            <v>47</v>
          </cell>
        </row>
        <row r="52">
          <cell r="B52">
            <v>0</v>
          </cell>
          <cell r="C52">
            <v>0</v>
          </cell>
          <cell r="D52">
            <v>0</v>
          </cell>
          <cell r="E52">
            <v>0</v>
          </cell>
          <cell r="F52">
            <v>0</v>
          </cell>
          <cell r="G52">
            <v>4028</v>
          </cell>
          <cell r="H52" t="str">
            <v>Rogue Select - Lease</v>
          </cell>
          <cell r="I52"/>
          <cell r="J52">
            <v>0</v>
          </cell>
          <cell r="K52">
            <v>0</v>
          </cell>
          <cell r="L52">
            <v>0</v>
          </cell>
          <cell r="M52">
            <v>0</v>
          </cell>
          <cell r="N52">
            <v>0</v>
          </cell>
          <cell r="O52" t="str">
            <v>48</v>
          </cell>
        </row>
        <row r="53">
          <cell r="B53">
            <v>0</v>
          </cell>
          <cell r="C53">
            <v>0</v>
          </cell>
          <cell r="D53">
            <v>0</v>
          </cell>
          <cell r="E53">
            <v>0</v>
          </cell>
          <cell r="F53">
            <v>0</v>
          </cell>
          <cell r="G53">
            <v>4114</v>
          </cell>
          <cell r="H53" t="str">
            <v xml:space="preserve">Rogue HEV - Lease </v>
          </cell>
          <cell r="I53"/>
          <cell r="J53">
            <v>0</v>
          </cell>
          <cell r="K53">
            <v>0</v>
          </cell>
          <cell r="L53">
            <v>0</v>
          </cell>
          <cell r="M53">
            <v>0</v>
          </cell>
          <cell r="N53">
            <v>0</v>
          </cell>
          <cell r="O53" t="str">
            <v>49</v>
          </cell>
        </row>
        <row r="54">
          <cell r="B54">
            <v>1</v>
          </cell>
          <cell r="C54">
            <v>37100</v>
          </cell>
          <cell r="D54">
            <v>-1905</v>
          </cell>
          <cell r="E54">
            <v>0</v>
          </cell>
          <cell r="F54">
            <v>-1905</v>
          </cell>
          <cell r="G54">
            <v>4097</v>
          </cell>
          <cell r="H54" t="str">
            <v>Murano - Lease</v>
          </cell>
          <cell r="I54"/>
          <cell r="J54">
            <v>18</v>
          </cell>
          <cell r="K54">
            <v>656707</v>
          </cell>
          <cell r="L54">
            <v>-10061</v>
          </cell>
          <cell r="M54">
            <v>2850</v>
          </cell>
          <cell r="N54">
            <v>-559</v>
          </cell>
          <cell r="O54" t="str">
            <v>50</v>
          </cell>
        </row>
        <row r="55">
          <cell r="B55">
            <v>0</v>
          </cell>
          <cell r="C55">
            <v>0</v>
          </cell>
          <cell r="D55">
            <v>0</v>
          </cell>
          <cell r="E55">
            <v>0</v>
          </cell>
          <cell r="F55">
            <v>0</v>
          </cell>
          <cell r="G55">
            <v>4127</v>
          </cell>
          <cell r="H55" t="str">
            <v>Murano HEV - Lease</v>
          </cell>
          <cell r="I55"/>
          <cell r="J55">
            <v>0</v>
          </cell>
          <cell r="K55">
            <v>0</v>
          </cell>
          <cell r="L55">
            <v>0</v>
          </cell>
          <cell r="M55">
            <v>0</v>
          </cell>
          <cell r="N55">
            <v>0</v>
          </cell>
          <cell r="O55" t="str">
            <v>51</v>
          </cell>
        </row>
        <row r="56">
          <cell r="B56">
            <v>1</v>
          </cell>
          <cell r="C56">
            <v>54640</v>
          </cell>
          <cell r="D56">
            <v>-689</v>
          </cell>
          <cell r="E56">
            <v>0</v>
          </cell>
          <cell r="F56">
            <v>-689</v>
          </cell>
          <cell r="G56">
            <v>4037</v>
          </cell>
          <cell r="H56" t="str">
            <v>Armada - Lease</v>
          </cell>
          <cell r="I56"/>
          <cell r="J56">
            <v>2</v>
          </cell>
          <cell r="K56">
            <v>101701</v>
          </cell>
          <cell r="L56">
            <v>-173</v>
          </cell>
          <cell r="M56">
            <v>1050</v>
          </cell>
          <cell r="N56">
            <v>-87</v>
          </cell>
          <cell r="O56" t="str">
            <v>52</v>
          </cell>
        </row>
        <row r="57">
          <cell r="B57">
            <v>0</v>
          </cell>
          <cell r="C57">
            <v>0</v>
          </cell>
          <cell r="D57">
            <v>0</v>
          </cell>
          <cell r="E57">
            <v>0</v>
          </cell>
          <cell r="F57">
            <v>0</v>
          </cell>
          <cell r="G57">
            <v>4087</v>
          </cell>
          <cell r="H57" t="str">
            <v>Frontier King Cab - Lease</v>
          </cell>
          <cell r="I57"/>
          <cell r="J57">
            <v>0</v>
          </cell>
          <cell r="K57">
            <v>0</v>
          </cell>
          <cell r="L57">
            <v>0</v>
          </cell>
          <cell r="M57">
            <v>0</v>
          </cell>
          <cell r="N57">
            <v>0</v>
          </cell>
          <cell r="O57" t="str">
            <v>53</v>
          </cell>
        </row>
        <row r="58">
          <cell r="B58">
            <v>0</v>
          </cell>
          <cell r="C58">
            <v>0</v>
          </cell>
          <cell r="D58">
            <v>0</v>
          </cell>
          <cell r="E58">
            <v>0</v>
          </cell>
          <cell r="F58">
            <v>0</v>
          </cell>
          <cell r="G58">
            <v>4187</v>
          </cell>
          <cell r="H58" t="str">
            <v>Frontier Crew Cab - Lease</v>
          </cell>
          <cell r="I58"/>
          <cell r="J58">
            <v>3</v>
          </cell>
          <cell r="K58">
            <v>82985</v>
          </cell>
          <cell r="L58">
            <v>2839</v>
          </cell>
          <cell r="M58">
            <v>810</v>
          </cell>
          <cell r="N58">
            <v>946</v>
          </cell>
          <cell r="O58" t="str">
            <v>54</v>
          </cell>
        </row>
        <row r="59">
          <cell r="B59">
            <v>0</v>
          </cell>
          <cell r="C59">
            <v>0</v>
          </cell>
          <cell r="D59">
            <v>0</v>
          </cell>
          <cell r="E59">
            <v>0</v>
          </cell>
          <cell r="F59">
            <v>0</v>
          </cell>
          <cell r="G59">
            <v>4155</v>
          </cell>
          <cell r="H59" t="str">
            <v>Titan King Cab - Lease</v>
          </cell>
          <cell r="I59"/>
          <cell r="J59">
            <v>0</v>
          </cell>
          <cell r="K59">
            <v>0</v>
          </cell>
          <cell r="L59">
            <v>0</v>
          </cell>
          <cell r="M59">
            <v>0</v>
          </cell>
          <cell r="N59">
            <v>0</v>
          </cell>
          <cell r="O59" t="str">
            <v>55</v>
          </cell>
        </row>
        <row r="60">
          <cell r="B60">
            <v>0</v>
          </cell>
          <cell r="C60">
            <v>0</v>
          </cell>
          <cell r="D60">
            <v>0</v>
          </cell>
          <cell r="E60">
            <v>0</v>
          </cell>
          <cell r="F60">
            <v>0</v>
          </cell>
          <cell r="G60">
            <v>4157</v>
          </cell>
          <cell r="H60" t="str">
            <v>Titan Crew Cab - Lease</v>
          </cell>
          <cell r="I60"/>
          <cell r="J60">
            <v>1</v>
          </cell>
          <cell r="K60">
            <v>40267</v>
          </cell>
          <cell r="L60">
            <v>1666</v>
          </cell>
          <cell r="M60">
            <v>0</v>
          </cell>
          <cell r="N60">
            <v>1666</v>
          </cell>
          <cell r="O60" t="str">
            <v>56</v>
          </cell>
        </row>
        <row r="61">
          <cell r="B61">
            <v>0</v>
          </cell>
          <cell r="C61">
            <v>0</v>
          </cell>
          <cell r="D61">
            <v>0</v>
          </cell>
          <cell r="E61">
            <v>0</v>
          </cell>
          <cell r="F61">
            <v>0</v>
          </cell>
          <cell r="G61">
            <v>4141</v>
          </cell>
          <cell r="H61" t="str">
            <v>Titan Single Cab- Lease</v>
          </cell>
          <cell r="I61"/>
          <cell r="J61">
            <v>0</v>
          </cell>
          <cell r="K61">
            <v>0</v>
          </cell>
          <cell r="L61">
            <v>0</v>
          </cell>
          <cell r="M61">
            <v>0</v>
          </cell>
          <cell r="N61">
            <v>0</v>
          </cell>
          <cell r="O61" t="str">
            <v>57</v>
          </cell>
        </row>
        <row r="62">
          <cell r="B62">
            <v>0</v>
          </cell>
          <cell r="C62">
            <v>0</v>
          </cell>
          <cell r="D62">
            <v>0</v>
          </cell>
          <cell r="E62">
            <v>0</v>
          </cell>
          <cell r="F62">
            <v>0</v>
          </cell>
          <cell r="G62">
            <v>4143</v>
          </cell>
          <cell r="H62" t="str">
            <v>Titan XD King Cab - Lease</v>
          </cell>
          <cell r="I62"/>
          <cell r="J62">
            <v>0</v>
          </cell>
          <cell r="K62">
            <v>0</v>
          </cell>
          <cell r="L62">
            <v>0</v>
          </cell>
          <cell r="M62">
            <v>0</v>
          </cell>
          <cell r="N62">
            <v>0</v>
          </cell>
          <cell r="O62" t="str">
            <v>58</v>
          </cell>
        </row>
        <row r="63">
          <cell r="B63">
            <v>0</v>
          </cell>
          <cell r="C63">
            <v>0</v>
          </cell>
          <cell r="D63">
            <v>0</v>
          </cell>
          <cell r="E63">
            <v>0</v>
          </cell>
          <cell r="F63">
            <v>0</v>
          </cell>
          <cell r="G63">
            <v>4151</v>
          </cell>
          <cell r="H63" t="str">
            <v>Titan XD Crew Cab - Lease</v>
          </cell>
          <cell r="I63"/>
          <cell r="J63">
            <v>0</v>
          </cell>
          <cell r="K63">
            <v>0</v>
          </cell>
          <cell r="L63">
            <v>0</v>
          </cell>
          <cell r="M63">
            <v>0</v>
          </cell>
          <cell r="N63">
            <v>0</v>
          </cell>
          <cell r="O63" t="str">
            <v>59</v>
          </cell>
        </row>
        <row r="64">
          <cell r="B64">
            <v>0</v>
          </cell>
          <cell r="C64">
            <v>0</v>
          </cell>
          <cell r="D64">
            <v>0</v>
          </cell>
          <cell r="E64">
            <v>0</v>
          </cell>
          <cell r="F64">
            <v>0</v>
          </cell>
          <cell r="G64">
            <v>4149</v>
          </cell>
          <cell r="H64" t="str">
            <v>Titan XD Single Cab - Lease</v>
          </cell>
          <cell r="I64"/>
          <cell r="J64">
            <v>0</v>
          </cell>
          <cell r="K64">
            <v>0</v>
          </cell>
          <cell r="L64">
            <v>0</v>
          </cell>
          <cell r="M64">
            <v>0</v>
          </cell>
          <cell r="N64">
            <v>0</v>
          </cell>
          <cell r="O64" t="str">
            <v>60</v>
          </cell>
        </row>
        <row r="65">
          <cell r="B65">
            <v>0</v>
          </cell>
          <cell r="C65">
            <v>0</v>
          </cell>
          <cell r="D65">
            <v>0</v>
          </cell>
          <cell r="E65">
            <v>0</v>
          </cell>
          <cell r="F65">
            <v>0</v>
          </cell>
          <cell r="G65">
            <v>4065</v>
          </cell>
          <cell r="H65" t="str">
            <v>Non-Current Models - Lease</v>
          </cell>
          <cell r="I65"/>
          <cell r="J65">
            <v>0</v>
          </cell>
          <cell r="K65">
            <v>0</v>
          </cell>
          <cell r="L65">
            <v>0</v>
          </cell>
          <cell r="M65">
            <v>0</v>
          </cell>
          <cell r="N65">
            <v>0</v>
          </cell>
          <cell r="O65" t="str">
            <v>61</v>
          </cell>
        </row>
        <row r="66">
          <cell r="B66">
            <v>18</v>
          </cell>
          <cell r="C66">
            <v>515331</v>
          </cell>
          <cell r="D66">
            <v>-22927</v>
          </cell>
          <cell r="E66">
            <v>0</v>
          </cell>
          <cell r="F66">
            <v>-1274</v>
          </cell>
          <cell r="G66" t="str">
            <v>SUBTOTAL NISSAN VEHICLE - LEASE</v>
          </cell>
          <cell r="H66"/>
          <cell r="I66" t="str">
            <v>(Lines 32 to 61)</v>
          </cell>
          <cell r="J66">
            <v>155</v>
          </cell>
          <cell r="K66">
            <v>4443390</v>
          </cell>
          <cell r="L66">
            <v>-64894</v>
          </cell>
          <cell r="M66">
            <v>30325</v>
          </cell>
          <cell r="N66">
            <v>-419</v>
          </cell>
          <cell r="O66" t="str">
            <v>62</v>
          </cell>
        </row>
        <row r="67">
          <cell r="B67">
            <v>120</v>
          </cell>
          <cell r="C67">
            <v>3629175</v>
          </cell>
          <cell r="D67">
            <v>-194908</v>
          </cell>
          <cell r="E67">
            <v>0</v>
          </cell>
          <cell r="F67">
            <v>-1624</v>
          </cell>
          <cell r="G67" t="str">
            <v>TOTAL NISSAN RETAIL &amp; LEASE VEHICLES</v>
          </cell>
          <cell r="H67"/>
          <cell r="I67" t="str">
            <v>(Lines 31 &amp; 62)</v>
          </cell>
          <cell r="J67">
            <v>1245</v>
          </cell>
          <cell r="K67">
            <v>36290059</v>
          </cell>
          <cell r="L67">
            <v>-803137</v>
          </cell>
          <cell r="M67">
            <v>261875</v>
          </cell>
          <cell r="N67">
            <v>-645</v>
          </cell>
          <cell r="O67" t="str">
            <v>63</v>
          </cell>
        </row>
        <row r="68">
          <cell r="B68">
            <v>0</v>
          </cell>
          <cell r="C68">
            <v>0</v>
          </cell>
          <cell r="D68">
            <v>0</v>
          </cell>
          <cell r="E68" t="e">
            <v>#N/A</v>
          </cell>
          <cell r="F68">
            <v>0</v>
          </cell>
          <cell r="G68">
            <v>4100</v>
          </cell>
          <cell r="H68" t="str">
            <v>Nissan - Fleet Cars &amp; Trucks</v>
          </cell>
          <cell r="I68"/>
          <cell r="J68">
            <v>0</v>
          </cell>
          <cell r="K68">
            <v>0</v>
          </cell>
          <cell r="L68">
            <v>0</v>
          </cell>
          <cell r="M68" t="e">
            <v>#N/A</v>
          </cell>
          <cell r="N68">
            <v>0</v>
          </cell>
          <cell r="O68" t="str">
            <v>64</v>
          </cell>
        </row>
        <row r="69">
          <cell r="B69">
            <v>120</v>
          </cell>
          <cell r="C69">
            <v>3629175</v>
          </cell>
          <cell r="D69">
            <v>-194908</v>
          </cell>
          <cell r="E69">
            <v>0</v>
          </cell>
          <cell r="F69">
            <v>-1624</v>
          </cell>
          <cell r="G69" t="str">
            <v>TOTAL NISSAN RETL/LEASE/FLEET VEHICLES</v>
          </cell>
          <cell r="H69"/>
          <cell r="I69" t="str">
            <v>(Lines 63 &amp; 64)</v>
          </cell>
          <cell r="J69">
            <v>1245</v>
          </cell>
          <cell r="K69">
            <v>36290059</v>
          </cell>
          <cell r="L69">
            <v>-803137</v>
          </cell>
          <cell r="M69">
            <v>261875</v>
          </cell>
          <cell r="N69">
            <v>-645</v>
          </cell>
          <cell r="O69" t="str">
            <v>65</v>
          </cell>
        </row>
        <row r="70">
          <cell r="B70">
            <v>3</v>
          </cell>
          <cell r="C70">
            <v>80793</v>
          </cell>
          <cell r="D70">
            <v>-10842</v>
          </cell>
          <cell r="E70">
            <v>0</v>
          </cell>
          <cell r="F70">
            <v>-3614</v>
          </cell>
          <cell r="G70">
            <v>4154</v>
          </cell>
          <cell r="H70" t="str">
            <v>NV Standard Roof - Retail</v>
          </cell>
          <cell r="I70"/>
          <cell r="J70">
            <v>29</v>
          </cell>
          <cell r="K70">
            <v>883243</v>
          </cell>
          <cell r="L70">
            <v>16359</v>
          </cell>
          <cell r="M70">
            <v>5400</v>
          </cell>
          <cell r="N70">
            <v>564</v>
          </cell>
          <cell r="O70" t="str">
            <v>66</v>
          </cell>
        </row>
        <row r="71">
          <cell r="B71">
            <v>2</v>
          </cell>
          <cell r="C71">
            <v>67738</v>
          </cell>
          <cell r="D71">
            <v>1334</v>
          </cell>
          <cell r="E71">
            <v>0</v>
          </cell>
          <cell r="F71">
            <v>667</v>
          </cell>
          <cell r="G71">
            <v>4164</v>
          </cell>
          <cell r="H71" t="str">
            <v>NV High Roof - Retail</v>
          </cell>
          <cell r="I71"/>
          <cell r="J71">
            <v>19</v>
          </cell>
          <cell r="K71">
            <v>649118</v>
          </cell>
          <cell r="L71">
            <v>13181</v>
          </cell>
          <cell r="M71">
            <v>5440</v>
          </cell>
          <cell r="N71">
            <v>694</v>
          </cell>
          <cell r="O71" t="str">
            <v>67</v>
          </cell>
        </row>
        <row r="72">
          <cell r="B72">
            <v>1</v>
          </cell>
          <cell r="C72">
            <v>34946</v>
          </cell>
          <cell r="D72">
            <v>1895</v>
          </cell>
          <cell r="E72">
            <v>0</v>
          </cell>
          <cell r="F72">
            <v>1895</v>
          </cell>
          <cell r="G72">
            <v>4166</v>
          </cell>
          <cell r="H72" t="str">
            <v>NV Passenger - Retail</v>
          </cell>
          <cell r="I72"/>
          <cell r="J72">
            <v>14</v>
          </cell>
          <cell r="K72">
            <v>537853</v>
          </cell>
          <cell r="L72">
            <v>24287</v>
          </cell>
          <cell r="M72">
            <v>6660</v>
          </cell>
          <cell r="N72">
            <v>1735</v>
          </cell>
          <cell r="O72" t="str">
            <v>68</v>
          </cell>
        </row>
        <row r="73">
          <cell r="B73">
            <v>2</v>
          </cell>
          <cell r="C73">
            <v>43197</v>
          </cell>
          <cell r="D73">
            <v>-1125</v>
          </cell>
          <cell r="E73">
            <v>0</v>
          </cell>
          <cell r="F73">
            <v>-563</v>
          </cell>
          <cell r="G73">
            <v>4168</v>
          </cell>
          <cell r="H73" t="str">
            <v>NV200 - Retail</v>
          </cell>
          <cell r="I73"/>
          <cell r="J73">
            <v>26</v>
          </cell>
          <cell r="K73">
            <v>675266</v>
          </cell>
          <cell r="L73">
            <v>9166</v>
          </cell>
          <cell r="M73">
            <v>6525</v>
          </cell>
          <cell r="N73">
            <v>353</v>
          </cell>
          <cell r="O73" t="str">
            <v>69</v>
          </cell>
        </row>
        <row r="74">
          <cell r="B74">
            <v>0</v>
          </cell>
          <cell r="C74">
            <v>0</v>
          </cell>
          <cell r="D74">
            <v>0</v>
          </cell>
          <cell r="E74">
            <v>0</v>
          </cell>
          <cell r="F74">
            <v>0</v>
          </cell>
          <cell r="G74">
            <v>4174</v>
          </cell>
          <cell r="H74" t="str">
            <v>NV200 Taxi - Retail</v>
          </cell>
          <cell r="I74"/>
          <cell r="J74">
            <v>0</v>
          </cell>
          <cell r="K74">
            <v>0</v>
          </cell>
          <cell r="L74">
            <v>0</v>
          </cell>
          <cell r="M74">
            <v>0</v>
          </cell>
          <cell r="N74">
            <v>0</v>
          </cell>
          <cell r="O74" t="str">
            <v>70</v>
          </cell>
        </row>
        <row r="75">
          <cell r="B75">
            <v>8</v>
          </cell>
          <cell r="C75">
            <v>226674</v>
          </cell>
          <cell r="D75">
            <v>-8738</v>
          </cell>
          <cell r="E75">
            <v>0</v>
          </cell>
          <cell r="F75">
            <v>-1092</v>
          </cell>
          <cell r="G75" t="str">
            <v>SUBTOTAL NISSAN NCV VEHICLES - RETAIL</v>
          </cell>
          <cell r="H75"/>
          <cell r="I75" t="str">
            <v>(Lines 66 to 70)</v>
          </cell>
          <cell r="J75">
            <v>88</v>
          </cell>
          <cell r="K75">
            <v>2745480</v>
          </cell>
          <cell r="L75">
            <v>62993</v>
          </cell>
          <cell r="M75">
            <v>24025</v>
          </cell>
          <cell r="N75">
            <v>716</v>
          </cell>
          <cell r="O75" t="str">
            <v>71</v>
          </cell>
        </row>
        <row r="76">
          <cell r="B76">
            <v>0</v>
          </cell>
          <cell r="C76">
            <v>0</v>
          </cell>
          <cell r="D76">
            <v>0</v>
          </cell>
          <cell r="E76">
            <v>0</v>
          </cell>
          <cell r="F76">
            <v>0</v>
          </cell>
          <cell r="G76">
            <v>4159</v>
          </cell>
          <cell r="H76" t="str">
            <v>NV Standard Roof - Lease</v>
          </cell>
          <cell r="I76"/>
          <cell r="J76">
            <v>0</v>
          </cell>
          <cell r="K76">
            <v>0</v>
          </cell>
          <cell r="L76">
            <v>0</v>
          </cell>
          <cell r="M76">
            <v>0</v>
          </cell>
          <cell r="N76">
            <v>0</v>
          </cell>
          <cell r="O76" t="str">
            <v>72</v>
          </cell>
        </row>
        <row r="77">
          <cell r="B77">
            <v>0</v>
          </cell>
          <cell r="C77">
            <v>0</v>
          </cell>
          <cell r="D77">
            <v>0</v>
          </cell>
          <cell r="E77">
            <v>0</v>
          </cell>
          <cell r="F77">
            <v>0</v>
          </cell>
          <cell r="G77">
            <v>4169</v>
          </cell>
          <cell r="H77" t="str">
            <v>NV High Roof - Lease</v>
          </cell>
          <cell r="I77"/>
          <cell r="J77">
            <v>6</v>
          </cell>
          <cell r="K77">
            <v>204258</v>
          </cell>
          <cell r="L77">
            <v>10133</v>
          </cell>
          <cell r="M77">
            <v>3240</v>
          </cell>
          <cell r="N77">
            <v>1689</v>
          </cell>
          <cell r="O77" t="str">
            <v>73</v>
          </cell>
        </row>
        <row r="78">
          <cell r="B78">
            <v>0</v>
          </cell>
          <cell r="C78">
            <v>0</v>
          </cell>
          <cell r="D78">
            <v>0</v>
          </cell>
          <cell r="E78">
            <v>0</v>
          </cell>
          <cell r="F78">
            <v>0</v>
          </cell>
          <cell r="G78">
            <v>4165</v>
          </cell>
          <cell r="H78" t="str">
            <v>NV Passenger - Lease</v>
          </cell>
          <cell r="I78"/>
          <cell r="J78">
            <v>2</v>
          </cell>
          <cell r="K78">
            <v>75892</v>
          </cell>
          <cell r="L78">
            <v>3921</v>
          </cell>
          <cell r="M78">
            <v>1620</v>
          </cell>
          <cell r="N78">
            <v>1961</v>
          </cell>
          <cell r="O78" t="str">
            <v>74</v>
          </cell>
        </row>
        <row r="79">
          <cell r="B79">
            <v>1</v>
          </cell>
          <cell r="C79">
            <v>20030</v>
          </cell>
          <cell r="D79">
            <v>-1202</v>
          </cell>
          <cell r="E79">
            <v>0</v>
          </cell>
          <cell r="F79">
            <v>-1202</v>
          </cell>
          <cell r="G79">
            <v>4167</v>
          </cell>
          <cell r="H79" t="str">
            <v>NV200 - Lease</v>
          </cell>
          <cell r="I79"/>
          <cell r="J79">
            <v>1</v>
          </cell>
          <cell r="K79">
            <v>20030</v>
          </cell>
          <cell r="L79">
            <v>-1202</v>
          </cell>
          <cell r="M79">
            <v>0</v>
          </cell>
          <cell r="N79">
            <v>-1202</v>
          </cell>
          <cell r="O79" t="str">
            <v>75</v>
          </cell>
        </row>
        <row r="80">
          <cell r="B80">
            <v>0</v>
          </cell>
          <cell r="C80">
            <v>0</v>
          </cell>
          <cell r="D80">
            <v>0</v>
          </cell>
          <cell r="E80">
            <v>0</v>
          </cell>
          <cell r="F80">
            <v>0</v>
          </cell>
          <cell r="G80">
            <v>4179</v>
          </cell>
          <cell r="H80" t="str">
            <v>NV200 Taxi - Lease</v>
          </cell>
          <cell r="I80"/>
          <cell r="J80">
            <v>0</v>
          </cell>
          <cell r="K80">
            <v>0</v>
          </cell>
          <cell r="L80">
            <v>0</v>
          </cell>
          <cell r="M80">
            <v>0</v>
          </cell>
          <cell r="N80">
            <v>0</v>
          </cell>
          <cell r="O80" t="str">
            <v>76</v>
          </cell>
        </row>
        <row r="81">
          <cell r="B81">
            <v>1</v>
          </cell>
          <cell r="C81">
            <v>20030</v>
          </cell>
          <cell r="D81">
            <v>-1202</v>
          </cell>
          <cell r="E81">
            <v>0</v>
          </cell>
          <cell r="F81">
            <v>-1202</v>
          </cell>
          <cell r="G81" t="str">
            <v>SUBTOTAL NISSAN NCV VEHICLES - LEASE</v>
          </cell>
          <cell r="H81"/>
          <cell r="I81" t="str">
            <v>(Lines 72 to 76)</v>
          </cell>
          <cell r="J81">
            <v>9</v>
          </cell>
          <cell r="K81">
            <v>300180</v>
          </cell>
          <cell r="L81">
            <v>12852</v>
          </cell>
          <cell r="M81">
            <v>4860</v>
          </cell>
          <cell r="N81">
            <v>1428</v>
          </cell>
          <cell r="O81" t="str">
            <v>77</v>
          </cell>
        </row>
        <row r="82">
          <cell r="B82">
            <v>9</v>
          </cell>
          <cell r="C82">
            <v>246704</v>
          </cell>
          <cell r="D82">
            <v>-9940</v>
          </cell>
          <cell r="E82">
            <v>0</v>
          </cell>
          <cell r="F82">
            <v>-1104</v>
          </cell>
          <cell r="G82" t="str">
            <v>TOTAL NCV RETAIL / LEASE VEHICLES</v>
          </cell>
          <cell r="H82"/>
          <cell r="I82" t="str">
            <v>(Lines 71 &amp; 77)</v>
          </cell>
          <cell r="J82">
            <v>97</v>
          </cell>
          <cell r="K82">
            <v>3045660</v>
          </cell>
          <cell r="L82">
            <v>75845</v>
          </cell>
          <cell r="M82">
            <v>28885</v>
          </cell>
          <cell r="N82">
            <v>782</v>
          </cell>
          <cell r="O82" t="str">
            <v>78</v>
          </cell>
        </row>
        <row r="83">
          <cell r="B83">
            <v>0</v>
          </cell>
          <cell r="C83">
            <v>0</v>
          </cell>
          <cell r="D83">
            <v>0</v>
          </cell>
          <cell r="E83"/>
          <cell r="F83">
            <v>0</v>
          </cell>
          <cell r="G83">
            <v>4105</v>
          </cell>
          <cell r="H83" t="str">
            <v>NCV - Fleet Vehicle</v>
          </cell>
          <cell r="I83"/>
          <cell r="J83">
            <v>0</v>
          </cell>
          <cell r="K83">
            <v>0</v>
          </cell>
          <cell r="L83">
            <v>0</v>
          </cell>
          <cell r="M83"/>
          <cell r="N83">
            <v>0</v>
          </cell>
          <cell r="O83" t="str">
            <v>79</v>
          </cell>
        </row>
        <row r="84">
          <cell r="B84">
            <v>9</v>
          </cell>
          <cell r="C84">
            <v>246704</v>
          </cell>
          <cell r="D84">
            <v>-9940</v>
          </cell>
          <cell r="E84">
            <v>0</v>
          </cell>
          <cell r="F84">
            <v>-1104</v>
          </cell>
          <cell r="G84" t="str">
            <v>TOTAL NCV RETAIL / LEASE / FLEET VEHICLES</v>
          </cell>
          <cell r="H84"/>
          <cell r="I84" t="str">
            <v>(Lines 78 &amp; 79)</v>
          </cell>
          <cell r="J84">
            <v>97</v>
          </cell>
          <cell r="K84">
            <v>3045660</v>
          </cell>
          <cell r="L84">
            <v>75845</v>
          </cell>
          <cell r="M84">
            <v>28885</v>
          </cell>
          <cell r="N84">
            <v>782</v>
          </cell>
          <cell r="O84" t="str">
            <v>80</v>
          </cell>
        </row>
        <row r="85">
          <cell r="B85">
            <v>129</v>
          </cell>
          <cell r="C85">
            <v>3875879</v>
          </cell>
          <cell r="D85">
            <v>-204848</v>
          </cell>
          <cell r="E85">
            <v>0</v>
          </cell>
          <cell r="F85">
            <v>-1588</v>
          </cell>
          <cell r="G85" t="str">
            <v>TOTAL ALL NISSAN NEW VEHICLES</v>
          </cell>
          <cell r="H85"/>
          <cell r="I85" t="str">
            <v>(Lines 65 &amp; 80)</v>
          </cell>
          <cell r="J85">
            <v>1342</v>
          </cell>
          <cell r="K85">
            <v>39335719</v>
          </cell>
          <cell r="L85">
            <v>-727292</v>
          </cell>
          <cell r="M85">
            <v>290760</v>
          </cell>
          <cell r="N85">
            <v>-542</v>
          </cell>
          <cell r="O85" t="str">
            <v>81</v>
          </cell>
        </row>
      </sheetData>
      <sheetData sheetId="4" refreshError="1">
        <row r="1">
          <cell r="B1" t="str">
            <v>NEW (CONT'D), USED VEHICLES SALES AND GROSS PROFIT</v>
          </cell>
          <cell r="C1"/>
          <cell r="D1"/>
          <cell r="E1"/>
          <cell r="F1"/>
          <cell r="G1"/>
          <cell r="H1"/>
          <cell r="I1"/>
          <cell r="J1"/>
          <cell r="K1"/>
          <cell r="L1"/>
          <cell r="M1"/>
          <cell r="N1"/>
          <cell r="O1"/>
        </row>
        <row r="2">
          <cell r="B2" t="str">
            <v>Page 5                    Current Month: (Month)</v>
          </cell>
          <cell r="C2"/>
          <cell r="D2"/>
          <cell r="E2"/>
          <cell r="F2"/>
          <cell r="G2"/>
          <cell r="H2"/>
          <cell r="I2"/>
          <cell r="J2"/>
          <cell r="K2" t="str">
            <v>Year to Date: (Year)</v>
          </cell>
          <cell r="L2"/>
          <cell r="M2"/>
          <cell r="N2"/>
          <cell r="O2"/>
        </row>
        <row r="3">
          <cell r="B3" t="str">
            <v>LINE NO</v>
          </cell>
          <cell r="C3" t="str">
            <v>UNITS</v>
          </cell>
          <cell r="D3" t="str">
            <v>SALES</v>
          </cell>
          <cell r="E3" t="str">
            <v>GROSS PROFIT</v>
          </cell>
          <cell r="F3" t="str">
            <v>GROSS PER UNIT</v>
          </cell>
          <cell r="G3" t="str">
            <v>ACCT. NO.</v>
          </cell>
          <cell r="H3" t="str">
            <v>ACCOUNT NAME</v>
          </cell>
          <cell r="I3"/>
          <cell r="J3"/>
          <cell r="K3" t="str">
            <v>UNITS</v>
          </cell>
          <cell r="L3" t="str">
            <v>SALES</v>
          </cell>
          <cell r="M3" t="str">
            <v>GROSS PROFIT</v>
          </cell>
          <cell r="N3" t="str">
            <v>GROSS PER UNIT</v>
          </cell>
          <cell r="O3" t="str">
            <v>LINE NO</v>
          </cell>
        </row>
        <row r="4">
          <cell r="B4"/>
          <cell r="C4"/>
          <cell r="D4"/>
          <cell r="E4"/>
          <cell r="F4"/>
          <cell r="G4"/>
          <cell r="H4"/>
          <cell r="I4"/>
          <cell r="J4"/>
          <cell r="K4"/>
          <cell r="L4"/>
          <cell r="M4"/>
          <cell r="N4"/>
          <cell r="O4"/>
        </row>
        <row r="5">
          <cell r="B5" t="str">
            <v>1</v>
          </cell>
          <cell r="C5">
            <v>0</v>
          </cell>
          <cell r="D5">
            <v>0</v>
          </cell>
          <cell r="E5">
            <v>0</v>
          </cell>
          <cell r="F5">
            <v>0</v>
          </cell>
          <cell r="G5">
            <v>4200</v>
          </cell>
          <cell r="H5" t="str">
            <v>Other Makes Vehicles</v>
          </cell>
          <cell r="I5"/>
          <cell r="J5"/>
          <cell r="K5">
            <v>0</v>
          </cell>
          <cell r="L5">
            <v>0</v>
          </cell>
          <cell r="M5">
            <v>0</v>
          </cell>
          <cell r="N5">
            <v>0</v>
          </cell>
          <cell r="O5" t="str">
            <v>1</v>
          </cell>
        </row>
        <row r="6">
          <cell r="B6" t="str">
            <v>2</v>
          </cell>
          <cell r="C6"/>
          <cell r="D6"/>
          <cell r="E6">
            <v>0</v>
          </cell>
          <cell r="F6"/>
          <cell r="G6">
            <v>6300</v>
          </cell>
          <cell r="H6" t="str">
            <v>Incentive Earnings - Other Makes</v>
          </cell>
          <cell r="I6"/>
          <cell r="J6"/>
          <cell r="K6"/>
          <cell r="L6"/>
          <cell r="M6">
            <v>0</v>
          </cell>
          <cell r="N6"/>
          <cell r="O6" t="str">
            <v>2</v>
          </cell>
        </row>
        <row r="7">
          <cell r="B7" t="str">
            <v>3</v>
          </cell>
          <cell r="C7">
            <v>0</v>
          </cell>
          <cell r="D7">
            <v>0</v>
          </cell>
          <cell r="E7">
            <v>0</v>
          </cell>
          <cell r="F7">
            <v>0</v>
          </cell>
          <cell r="G7">
            <v>4205</v>
          </cell>
          <cell r="H7" t="str">
            <v>Other Makes Fleet Cars and Trucks</v>
          </cell>
          <cell r="I7"/>
          <cell r="J7"/>
          <cell r="K7">
            <v>0</v>
          </cell>
          <cell r="L7">
            <v>0</v>
          </cell>
          <cell r="M7">
            <v>0</v>
          </cell>
          <cell r="N7">
            <v>0</v>
          </cell>
          <cell r="O7" t="str">
            <v>3</v>
          </cell>
        </row>
        <row r="8">
          <cell r="B8" t="str">
            <v>4</v>
          </cell>
          <cell r="C8">
            <v>0</v>
          </cell>
          <cell r="D8">
            <v>0</v>
          </cell>
          <cell r="E8">
            <v>0</v>
          </cell>
          <cell r="F8">
            <v>0</v>
          </cell>
          <cell r="G8" t="str">
            <v>TOTAL OTHER MAKES - NEW</v>
          </cell>
          <cell r="H8"/>
          <cell r="I8"/>
          <cell r="J8" t="str">
            <v>(Lines 1 to 3)</v>
          </cell>
          <cell r="K8">
            <v>0</v>
          </cell>
          <cell r="L8">
            <v>0</v>
          </cell>
          <cell r="M8">
            <v>0</v>
          </cell>
          <cell r="N8">
            <v>0</v>
          </cell>
          <cell r="O8" t="str">
            <v>4</v>
          </cell>
        </row>
        <row r="9">
          <cell r="B9" t="str">
            <v>5</v>
          </cell>
          <cell r="C9">
            <v>101</v>
          </cell>
          <cell r="D9"/>
          <cell r="E9">
            <v>91942</v>
          </cell>
          <cell r="F9">
            <v>910</v>
          </cell>
          <cell r="G9">
            <v>6310</v>
          </cell>
          <cell r="H9" t="str">
            <v>Finance Reserve Inc. - New Nissan Veh</v>
          </cell>
          <cell r="I9"/>
          <cell r="J9"/>
          <cell r="K9">
            <v>1057</v>
          </cell>
          <cell r="L9"/>
          <cell r="M9">
            <v>874005</v>
          </cell>
          <cell r="N9">
            <v>827</v>
          </cell>
          <cell r="O9" t="str">
            <v>5</v>
          </cell>
        </row>
        <row r="10">
          <cell r="B10" t="str">
            <v>6</v>
          </cell>
          <cell r="C10">
            <v>65</v>
          </cell>
          <cell r="D10">
            <v>172079</v>
          </cell>
          <cell r="E10">
            <v>85976</v>
          </cell>
          <cell r="F10">
            <v>1323</v>
          </cell>
          <cell r="G10">
            <v>4280</v>
          </cell>
          <cell r="H10" t="str">
            <v>Security+Plus Svc. Contracts Sls. - New Nissan Veh</v>
          </cell>
          <cell r="I10"/>
          <cell r="J10"/>
          <cell r="K10">
            <v>612</v>
          </cell>
          <cell r="L10">
            <v>1463957</v>
          </cell>
          <cell r="M10">
            <v>704862</v>
          </cell>
          <cell r="N10">
            <v>1152</v>
          </cell>
          <cell r="O10" t="str">
            <v>6</v>
          </cell>
        </row>
        <row r="11">
          <cell r="B11" t="str">
            <v>7</v>
          </cell>
          <cell r="C11">
            <v>0</v>
          </cell>
          <cell r="D11">
            <v>0</v>
          </cell>
          <cell r="E11">
            <v>0</v>
          </cell>
          <cell r="F11">
            <v>0</v>
          </cell>
          <cell r="G11">
            <v>4285</v>
          </cell>
          <cell r="H11" t="str">
            <v>Other Svc. Contract Sls. - New Nissan Veh.</v>
          </cell>
          <cell r="I11"/>
          <cell r="J11"/>
          <cell r="K11">
            <v>0</v>
          </cell>
          <cell r="L11">
            <v>0</v>
          </cell>
          <cell r="M11">
            <v>0</v>
          </cell>
          <cell r="N11">
            <v>0</v>
          </cell>
          <cell r="O11" t="str">
            <v>7</v>
          </cell>
        </row>
        <row r="12">
          <cell r="B12" t="str">
            <v>8</v>
          </cell>
          <cell r="C12">
            <v>36</v>
          </cell>
          <cell r="D12">
            <v>30065</v>
          </cell>
          <cell r="E12">
            <v>15676</v>
          </cell>
          <cell r="F12">
            <v>435</v>
          </cell>
          <cell r="G12">
            <v>4260</v>
          </cell>
          <cell r="H12" t="str">
            <v>GAP Sales - New Nissan Veh.</v>
          </cell>
          <cell r="I12"/>
          <cell r="J12"/>
          <cell r="K12">
            <v>387</v>
          </cell>
          <cell r="L12">
            <v>300900</v>
          </cell>
          <cell r="M12">
            <v>168675</v>
          </cell>
          <cell r="N12">
            <v>436</v>
          </cell>
          <cell r="O12" t="str">
            <v>8</v>
          </cell>
        </row>
        <row r="13">
          <cell r="B13" t="str">
            <v>9</v>
          </cell>
          <cell r="C13">
            <v>19</v>
          </cell>
          <cell r="D13">
            <v>26331</v>
          </cell>
          <cell r="E13">
            <v>10162</v>
          </cell>
          <cell r="F13">
            <v>535</v>
          </cell>
          <cell r="G13">
            <v>4230</v>
          </cell>
          <cell r="H13" t="str">
            <v>Maintenance Contract Sales - New Nissan Veh.</v>
          </cell>
          <cell r="I13"/>
          <cell r="J13"/>
          <cell r="K13">
            <v>229</v>
          </cell>
          <cell r="L13">
            <v>284081</v>
          </cell>
          <cell r="M13">
            <v>91631</v>
          </cell>
          <cell r="N13">
            <v>400</v>
          </cell>
          <cell r="O13" t="str">
            <v>9</v>
          </cell>
        </row>
        <row r="14">
          <cell r="B14" t="str">
            <v>10</v>
          </cell>
          <cell r="C14">
            <v>66</v>
          </cell>
          <cell r="D14">
            <v>39410</v>
          </cell>
          <cell r="E14">
            <v>33485</v>
          </cell>
          <cell r="F14">
            <v>507</v>
          </cell>
          <cell r="G14">
            <v>4210</v>
          </cell>
          <cell r="H14" t="str">
            <v>All Other F &amp; I Products - New Nissan Veh.</v>
          </cell>
          <cell r="I14"/>
          <cell r="J14"/>
          <cell r="K14">
            <v>733</v>
          </cell>
          <cell r="L14">
            <v>422759</v>
          </cell>
          <cell r="M14">
            <v>352459</v>
          </cell>
          <cell r="N14">
            <v>481</v>
          </cell>
          <cell r="O14" t="str">
            <v>10</v>
          </cell>
        </row>
        <row r="15">
          <cell r="B15" t="str">
            <v>11</v>
          </cell>
          <cell r="C15"/>
          <cell r="D15"/>
          <cell r="E15">
            <v>29899</v>
          </cell>
          <cell r="F15"/>
          <cell r="G15">
            <v>6340</v>
          </cell>
          <cell r="H15" t="str">
            <v>LESS Fin., Ins. &amp; Svc. Cont. Adj. - New Nissan Veh.</v>
          </cell>
          <cell r="I15"/>
          <cell r="J15"/>
          <cell r="K15"/>
          <cell r="L15"/>
          <cell r="M15">
            <v>179762</v>
          </cell>
          <cell r="N15"/>
          <cell r="O15" t="str">
            <v>11</v>
          </cell>
        </row>
        <row r="16">
          <cell r="B16" t="str">
            <v>12</v>
          </cell>
          <cell r="C16">
            <v>287</v>
          </cell>
          <cell r="D16">
            <v>267885</v>
          </cell>
          <cell r="E16">
            <v>207342</v>
          </cell>
          <cell r="F16">
            <v>1728</v>
          </cell>
          <cell r="G16" t="str">
            <v>SUBTOTAL F &amp; I / SVC. CONT. INC. - NEW NISSAN</v>
          </cell>
          <cell r="H16"/>
          <cell r="I16"/>
          <cell r="J16" t="str">
            <v>(Lines 5 to 11)</v>
          </cell>
          <cell r="K16">
            <v>3018</v>
          </cell>
          <cell r="L16">
            <v>2471697</v>
          </cell>
          <cell r="M16">
            <v>2011870</v>
          </cell>
          <cell r="N16">
            <v>1616</v>
          </cell>
          <cell r="O16" t="str">
            <v>12</v>
          </cell>
        </row>
        <row r="17">
          <cell r="B17" t="str">
            <v>13</v>
          </cell>
          <cell r="C17">
            <v>6</v>
          </cell>
          <cell r="D17"/>
          <cell r="E17">
            <v>5902</v>
          </cell>
          <cell r="F17">
            <v>984</v>
          </cell>
          <cell r="G17">
            <v>6317</v>
          </cell>
          <cell r="H17" t="str">
            <v>Finance Reserve Inc. - NCV Veh.</v>
          </cell>
          <cell r="I17"/>
          <cell r="J17"/>
          <cell r="K17">
            <v>65</v>
          </cell>
          <cell r="L17"/>
          <cell r="M17">
            <v>50593</v>
          </cell>
          <cell r="N17">
            <v>778</v>
          </cell>
          <cell r="O17" t="str">
            <v>13</v>
          </cell>
        </row>
        <row r="18">
          <cell r="B18" t="str">
            <v>14</v>
          </cell>
          <cell r="C18">
            <v>0</v>
          </cell>
          <cell r="D18">
            <v>0</v>
          </cell>
          <cell r="E18">
            <v>0</v>
          </cell>
          <cell r="F18">
            <v>0</v>
          </cell>
          <cell r="G18">
            <v>4287</v>
          </cell>
          <cell r="H18" t="str">
            <v>Security+Plus Svc. Cont. Sls. - NCV Veh.</v>
          </cell>
          <cell r="I18"/>
          <cell r="J18"/>
          <cell r="K18">
            <v>0</v>
          </cell>
          <cell r="L18">
            <v>0</v>
          </cell>
          <cell r="M18">
            <v>0</v>
          </cell>
          <cell r="N18">
            <v>0</v>
          </cell>
          <cell r="O18" t="str">
            <v>14</v>
          </cell>
        </row>
        <row r="19">
          <cell r="B19" t="str">
            <v>15</v>
          </cell>
          <cell r="C19">
            <v>0</v>
          </cell>
          <cell r="D19">
            <v>0</v>
          </cell>
          <cell r="E19">
            <v>0</v>
          </cell>
          <cell r="F19">
            <v>0</v>
          </cell>
          <cell r="G19">
            <v>4289</v>
          </cell>
          <cell r="H19" t="str">
            <v>Other Svc. Contract Sls. - NCV Veh.</v>
          </cell>
          <cell r="I19"/>
          <cell r="J19"/>
          <cell r="K19">
            <v>0</v>
          </cell>
          <cell r="L19">
            <v>0</v>
          </cell>
          <cell r="M19">
            <v>0</v>
          </cell>
          <cell r="N19">
            <v>0</v>
          </cell>
          <cell r="O19" t="str">
            <v>15</v>
          </cell>
        </row>
        <row r="20">
          <cell r="B20" t="str">
            <v>16</v>
          </cell>
          <cell r="C20">
            <v>0</v>
          </cell>
          <cell r="D20">
            <v>0</v>
          </cell>
          <cell r="E20">
            <v>0</v>
          </cell>
          <cell r="F20">
            <v>0</v>
          </cell>
          <cell r="G20">
            <v>4267</v>
          </cell>
          <cell r="H20" t="str">
            <v>GAP Sales - NCV Vehicles</v>
          </cell>
          <cell r="I20"/>
          <cell r="J20"/>
          <cell r="K20">
            <v>0</v>
          </cell>
          <cell r="L20">
            <v>0</v>
          </cell>
          <cell r="M20">
            <v>0</v>
          </cell>
          <cell r="N20">
            <v>0</v>
          </cell>
          <cell r="O20" t="str">
            <v>16</v>
          </cell>
        </row>
        <row r="21">
          <cell r="B21" t="str">
            <v>17</v>
          </cell>
          <cell r="C21">
            <v>0</v>
          </cell>
          <cell r="D21">
            <v>0</v>
          </cell>
          <cell r="E21">
            <v>0</v>
          </cell>
          <cell r="F21">
            <v>0</v>
          </cell>
          <cell r="G21">
            <v>4237</v>
          </cell>
          <cell r="H21" t="str">
            <v>Maintenance Contract Sales - NCV Veh.</v>
          </cell>
          <cell r="I21"/>
          <cell r="J21"/>
          <cell r="K21">
            <v>0</v>
          </cell>
          <cell r="L21">
            <v>0</v>
          </cell>
          <cell r="M21">
            <v>0</v>
          </cell>
          <cell r="N21">
            <v>0</v>
          </cell>
          <cell r="O21" t="str">
            <v>17</v>
          </cell>
        </row>
        <row r="22">
          <cell r="B22" t="str">
            <v>18</v>
          </cell>
          <cell r="C22">
            <v>0</v>
          </cell>
          <cell r="D22">
            <v>0</v>
          </cell>
          <cell r="E22">
            <v>0</v>
          </cell>
          <cell r="F22">
            <v>0</v>
          </cell>
          <cell r="G22">
            <v>4217</v>
          </cell>
          <cell r="H22" t="str">
            <v>All Other F &amp; I Products - NCV Veh.</v>
          </cell>
          <cell r="I22"/>
          <cell r="J22"/>
          <cell r="K22">
            <v>0</v>
          </cell>
          <cell r="L22">
            <v>0</v>
          </cell>
          <cell r="M22">
            <v>0</v>
          </cell>
          <cell r="N22">
            <v>0</v>
          </cell>
          <cell r="O22" t="str">
            <v>18</v>
          </cell>
        </row>
        <row r="23">
          <cell r="B23" t="str">
            <v>19</v>
          </cell>
          <cell r="C23"/>
          <cell r="D23"/>
          <cell r="E23">
            <v>0</v>
          </cell>
          <cell r="F23"/>
          <cell r="G23">
            <v>6347</v>
          </cell>
          <cell r="H23" t="str">
            <v>LESS Fin., Ins. &amp; Svc. Cont. Adj. - NCV</v>
          </cell>
          <cell r="I23"/>
          <cell r="J23"/>
          <cell r="K23"/>
          <cell r="L23"/>
          <cell r="M23">
            <v>1506</v>
          </cell>
          <cell r="N23"/>
          <cell r="O23" t="str">
            <v>19</v>
          </cell>
        </row>
        <row r="24">
          <cell r="B24" t="str">
            <v>20</v>
          </cell>
          <cell r="C24">
            <v>6</v>
          </cell>
          <cell r="D24">
            <v>0</v>
          </cell>
          <cell r="E24">
            <v>5902</v>
          </cell>
          <cell r="F24">
            <v>656</v>
          </cell>
          <cell r="G24" t="str">
            <v>SUBTOTAL F &amp; I / SVC. CONT. INC. - NCV VEHICLES</v>
          </cell>
          <cell r="H24"/>
          <cell r="I24"/>
          <cell r="J24" t="str">
            <v>(Lines 13 to 19)</v>
          </cell>
          <cell r="K24">
            <v>65</v>
          </cell>
          <cell r="L24">
            <v>0</v>
          </cell>
          <cell r="M24">
            <v>49087</v>
          </cell>
          <cell r="N24">
            <v>506</v>
          </cell>
          <cell r="O24" t="str">
            <v>20</v>
          </cell>
        </row>
        <row r="25">
          <cell r="B25" t="str">
            <v>21</v>
          </cell>
          <cell r="C25">
            <v>0</v>
          </cell>
          <cell r="D25"/>
          <cell r="E25">
            <v>0</v>
          </cell>
          <cell r="F25">
            <v>0</v>
          </cell>
          <cell r="G25">
            <v>6330</v>
          </cell>
          <cell r="H25" t="str">
            <v>Finance Reserve Inc. - New Other Makes Veh.</v>
          </cell>
          <cell r="I25"/>
          <cell r="J25"/>
          <cell r="K25">
            <v>0</v>
          </cell>
          <cell r="L25"/>
          <cell r="M25">
            <v>0</v>
          </cell>
          <cell r="N25">
            <v>0</v>
          </cell>
          <cell r="O25" t="str">
            <v>21</v>
          </cell>
        </row>
        <row r="26">
          <cell r="B26" t="str">
            <v>22</v>
          </cell>
          <cell r="C26">
            <v>0</v>
          </cell>
          <cell r="D26">
            <v>0</v>
          </cell>
          <cell r="E26">
            <v>0</v>
          </cell>
          <cell r="F26">
            <v>0</v>
          </cell>
          <cell r="G26">
            <v>4290</v>
          </cell>
          <cell r="H26" t="str">
            <v>Other Service Contract Sls. - New Other Makes Veh.</v>
          </cell>
          <cell r="I26"/>
          <cell r="J26"/>
          <cell r="K26">
            <v>0</v>
          </cell>
          <cell r="L26">
            <v>0</v>
          </cell>
          <cell r="M26">
            <v>0</v>
          </cell>
          <cell r="N26">
            <v>0</v>
          </cell>
          <cell r="O26" t="str">
            <v>22</v>
          </cell>
        </row>
        <row r="27">
          <cell r="B27" t="str">
            <v>23</v>
          </cell>
          <cell r="C27">
            <v>0</v>
          </cell>
          <cell r="D27">
            <v>0</v>
          </cell>
          <cell r="E27">
            <v>0</v>
          </cell>
          <cell r="F27">
            <v>0</v>
          </cell>
          <cell r="G27">
            <v>4270</v>
          </cell>
          <cell r="H27" t="str">
            <v>GAP Sales - New Other Makes Veh.</v>
          </cell>
          <cell r="I27"/>
          <cell r="J27"/>
          <cell r="K27">
            <v>0</v>
          </cell>
          <cell r="L27">
            <v>0</v>
          </cell>
          <cell r="M27">
            <v>0</v>
          </cell>
          <cell r="N27">
            <v>0</v>
          </cell>
          <cell r="O27" t="str">
            <v>23</v>
          </cell>
        </row>
        <row r="28">
          <cell r="B28" t="str">
            <v>24</v>
          </cell>
          <cell r="C28">
            <v>0</v>
          </cell>
          <cell r="D28">
            <v>0</v>
          </cell>
          <cell r="E28">
            <v>0</v>
          </cell>
          <cell r="F28">
            <v>0</v>
          </cell>
          <cell r="G28">
            <v>4235</v>
          </cell>
          <cell r="H28" t="str">
            <v>Maintenance Contract Sales - New Other Makes Veh.</v>
          </cell>
          <cell r="I28"/>
          <cell r="J28"/>
          <cell r="K28">
            <v>0</v>
          </cell>
          <cell r="L28">
            <v>0</v>
          </cell>
          <cell r="M28">
            <v>0</v>
          </cell>
          <cell r="N28">
            <v>0</v>
          </cell>
          <cell r="O28" t="str">
            <v>24</v>
          </cell>
        </row>
        <row r="29">
          <cell r="B29" t="str">
            <v>25</v>
          </cell>
          <cell r="C29">
            <v>0</v>
          </cell>
          <cell r="D29">
            <v>0</v>
          </cell>
          <cell r="E29">
            <v>0</v>
          </cell>
          <cell r="F29">
            <v>0</v>
          </cell>
          <cell r="G29">
            <v>4250</v>
          </cell>
          <cell r="H29" t="str">
            <v>All Other F &amp; I Products - New Other Makes Veh.</v>
          </cell>
          <cell r="I29"/>
          <cell r="J29"/>
          <cell r="K29">
            <v>0</v>
          </cell>
          <cell r="L29">
            <v>0</v>
          </cell>
          <cell r="M29">
            <v>0</v>
          </cell>
          <cell r="N29">
            <v>0</v>
          </cell>
          <cell r="O29" t="str">
            <v>25</v>
          </cell>
        </row>
        <row r="30">
          <cell r="B30" t="str">
            <v>26</v>
          </cell>
          <cell r="C30"/>
          <cell r="D30"/>
          <cell r="E30">
            <v>0</v>
          </cell>
          <cell r="F30"/>
          <cell r="G30">
            <v>6345</v>
          </cell>
          <cell r="H30" t="str">
            <v>LESS Fin., Ins. &amp; Svc. Cont. Adj. - New Other Makes Veh.</v>
          </cell>
          <cell r="I30"/>
          <cell r="J30"/>
          <cell r="K30"/>
          <cell r="L30"/>
          <cell r="M30">
            <v>0</v>
          </cell>
          <cell r="N30"/>
          <cell r="O30" t="str">
            <v>26</v>
          </cell>
        </row>
        <row r="31">
          <cell r="B31" t="str">
            <v>27</v>
          </cell>
          <cell r="C31">
            <v>0</v>
          </cell>
          <cell r="D31">
            <v>0</v>
          </cell>
          <cell r="E31">
            <v>0</v>
          </cell>
          <cell r="F31">
            <v>0</v>
          </cell>
          <cell r="G31" t="str">
            <v>SUBTOTAL F &amp; I / SVC. CONT INC. - NEW OTHER MAKES VEH</v>
          </cell>
          <cell r="H31"/>
          <cell r="I31"/>
          <cell r="J31" t="str">
            <v>(Lines 21 to 26)</v>
          </cell>
          <cell r="K31">
            <v>0</v>
          </cell>
          <cell r="L31">
            <v>0</v>
          </cell>
          <cell r="M31">
            <v>0</v>
          </cell>
          <cell r="N31">
            <v>0</v>
          </cell>
          <cell r="O31" t="str">
            <v>27</v>
          </cell>
        </row>
        <row r="32">
          <cell r="B32" t="str">
            <v>28</v>
          </cell>
          <cell r="C32">
            <v>293</v>
          </cell>
          <cell r="D32">
            <v>267885</v>
          </cell>
          <cell r="E32">
            <v>213244</v>
          </cell>
          <cell r="F32">
            <v>1777</v>
          </cell>
          <cell r="G32" t="str">
            <v>TOTAL F &amp; I / SVC. CONT. INC. - NEW</v>
          </cell>
          <cell r="H32"/>
          <cell r="I32"/>
          <cell r="J32" t="str">
            <v>(Lines 12, 20 &amp; 27)</v>
          </cell>
          <cell r="K32">
            <v>3083</v>
          </cell>
          <cell r="L32">
            <v>2471697</v>
          </cell>
          <cell r="M32">
            <v>2060957</v>
          </cell>
          <cell r="N32">
            <v>1655</v>
          </cell>
          <cell r="O32" t="str">
            <v>28</v>
          </cell>
        </row>
        <row r="33">
          <cell r="B33" t="str">
            <v>29</v>
          </cell>
          <cell r="C33"/>
          <cell r="D33"/>
          <cell r="E33">
            <v>0</v>
          </cell>
          <cell r="F33"/>
          <cell r="G33">
            <v>6320</v>
          </cell>
          <cell r="H33" t="str">
            <v>LESS Repo Losses - New</v>
          </cell>
          <cell r="I33"/>
          <cell r="J33"/>
          <cell r="K33"/>
          <cell r="L33"/>
          <cell r="M33">
            <v>0</v>
          </cell>
          <cell r="N33"/>
          <cell r="O33" t="str">
            <v>29</v>
          </cell>
        </row>
        <row r="34">
          <cell r="B34" t="str">
            <v>30</v>
          </cell>
          <cell r="C34"/>
          <cell r="D34"/>
          <cell r="E34">
            <v>3668</v>
          </cell>
          <cell r="F34"/>
          <cell r="G34">
            <v>6350</v>
          </cell>
          <cell r="H34" t="str">
            <v>Dealer trades</v>
          </cell>
          <cell r="I34"/>
          <cell r="J34"/>
          <cell r="K34"/>
          <cell r="L34"/>
          <cell r="M34">
            <v>-3329</v>
          </cell>
          <cell r="N34"/>
          <cell r="O34" t="str">
            <v>30</v>
          </cell>
        </row>
        <row r="35">
          <cell r="B35" t="str">
            <v>31</v>
          </cell>
          <cell r="C35">
            <v>129</v>
          </cell>
          <cell r="D35">
            <v>4143764</v>
          </cell>
          <cell r="E35">
            <v>4728</v>
          </cell>
          <cell r="F35">
            <v>37</v>
          </cell>
          <cell r="G35" t="str">
            <v>TT40</v>
          </cell>
          <cell r="H35" t="str">
            <v>TOTAL NEW VEHICLE DEPT.</v>
          </cell>
          <cell r="I35"/>
          <cell r="J35" t="str">
            <v>(Pg 4 L81 Plus Pg 5 L4, 28 -30)</v>
          </cell>
          <cell r="K35">
            <v>1342</v>
          </cell>
          <cell r="L35">
            <v>41807416</v>
          </cell>
          <cell r="M35">
            <v>1336994</v>
          </cell>
          <cell r="N35">
            <v>996</v>
          </cell>
          <cell r="O35" t="str">
            <v>31</v>
          </cell>
        </row>
        <row r="36">
          <cell r="B36">
            <v>32</v>
          </cell>
          <cell r="C36"/>
          <cell r="D36"/>
          <cell r="E36"/>
          <cell r="F36"/>
          <cell r="G36"/>
          <cell r="H36"/>
          <cell r="I36"/>
          <cell r="J36"/>
          <cell r="K36"/>
          <cell r="L36"/>
          <cell r="M36"/>
          <cell r="N36"/>
          <cell r="O36">
            <v>32</v>
          </cell>
        </row>
        <row r="37">
          <cell r="B37">
            <v>33</v>
          </cell>
          <cell r="C37" t="str">
            <v>UNITS</v>
          </cell>
          <cell r="D37" t="str">
            <v>SALES</v>
          </cell>
          <cell r="E37" t="str">
            <v>GROSS PROFIT</v>
          </cell>
          <cell r="F37" t="str">
            <v>GROSS PER UNIT</v>
          </cell>
          <cell r="G37" t="str">
            <v>ACCT. NO.</v>
          </cell>
          <cell r="H37" t="str">
            <v>ACCOUNT NAME</v>
          </cell>
          <cell r="I37"/>
          <cell r="J37"/>
          <cell r="K37" t="str">
            <v>UNITS</v>
          </cell>
          <cell r="L37" t="str">
            <v>SALES</v>
          </cell>
          <cell r="M37" t="str">
            <v>GROSS PROFIT</v>
          </cell>
          <cell r="N37" t="str">
            <v>GROSS PER UNIT</v>
          </cell>
          <cell r="O37">
            <v>33</v>
          </cell>
        </row>
        <row r="38">
          <cell r="B38"/>
          <cell r="C38"/>
          <cell r="D38"/>
          <cell r="E38"/>
          <cell r="F38"/>
          <cell r="G38"/>
          <cell r="H38"/>
          <cell r="I38"/>
          <cell r="J38"/>
          <cell r="K38"/>
          <cell r="L38"/>
          <cell r="M38"/>
          <cell r="N38"/>
          <cell r="O38"/>
        </row>
        <row r="39">
          <cell r="B39" t="str">
            <v>34</v>
          </cell>
          <cell r="C39" t="str">
            <v>USED VEHICLE DEPARTMENT (B)</v>
          </cell>
          <cell r="D39"/>
          <cell r="E39"/>
          <cell r="F39"/>
          <cell r="G39"/>
          <cell r="H39"/>
          <cell r="I39"/>
          <cell r="J39"/>
          <cell r="K39"/>
          <cell r="L39"/>
          <cell r="M39"/>
          <cell r="N39"/>
          <cell r="O39" t="str">
            <v>34</v>
          </cell>
        </row>
        <row r="40">
          <cell r="B40" t="str">
            <v>35</v>
          </cell>
          <cell r="C40">
            <v>35</v>
          </cell>
          <cell r="D40">
            <v>617695</v>
          </cell>
          <cell r="E40">
            <v>85574</v>
          </cell>
          <cell r="F40">
            <v>2445</v>
          </cell>
          <cell r="G40">
            <v>4400</v>
          </cell>
          <cell r="H40" t="str">
            <v>Used Vehicles - Nissan - Retail</v>
          </cell>
          <cell r="I40"/>
          <cell r="J40"/>
          <cell r="K40">
            <v>372</v>
          </cell>
          <cell r="L40">
            <v>6016342</v>
          </cell>
          <cell r="M40">
            <v>808677</v>
          </cell>
          <cell r="N40">
            <v>2174</v>
          </cell>
          <cell r="O40" t="str">
            <v>35</v>
          </cell>
        </row>
        <row r="41">
          <cell r="B41" t="str">
            <v>36</v>
          </cell>
          <cell r="C41"/>
          <cell r="D41"/>
          <cell r="E41">
            <v>43250</v>
          </cell>
          <cell r="F41">
            <v>1236</v>
          </cell>
          <cell r="G41" t="str">
            <v>6400R</v>
          </cell>
          <cell r="H41" t="str">
            <v>LESS Reconditioning Nissan - Retail</v>
          </cell>
          <cell r="I41"/>
          <cell r="J41"/>
          <cell r="K41"/>
          <cell r="L41"/>
          <cell r="M41">
            <v>479438</v>
          </cell>
          <cell r="N41">
            <v>1289</v>
          </cell>
          <cell r="O41" t="str">
            <v>36</v>
          </cell>
        </row>
        <row r="42">
          <cell r="B42" t="str">
            <v>37</v>
          </cell>
          <cell r="C42">
            <v>9</v>
          </cell>
          <cell r="D42">
            <v>191076</v>
          </cell>
          <cell r="E42">
            <v>15637</v>
          </cell>
          <cell r="F42">
            <v>1737</v>
          </cell>
          <cell r="G42">
            <v>4405</v>
          </cell>
          <cell r="H42" t="str">
            <v>Used Vehicles - Nissan Certified Retail</v>
          </cell>
          <cell r="I42"/>
          <cell r="J42"/>
          <cell r="K42">
            <v>116</v>
          </cell>
          <cell r="L42">
            <v>2392705</v>
          </cell>
          <cell r="M42">
            <v>241096</v>
          </cell>
          <cell r="N42">
            <v>2078</v>
          </cell>
          <cell r="O42" t="str">
            <v>37</v>
          </cell>
        </row>
        <row r="43">
          <cell r="B43" t="str">
            <v>38</v>
          </cell>
          <cell r="C43"/>
          <cell r="D43"/>
          <cell r="E43">
            <v>8114</v>
          </cell>
          <cell r="F43">
            <v>902</v>
          </cell>
          <cell r="G43" t="str">
            <v>6405R</v>
          </cell>
          <cell r="H43" t="str">
            <v>LESS Reconditioning - Nissan Certified Retail</v>
          </cell>
          <cell r="I43"/>
          <cell r="J43"/>
          <cell r="K43"/>
          <cell r="L43"/>
          <cell r="M43">
            <v>120311</v>
          </cell>
          <cell r="N43">
            <v>1037</v>
          </cell>
          <cell r="O43" t="str">
            <v>38</v>
          </cell>
        </row>
        <row r="44">
          <cell r="B44" t="str">
            <v>39</v>
          </cell>
          <cell r="C44">
            <v>37</v>
          </cell>
          <cell r="D44">
            <v>709621</v>
          </cell>
          <cell r="E44">
            <v>70301</v>
          </cell>
          <cell r="F44">
            <v>1900</v>
          </cell>
          <cell r="G44">
            <v>4410</v>
          </cell>
          <cell r="H44" t="str">
            <v>Used Vehicles - Other Makes - Retail</v>
          </cell>
          <cell r="I44"/>
          <cell r="J44"/>
          <cell r="K44">
            <v>464</v>
          </cell>
          <cell r="L44">
            <v>8153752</v>
          </cell>
          <cell r="M44">
            <v>853015</v>
          </cell>
          <cell r="N44">
            <v>1838</v>
          </cell>
          <cell r="O44" t="str">
            <v>39</v>
          </cell>
        </row>
        <row r="45">
          <cell r="B45" t="str">
            <v>40</v>
          </cell>
          <cell r="C45"/>
          <cell r="D45"/>
          <cell r="E45">
            <v>38268</v>
          </cell>
          <cell r="F45">
            <v>1034</v>
          </cell>
          <cell r="G45" t="str">
            <v>6410R</v>
          </cell>
          <cell r="H45" t="str">
            <v>LESS Reconditioning Other Makes - Retail</v>
          </cell>
          <cell r="I45"/>
          <cell r="J45"/>
          <cell r="K45"/>
          <cell r="L45"/>
          <cell r="M45">
            <v>554555</v>
          </cell>
          <cell r="N45">
            <v>1195</v>
          </cell>
          <cell r="O45" t="str">
            <v>40</v>
          </cell>
        </row>
        <row r="46">
          <cell r="B46" t="str">
            <v>41</v>
          </cell>
          <cell r="C46">
            <v>85</v>
          </cell>
          <cell r="D46">
            <v>586584</v>
          </cell>
          <cell r="E46">
            <v>-1512</v>
          </cell>
          <cell r="F46">
            <v>-18</v>
          </cell>
          <cell r="G46">
            <v>4420</v>
          </cell>
          <cell r="H46" t="str">
            <v>Used Vehicles - Wholesale</v>
          </cell>
          <cell r="I46"/>
          <cell r="J46"/>
          <cell r="K46">
            <v>659</v>
          </cell>
          <cell r="L46">
            <v>4764489</v>
          </cell>
          <cell r="M46">
            <v>-110482</v>
          </cell>
          <cell r="N46">
            <v>-168</v>
          </cell>
          <cell r="O46" t="str">
            <v>41</v>
          </cell>
        </row>
        <row r="47">
          <cell r="B47" t="str">
            <v>42</v>
          </cell>
          <cell r="C47"/>
          <cell r="D47"/>
          <cell r="E47">
            <v>0</v>
          </cell>
          <cell r="F47"/>
          <cell r="G47">
            <v>6430</v>
          </cell>
          <cell r="H47" t="str">
            <v>LESS Adj. - Used Vehicle Inventory</v>
          </cell>
          <cell r="I47"/>
          <cell r="J47"/>
          <cell r="K47"/>
          <cell r="L47"/>
          <cell r="M47">
            <v>0</v>
          </cell>
          <cell r="N47"/>
          <cell r="O47" t="str">
            <v>42</v>
          </cell>
        </row>
        <row r="48">
          <cell r="B48" t="str">
            <v>43</v>
          </cell>
          <cell r="C48">
            <v>166</v>
          </cell>
          <cell r="D48">
            <v>2104976</v>
          </cell>
          <cell r="E48">
            <v>80368</v>
          </cell>
          <cell r="F48">
            <v>484</v>
          </cell>
          <cell r="G48" t="str">
            <v>TOTAL USED VEHICLE SALES</v>
          </cell>
          <cell r="H48"/>
          <cell r="I48"/>
          <cell r="J48" t="str">
            <v xml:space="preserve">(Lines 35 to 42) </v>
          </cell>
          <cell r="K48">
            <v>1611</v>
          </cell>
          <cell r="L48">
            <v>21327288</v>
          </cell>
          <cell r="M48">
            <v>638002</v>
          </cell>
          <cell r="N48">
            <v>396</v>
          </cell>
          <cell r="O48" t="str">
            <v>43</v>
          </cell>
        </row>
        <row r="49">
          <cell r="B49" t="str">
            <v>44</v>
          </cell>
          <cell r="C49">
            <v>32</v>
          </cell>
          <cell r="D49"/>
          <cell r="E49">
            <v>15324</v>
          </cell>
          <cell r="F49">
            <v>479</v>
          </cell>
          <cell r="G49">
            <v>6440</v>
          </cell>
          <cell r="H49" t="str">
            <v>Finance Res Inc. - Used Nissan Veh</v>
          </cell>
          <cell r="I49"/>
          <cell r="J49"/>
          <cell r="K49">
            <v>331</v>
          </cell>
          <cell r="L49"/>
          <cell r="M49">
            <v>200750</v>
          </cell>
          <cell r="N49">
            <v>606</v>
          </cell>
          <cell r="O49" t="str">
            <v>44</v>
          </cell>
        </row>
        <row r="50">
          <cell r="B50" t="str">
            <v>45</v>
          </cell>
          <cell r="C50">
            <v>16</v>
          </cell>
          <cell r="D50">
            <v>40455</v>
          </cell>
          <cell r="E50">
            <v>18221</v>
          </cell>
          <cell r="F50">
            <v>1139</v>
          </cell>
          <cell r="G50">
            <v>4480</v>
          </cell>
          <cell r="H50" t="str">
            <v>Security+Plus Service Contracts Sls. - Used Nissan Veh.</v>
          </cell>
          <cell r="I50"/>
          <cell r="J50"/>
          <cell r="K50">
            <v>183</v>
          </cell>
          <cell r="L50">
            <v>414522</v>
          </cell>
          <cell r="M50">
            <v>172565</v>
          </cell>
          <cell r="N50">
            <v>943</v>
          </cell>
          <cell r="O50" t="str">
            <v>45</v>
          </cell>
        </row>
        <row r="51">
          <cell r="B51" t="str">
            <v>46</v>
          </cell>
          <cell r="C51">
            <v>7</v>
          </cell>
          <cell r="D51">
            <v>18467</v>
          </cell>
          <cell r="E51">
            <v>10533</v>
          </cell>
          <cell r="F51">
            <v>1505</v>
          </cell>
          <cell r="G51">
            <v>4482</v>
          </cell>
          <cell r="H51" t="str">
            <v>Other Svc. Contract Sls. - Used Nissan Veh.</v>
          </cell>
          <cell r="I51"/>
          <cell r="J51"/>
          <cell r="K51">
            <v>78</v>
          </cell>
          <cell r="L51">
            <v>177474</v>
          </cell>
          <cell r="M51">
            <v>80627</v>
          </cell>
          <cell r="N51">
            <v>1034</v>
          </cell>
          <cell r="O51" t="str">
            <v>46</v>
          </cell>
        </row>
        <row r="52">
          <cell r="B52" t="str">
            <v>47</v>
          </cell>
          <cell r="C52">
            <v>8</v>
          </cell>
          <cell r="D52">
            <v>6072</v>
          </cell>
          <cell r="E52">
            <v>3383</v>
          </cell>
          <cell r="F52">
            <v>423</v>
          </cell>
          <cell r="G52">
            <v>4445</v>
          </cell>
          <cell r="H52" t="str">
            <v>GAP Sales - Used Nissan Veh.</v>
          </cell>
          <cell r="I52"/>
          <cell r="J52"/>
          <cell r="K52">
            <v>114</v>
          </cell>
          <cell r="L52">
            <v>80509</v>
          </cell>
          <cell r="M52">
            <v>43133</v>
          </cell>
          <cell r="N52">
            <v>378</v>
          </cell>
          <cell r="O52" t="str">
            <v>47</v>
          </cell>
        </row>
        <row r="53">
          <cell r="B53" t="str">
            <v>48</v>
          </cell>
          <cell r="C53">
            <v>0</v>
          </cell>
          <cell r="D53">
            <v>0</v>
          </cell>
          <cell r="E53">
            <v>0</v>
          </cell>
          <cell r="F53">
            <v>0</v>
          </cell>
          <cell r="G53">
            <v>4481</v>
          </cell>
          <cell r="H53" t="str">
            <v>Maintenance Contract Sales - Used Nissan Veh.</v>
          </cell>
          <cell r="I53"/>
          <cell r="J53"/>
          <cell r="K53">
            <v>0</v>
          </cell>
          <cell r="L53">
            <v>0</v>
          </cell>
          <cell r="M53">
            <v>0</v>
          </cell>
          <cell r="N53">
            <v>0</v>
          </cell>
          <cell r="O53" t="str">
            <v>48</v>
          </cell>
        </row>
        <row r="54">
          <cell r="B54" t="str">
            <v>49</v>
          </cell>
          <cell r="C54">
            <v>5</v>
          </cell>
          <cell r="D54">
            <v>7390</v>
          </cell>
          <cell r="E54">
            <v>5781</v>
          </cell>
          <cell r="F54">
            <v>1156</v>
          </cell>
          <cell r="G54">
            <v>4452</v>
          </cell>
          <cell r="H54" t="str">
            <v>All Other F &amp; I Products - Used Nissan Veh.</v>
          </cell>
          <cell r="I54"/>
          <cell r="J54"/>
          <cell r="K54">
            <v>39</v>
          </cell>
          <cell r="L54">
            <v>46929</v>
          </cell>
          <cell r="M54">
            <v>43323</v>
          </cell>
          <cell r="N54">
            <v>1111</v>
          </cell>
          <cell r="O54" t="str">
            <v>49</v>
          </cell>
        </row>
        <row r="55">
          <cell r="B55" t="str">
            <v>50</v>
          </cell>
          <cell r="C55"/>
          <cell r="D55"/>
          <cell r="E55">
            <v>6172</v>
          </cell>
          <cell r="F55"/>
          <cell r="G55">
            <v>6470</v>
          </cell>
          <cell r="H55" t="str">
            <v>LESS Fin., Ins. &amp; Svc. Cont. Adj. - Used Nissan Veh.</v>
          </cell>
          <cell r="I55"/>
          <cell r="J55"/>
          <cell r="K55"/>
          <cell r="L55"/>
          <cell r="M55">
            <v>41049</v>
          </cell>
          <cell r="N55"/>
          <cell r="O55" t="str">
            <v>50</v>
          </cell>
        </row>
        <row r="56">
          <cell r="B56" t="str">
            <v>51</v>
          </cell>
          <cell r="C56">
            <v>68</v>
          </cell>
          <cell r="D56">
            <v>72384</v>
          </cell>
          <cell r="E56">
            <v>47070</v>
          </cell>
          <cell r="F56">
            <v>1070</v>
          </cell>
          <cell r="G56" t="str">
            <v>SUBTOTAL F &amp; I / SVC. CONT. INC. - USED NISSAN</v>
          </cell>
          <cell r="H56"/>
          <cell r="I56"/>
          <cell r="J56" t="str">
            <v xml:space="preserve">(Lines 44 to 50) </v>
          </cell>
          <cell r="K56">
            <v>745</v>
          </cell>
          <cell r="L56">
            <v>719434</v>
          </cell>
          <cell r="M56">
            <v>499349</v>
          </cell>
          <cell r="N56">
            <v>1023</v>
          </cell>
          <cell r="O56" t="str">
            <v>51</v>
          </cell>
        </row>
        <row r="57">
          <cell r="B57" t="str">
            <v>52</v>
          </cell>
          <cell r="C57">
            <v>24</v>
          </cell>
          <cell r="D57"/>
          <cell r="E57">
            <v>11650</v>
          </cell>
          <cell r="F57">
            <v>485</v>
          </cell>
          <cell r="G57">
            <v>6460</v>
          </cell>
          <cell r="H57" t="str">
            <v>Finance Res. Inc. - Used Other Makes Veh.</v>
          </cell>
          <cell r="I57"/>
          <cell r="J57"/>
          <cell r="K57">
            <v>288</v>
          </cell>
          <cell r="L57"/>
          <cell r="M57">
            <v>175822</v>
          </cell>
          <cell r="N57">
            <v>610</v>
          </cell>
          <cell r="O57" t="str">
            <v>52</v>
          </cell>
        </row>
        <row r="58">
          <cell r="B58" t="str">
            <v>53</v>
          </cell>
          <cell r="C58">
            <v>8</v>
          </cell>
          <cell r="D58">
            <v>21693</v>
          </cell>
          <cell r="E58">
            <v>8903</v>
          </cell>
          <cell r="F58">
            <v>1113</v>
          </cell>
          <cell r="G58">
            <v>4485</v>
          </cell>
          <cell r="H58" t="str">
            <v>QualityGuard+Plus Svc. Cont. Sls. - Used Other Makes Veh.</v>
          </cell>
          <cell r="I58"/>
          <cell r="J58"/>
          <cell r="K58">
            <v>87</v>
          </cell>
          <cell r="L58">
            <v>218040</v>
          </cell>
          <cell r="M58">
            <v>85828</v>
          </cell>
          <cell r="N58">
            <v>987</v>
          </cell>
          <cell r="O58" t="str">
            <v>53</v>
          </cell>
        </row>
        <row r="59">
          <cell r="B59" t="str">
            <v>54</v>
          </cell>
          <cell r="C59">
            <v>13</v>
          </cell>
          <cell r="D59">
            <v>32317</v>
          </cell>
          <cell r="E59">
            <v>13583</v>
          </cell>
          <cell r="F59">
            <v>1045</v>
          </cell>
          <cell r="G59">
            <v>4487</v>
          </cell>
          <cell r="H59" t="str">
            <v>Othr Svc. Contract Sls. - Used Other Makes Veh.</v>
          </cell>
          <cell r="I59"/>
          <cell r="J59"/>
          <cell r="K59">
            <v>122</v>
          </cell>
          <cell r="L59">
            <v>272674</v>
          </cell>
          <cell r="M59">
            <v>89643</v>
          </cell>
          <cell r="N59">
            <v>735</v>
          </cell>
          <cell r="O59" t="str">
            <v>54</v>
          </cell>
        </row>
        <row r="60">
          <cell r="B60" t="str">
            <v>55</v>
          </cell>
          <cell r="C60">
            <v>0</v>
          </cell>
          <cell r="D60">
            <v>0</v>
          </cell>
          <cell r="E60">
            <v>0</v>
          </cell>
          <cell r="F60">
            <v>0</v>
          </cell>
          <cell r="G60">
            <v>4489</v>
          </cell>
          <cell r="H60" t="str">
            <v>Maintenance Contract Sales - Used Other Makes Veh.</v>
          </cell>
          <cell r="I60"/>
          <cell r="J60"/>
          <cell r="K60">
            <v>0</v>
          </cell>
          <cell r="L60">
            <v>0</v>
          </cell>
          <cell r="M60">
            <v>0</v>
          </cell>
          <cell r="N60">
            <v>0</v>
          </cell>
          <cell r="O60" t="str">
            <v>55</v>
          </cell>
        </row>
        <row r="61">
          <cell r="B61" t="str">
            <v>56</v>
          </cell>
          <cell r="C61">
            <v>7</v>
          </cell>
          <cell r="D61">
            <v>4299</v>
          </cell>
          <cell r="E61">
            <v>1613</v>
          </cell>
          <cell r="F61">
            <v>230</v>
          </cell>
          <cell r="G61">
            <v>4465</v>
          </cell>
          <cell r="H61" t="str">
            <v>GAP Sales - Used Other Makes Veh.</v>
          </cell>
          <cell r="I61"/>
          <cell r="J61"/>
          <cell r="K61">
            <v>130</v>
          </cell>
          <cell r="L61">
            <v>92946</v>
          </cell>
          <cell r="M61">
            <v>48697</v>
          </cell>
          <cell r="N61">
            <v>375</v>
          </cell>
          <cell r="O61" t="str">
            <v>56</v>
          </cell>
        </row>
        <row r="62">
          <cell r="B62" t="str">
            <v>57</v>
          </cell>
          <cell r="C62">
            <v>13</v>
          </cell>
          <cell r="D62">
            <v>6940</v>
          </cell>
          <cell r="E62">
            <v>6319</v>
          </cell>
          <cell r="F62">
            <v>486</v>
          </cell>
          <cell r="G62">
            <v>4455</v>
          </cell>
          <cell r="H62" t="str">
            <v>All Other F &amp; I Products - Used Other Makes Veh.</v>
          </cell>
          <cell r="I62"/>
          <cell r="J62"/>
          <cell r="K62">
            <v>127</v>
          </cell>
          <cell r="L62">
            <v>54107</v>
          </cell>
          <cell r="M62">
            <v>41601</v>
          </cell>
          <cell r="N62">
            <v>328</v>
          </cell>
          <cell r="O62" t="str">
            <v>57</v>
          </cell>
        </row>
        <row r="63">
          <cell r="B63" t="str">
            <v>58</v>
          </cell>
          <cell r="C63"/>
          <cell r="D63"/>
          <cell r="E63">
            <v>8475</v>
          </cell>
          <cell r="F63"/>
          <cell r="G63">
            <v>6475</v>
          </cell>
          <cell r="H63" t="str">
            <v>LESS Fin., Ins. &amp; Svc. Cont. Adj. - Used Other Makes Veh.</v>
          </cell>
          <cell r="I63"/>
          <cell r="J63"/>
          <cell r="K63"/>
          <cell r="L63"/>
          <cell r="M63">
            <v>45437</v>
          </cell>
          <cell r="N63"/>
          <cell r="O63" t="str">
            <v>58</v>
          </cell>
        </row>
        <row r="64">
          <cell r="B64" t="str">
            <v>59</v>
          </cell>
          <cell r="C64">
            <v>65</v>
          </cell>
          <cell r="D64">
            <v>65249</v>
          </cell>
          <cell r="E64">
            <v>33593</v>
          </cell>
          <cell r="F64">
            <v>908</v>
          </cell>
          <cell r="G64" t="str">
            <v>SUBTOTAL F &amp; I / SVC. CONT INC.- USED OTHER MAKES VEH</v>
          </cell>
          <cell r="H64"/>
          <cell r="I64"/>
          <cell r="J64" t="str">
            <v xml:space="preserve">(Lines 52 to 58) </v>
          </cell>
          <cell r="K64">
            <v>754</v>
          </cell>
          <cell r="L64">
            <v>637767</v>
          </cell>
          <cell r="M64">
            <v>396154</v>
          </cell>
          <cell r="N64">
            <v>854</v>
          </cell>
          <cell r="O64" t="str">
            <v>59</v>
          </cell>
        </row>
        <row r="65">
          <cell r="B65" t="str">
            <v>60</v>
          </cell>
          <cell r="C65">
            <v>133</v>
          </cell>
          <cell r="D65">
            <v>137633</v>
          </cell>
          <cell r="E65">
            <v>80663</v>
          </cell>
          <cell r="F65">
            <v>996</v>
          </cell>
          <cell r="G65"/>
          <cell r="H65" t="str">
            <v>TOTAL F &amp; I / SVC. CONT. INC. - USED</v>
          </cell>
          <cell r="I65"/>
          <cell r="J65" t="str">
            <v xml:space="preserve">(Lines 51 &amp; 59) </v>
          </cell>
          <cell r="K65">
            <v>1499</v>
          </cell>
          <cell r="L65">
            <v>1357201</v>
          </cell>
          <cell r="M65">
            <v>895503</v>
          </cell>
          <cell r="N65">
            <v>941</v>
          </cell>
          <cell r="O65" t="str">
            <v>60</v>
          </cell>
        </row>
        <row r="66">
          <cell r="B66" t="str">
            <v>61</v>
          </cell>
          <cell r="C66"/>
          <cell r="D66"/>
          <cell r="E66">
            <v>0</v>
          </cell>
          <cell r="F66"/>
          <cell r="G66">
            <v>6450</v>
          </cell>
          <cell r="H66" t="str">
            <v>LESS Repo Losses - Used Vehicles</v>
          </cell>
          <cell r="I66"/>
          <cell r="J66"/>
          <cell r="K66"/>
          <cell r="L66"/>
          <cell r="M66">
            <v>0</v>
          </cell>
          <cell r="N66"/>
          <cell r="O66" t="str">
            <v>61</v>
          </cell>
        </row>
        <row r="67">
          <cell r="B67" t="str">
            <v>62</v>
          </cell>
          <cell r="C67">
            <v>166</v>
          </cell>
          <cell r="D67">
            <v>2242609</v>
          </cell>
          <cell r="E67">
            <v>161031</v>
          </cell>
          <cell r="F67">
            <v>970</v>
          </cell>
          <cell r="G67" t="str">
            <v>TT41</v>
          </cell>
          <cell r="H67" t="str">
            <v>TOTAL USED VEHICLE DEPT.</v>
          </cell>
          <cell r="I67"/>
          <cell r="J67" t="str">
            <v xml:space="preserve">(Lines 43, 60 &amp; 61) </v>
          </cell>
          <cell r="K67">
            <v>1611</v>
          </cell>
          <cell r="L67">
            <v>22684489</v>
          </cell>
          <cell r="M67">
            <v>1533505</v>
          </cell>
          <cell r="N67">
            <v>952</v>
          </cell>
          <cell r="O67" t="str">
            <v>62</v>
          </cell>
        </row>
        <row r="68">
          <cell r="B68" t="str">
            <v>63</v>
          </cell>
          <cell r="C68">
            <v>295</v>
          </cell>
          <cell r="D68">
            <v>6386373</v>
          </cell>
          <cell r="E68">
            <v>165759</v>
          </cell>
          <cell r="F68">
            <v>562</v>
          </cell>
          <cell r="G68" t="str">
            <v>TOTAL NEW &amp; USED VEHICLES</v>
          </cell>
          <cell r="H68"/>
          <cell r="I68"/>
          <cell r="J68" t="str">
            <v xml:space="preserve">(Lines 31 &amp; 62) </v>
          </cell>
          <cell r="K68">
            <v>2953</v>
          </cell>
          <cell r="L68">
            <v>64491905</v>
          </cell>
          <cell r="M68">
            <v>2870499</v>
          </cell>
          <cell r="N68">
            <v>972</v>
          </cell>
          <cell r="O68" t="str">
            <v>63</v>
          </cell>
        </row>
        <row r="69">
          <cell r="B69" t="str">
            <v>64</v>
          </cell>
          <cell r="C69"/>
          <cell r="D69"/>
          <cell r="E69"/>
          <cell r="F69"/>
          <cell r="G69"/>
          <cell r="H69" t="str">
            <v>SERVICE DEPARTMENT (C)</v>
          </cell>
          <cell r="I69"/>
          <cell r="J69"/>
          <cell r="K69"/>
          <cell r="L69"/>
          <cell r="M69"/>
          <cell r="N69"/>
          <cell r="O69" t="str">
            <v>64</v>
          </cell>
        </row>
        <row r="70">
          <cell r="B70" t="str">
            <v>65</v>
          </cell>
          <cell r="C70">
            <v>613</v>
          </cell>
          <cell r="D70">
            <v>119941</v>
          </cell>
          <cell r="E70">
            <v>80299</v>
          </cell>
          <cell r="F70">
            <v>669</v>
          </cell>
          <cell r="G70">
            <v>4500</v>
          </cell>
          <cell r="H70" t="str">
            <v>Cust. Mech. Labor - Nissan Vehicles</v>
          </cell>
          <cell r="I70"/>
          <cell r="J70"/>
          <cell r="K70">
            <v>7250</v>
          </cell>
          <cell r="L70">
            <v>1538946</v>
          </cell>
          <cell r="M70">
            <v>1104321</v>
          </cell>
          <cell r="N70">
            <v>718</v>
          </cell>
          <cell r="O70" t="str">
            <v>65</v>
          </cell>
        </row>
        <row r="71">
          <cell r="B71" t="str">
            <v>66</v>
          </cell>
          <cell r="C71">
            <v>0</v>
          </cell>
          <cell r="D71">
            <v>0</v>
          </cell>
          <cell r="E71">
            <v>0</v>
          </cell>
          <cell r="F71">
            <v>0</v>
          </cell>
          <cell r="G71">
            <v>4504</v>
          </cell>
          <cell r="H71" t="str">
            <v>Service / Maint Contract - Labor - Nissan Vehicles</v>
          </cell>
          <cell r="I71"/>
          <cell r="J71"/>
          <cell r="K71">
            <v>0</v>
          </cell>
          <cell r="L71">
            <v>0</v>
          </cell>
          <cell r="M71">
            <v>0</v>
          </cell>
          <cell r="N71">
            <v>0</v>
          </cell>
          <cell r="O71" t="str">
            <v>66</v>
          </cell>
        </row>
        <row r="72">
          <cell r="B72" t="str">
            <v>67</v>
          </cell>
          <cell r="C72">
            <v>603</v>
          </cell>
          <cell r="D72">
            <v>85756</v>
          </cell>
          <cell r="E72">
            <v>47927</v>
          </cell>
          <cell r="F72">
            <v>559</v>
          </cell>
          <cell r="G72">
            <v>4540</v>
          </cell>
          <cell r="H72" t="str">
            <v>Warranty Mech. Labor - Nissan Vehicles</v>
          </cell>
          <cell r="I72"/>
          <cell r="J72"/>
          <cell r="K72">
            <v>6308</v>
          </cell>
          <cell r="L72">
            <v>798475</v>
          </cell>
          <cell r="M72">
            <v>514309</v>
          </cell>
          <cell r="N72">
            <v>644</v>
          </cell>
          <cell r="O72" t="str">
            <v>67</v>
          </cell>
        </row>
        <row r="73">
          <cell r="B73" t="str">
            <v>68</v>
          </cell>
          <cell r="C73">
            <v>357</v>
          </cell>
          <cell r="D73">
            <v>63084</v>
          </cell>
          <cell r="E73">
            <v>41205</v>
          </cell>
          <cell r="F73">
            <v>653</v>
          </cell>
          <cell r="G73">
            <v>4550</v>
          </cell>
          <cell r="H73" t="str">
            <v>Internal Mech. Labor - Nissan Vehicles</v>
          </cell>
          <cell r="I73"/>
          <cell r="J73"/>
          <cell r="K73">
            <v>3870</v>
          </cell>
          <cell r="L73">
            <v>666005</v>
          </cell>
          <cell r="M73">
            <v>468694</v>
          </cell>
          <cell r="N73">
            <v>704</v>
          </cell>
          <cell r="O73" t="str">
            <v>68</v>
          </cell>
        </row>
        <row r="74">
          <cell r="B74" t="str">
            <v>69</v>
          </cell>
          <cell r="C74">
            <v>1573</v>
          </cell>
          <cell r="D74">
            <v>268781</v>
          </cell>
          <cell r="E74">
            <v>169431</v>
          </cell>
          <cell r="F74">
            <v>630</v>
          </cell>
          <cell r="G74" t="str">
            <v>SUBTOTAL - NISSAN MECH. LABOR</v>
          </cell>
          <cell r="H74"/>
          <cell r="I74"/>
          <cell r="J74" t="str">
            <v xml:space="preserve">(Lines 65 to 68) </v>
          </cell>
          <cell r="K74">
            <v>17428</v>
          </cell>
          <cell r="L74">
            <v>3003426</v>
          </cell>
          <cell r="M74">
            <v>2087324</v>
          </cell>
          <cell r="N74">
            <v>695</v>
          </cell>
          <cell r="O74" t="str">
            <v>69</v>
          </cell>
        </row>
        <row r="75">
          <cell r="B75" t="str">
            <v>70</v>
          </cell>
          <cell r="C75">
            <v>872</v>
          </cell>
          <cell r="D75">
            <v>10403</v>
          </cell>
          <cell r="E75">
            <v>5281</v>
          </cell>
          <cell r="F75">
            <v>508</v>
          </cell>
          <cell r="G75">
            <v>4502</v>
          </cell>
          <cell r="H75" t="str">
            <v>Express Service - Cust. Mech. Labor - Nissan Vehicles</v>
          </cell>
          <cell r="I75"/>
          <cell r="J75"/>
          <cell r="K75">
            <v>9723</v>
          </cell>
          <cell r="L75">
            <v>123482</v>
          </cell>
          <cell r="M75">
            <v>82868</v>
          </cell>
          <cell r="N75">
            <v>671</v>
          </cell>
          <cell r="O75" t="str">
            <v>70</v>
          </cell>
        </row>
        <row r="76">
          <cell r="B76" t="str">
            <v>71</v>
          </cell>
          <cell r="C76">
            <v>0</v>
          </cell>
          <cell r="D76">
            <v>0</v>
          </cell>
          <cell r="E76">
            <v>0</v>
          </cell>
          <cell r="F76">
            <v>0</v>
          </cell>
          <cell r="G76">
            <v>4506</v>
          </cell>
          <cell r="H76" t="str">
            <v>Exp. Service Service / Maint. Cont. Labor - Nissan Vehicles</v>
          </cell>
          <cell r="I76"/>
          <cell r="J76"/>
          <cell r="K76">
            <v>0</v>
          </cell>
          <cell r="L76">
            <v>0</v>
          </cell>
          <cell r="M76">
            <v>0</v>
          </cell>
          <cell r="N76">
            <v>0</v>
          </cell>
          <cell r="O76" t="str">
            <v>71</v>
          </cell>
        </row>
        <row r="77">
          <cell r="B77" t="str">
            <v>72</v>
          </cell>
          <cell r="C77">
            <v>0</v>
          </cell>
          <cell r="D77">
            <v>0</v>
          </cell>
          <cell r="E77">
            <v>0</v>
          </cell>
          <cell r="F77">
            <v>0</v>
          </cell>
          <cell r="G77">
            <v>4543</v>
          </cell>
          <cell r="H77" t="str">
            <v>Express Service - Warranty Labor - Nissan Vehicles</v>
          </cell>
          <cell r="I77"/>
          <cell r="J77"/>
          <cell r="K77">
            <v>0</v>
          </cell>
          <cell r="L77">
            <v>0</v>
          </cell>
          <cell r="M77">
            <v>0</v>
          </cell>
          <cell r="N77">
            <v>0</v>
          </cell>
          <cell r="O77" t="str">
            <v>72</v>
          </cell>
        </row>
        <row r="78">
          <cell r="B78" t="str">
            <v>73</v>
          </cell>
          <cell r="C78">
            <v>0</v>
          </cell>
          <cell r="D78">
            <v>0</v>
          </cell>
          <cell r="E78">
            <v>0</v>
          </cell>
          <cell r="F78">
            <v>0</v>
          </cell>
          <cell r="G78">
            <v>4553</v>
          </cell>
          <cell r="H78" t="str">
            <v>Express Service Internal Labor - Nissan Vehicles</v>
          </cell>
          <cell r="I78"/>
          <cell r="J78"/>
          <cell r="K78">
            <v>0</v>
          </cell>
          <cell r="L78">
            <v>0</v>
          </cell>
          <cell r="M78">
            <v>0</v>
          </cell>
          <cell r="N78">
            <v>0</v>
          </cell>
          <cell r="O78" t="str">
            <v>73</v>
          </cell>
        </row>
        <row r="79">
          <cell r="B79" t="str">
            <v>74</v>
          </cell>
          <cell r="C79">
            <v>872</v>
          </cell>
          <cell r="D79">
            <v>10403</v>
          </cell>
          <cell r="E79">
            <v>5281</v>
          </cell>
          <cell r="F79">
            <v>508</v>
          </cell>
          <cell r="G79" t="str">
            <v>SUBTOTAL - ES NISSAN MECH. LABOR</v>
          </cell>
          <cell r="H79"/>
          <cell r="I79"/>
          <cell r="J79" t="str">
            <v>(Lines 70 to 73)</v>
          </cell>
          <cell r="K79">
            <v>9723</v>
          </cell>
          <cell r="L79">
            <v>123482</v>
          </cell>
          <cell r="M79">
            <v>82868</v>
          </cell>
          <cell r="N79">
            <v>671</v>
          </cell>
          <cell r="O79" t="str">
            <v>74</v>
          </cell>
        </row>
      </sheetData>
      <sheetData sheetId="5" refreshError="1">
        <row r="1">
          <cell r="B1"/>
          <cell r="C1" t="str">
            <v>FIXED OPERATIONS SALES AND GROSS PROFIT</v>
          </cell>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cell r="BE1"/>
          <cell r="BF1"/>
          <cell r="BG1"/>
          <cell r="BH1"/>
          <cell r="BI1"/>
          <cell r="BJ1"/>
          <cell r="BK1"/>
          <cell r="BL1"/>
          <cell r="BM1"/>
          <cell r="BN1"/>
          <cell r="BO1"/>
          <cell r="BP1"/>
          <cell r="BQ1"/>
          <cell r="BR1"/>
          <cell r="BS1"/>
          <cell r="BT1"/>
          <cell r="BU1"/>
          <cell r="BV1"/>
          <cell r="BW1"/>
          <cell r="BX1"/>
          <cell r="BY1"/>
          <cell r="BZ1"/>
          <cell r="CA1"/>
          <cell r="CB1"/>
          <cell r="CC1"/>
          <cell r="CD1"/>
          <cell r="CE1"/>
          <cell r="CF1"/>
          <cell r="CG1"/>
          <cell r="CH1"/>
          <cell r="CI1"/>
          <cell r="CJ1"/>
          <cell r="CK1"/>
          <cell r="CL1"/>
          <cell r="CM1"/>
          <cell r="CN1"/>
          <cell r="CO1"/>
          <cell r="CP1"/>
          <cell r="CQ1"/>
          <cell r="CR1"/>
          <cell r="CS1"/>
          <cell r="CT1"/>
          <cell r="CU1"/>
          <cell r="CV1"/>
          <cell r="CW1"/>
          <cell r="CX1"/>
          <cell r="CY1"/>
        </row>
        <row r="2">
          <cell r="B2" t="str">
            <v>Page 6</v>
          </cell>
          <cell r="C2" t="str">
            <v>Current Month: (Month)</v>
          </cell>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cell r="BF2"/>
          <cell r="BG2"/>
          <cell r="BH2"/>
          <cell r="BI2" t="str">
            <v>Year to Date: (Year)</v>
          </cell>
          <cell r="BJ2"/>
          <cell r="BK2"/>
          <cell r="BL2"/>
          <cell r="BM2"/>
          <cell r="BN2"/>
          <cell r="BO2"/>
          <cell r="BP2"/>
          <cell r="BQ2"/>
          <cell r="BR2"/>
          <cell r="BS2"/>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cell r="CX2"/>
          <cell r="CY2"/>
        </row>
        <row r="3">
          <cell r="B3" t="str">
            <v>LINE NO</v>
          </cell>
          <cell r="C3" t="str">
            <v>UNITS</v>
          </cell>
          <cell r="D3"/>
          <cell r="E3"/>
          <cell r="F3"/>
          <cell r="G3"/>
          <cell r="H3"/>
          <cell r="I3"/>
          <cell r="J3"/>
          <cell r="K3" t="str">
            <v>SALES</v>
          </cell>
          <cell r="L3"/>
          <cell r="M3"/>
          <cell r="N3"/>
          <cell r="O3"/>
          <cell r="P3"/>
          <cell r="Q3"/>
          <cell r="R3"/>
          <cell r="S3"/>
          <cell r="T3"/>
          <cell r="U3"/>
          <cell r="V3"/>
          <cell r="W3"/>
          <cell r="X3" t="str">
            <v>GROSS PROFIT</v>
          </cell>
          <cell r="Y3"/>
          <cell r="Z3"/>
          <cell r="AA3"/>
          <cell r="AB3"/>
          <cell r="AC3"/>
          <cell r="AD3"/>
          <cell r="AE3"/>
          <cell r="AF3"/>
          <cell r="AG3"/>
          <cell r="AH3"/>
          <cell r="AI3"/>
          <cell r="AJ3"/>
          <cell r="AK3" t="str">
            <v>GROSS SS%</v>
          </cell>
          <cell r="AL3"/>
          <cell r="AM3"/>
          <cell r="AN3"/>
          <cell r="AO3"/>
          <cell r="AP3"/>
          <cell r="AQ3"/>
          <cell r="AR3"/>
          <cell r="AS3" t="str">
            <v>ACCT. NO.</v>
          </cell>
          <cell r="AT3" t="str">
            <v>ACCOUNT NAME</v>
          </cell>
          <cell r="AU3"/>
          <cell r="AV3"/>
          <cell r="AW3"/>
          <cell r="AX3"/>
          <cell r="AY3"/>
          <cell r="AZ3"/>
          <cell r="BA3"/>
          <cell r="BB3"/>
          <cell r="BC3"/>
          <cell r="BD3"/>
          <cell r="BE3"/>
          <cell r="BF3"/>
          <cell r="BG3"/>
          <cell r="BH3"/>
          <cell r="BI3" t="str">
            <v>UNITS</v>
          </cell>
          <cell r="BJ3"/>
          <cell r="BK3"/>
          <cell r="BL3"/>
          <cell r="BM3"/>
          <cell r="BN3"/>
          <cell r="BO3"/>
          <cell r="BP3"/>
          <cell r="BQ3" t="str">
            <v>SALES</v>
          </cell>
          <cell r="BR3"/>
          <cell r="BS3"/>
          <cell r="BT3"/>
          <cell r="BU3"/>
          <cell r="BV3"/>
          <cell r="BW3"/>
          <cell r="BX3"/>
          <cell r="BY3"/>
          <cell r="BZ3"/>
          <cell r="CA3"/>
          <cell r="CB3"/>
          <cell r="CC3"/>
          <cell r="CD3" t="str">
            <v>GROSS PROFIT</v>
          </cell>
          <cell r="CE3"/>
          <cell r="CF3"/>
          <cell r="CG3"/>
          <cell r="CH3"/>
          <cell r="CI3"/>
          <cell r="CJ3"/>
          <cell r="CK3"/>
          <cell r="CL3"/>
          <cell r="CM3"/>
          <cell r="CN3"/>
          <cell r="CO3"/>
          <cell r="CP3"/>
          <cell r="CQ3" t="str">
            <v>GROSS SS%</v>
          </cell>
          <cell r="CR3"/>
          <cell r="CS3"/>
          <cell r="CT3"/>
          <cell r="CU3"/>
          <cell r="CV3"/>
          <cell r="CW3"/>
          <cell r="CX3"/>
          <cell r="CY3" t="str">
            <v>LINE NO</v>
          </cell>
        </row>
        <row r="4">
          <cell r="B4"/>
          <cell r="C4"/>
          <cell r="D4"/>
          <cell r="E4"/>
          <cell r="F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cell r="BF4"/>
          <cell r="BG4"/>
          <cell r="BH4"/>
          <cell r="BI4"/>
          <cell r="BJ4"/>
          <cell r="BK4"/>
          <cell r="BL4"/>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cell r="CV4"/>
          <cell r="CW4"/>
          <cell r="CX4"/>
          <cell r="CY4"/>
        </row>
        <row r="5">
          <cell r="B5" t="str">
            <v>1</v>
          </cell>
          <cell r="C5" t="str">
            <v># RO's</v>
          </cell>
          <cell r="D5"/>
          <cell r="E5"/>
          <cell r="F5" t="e">
            <v>#REF!</v>
          </cell>
          <cell r="G5"/>
          <cell r="H5"/>
          <cell r="I5"/>
          <cell r="J5"/>
          <cell r="K5"/>
          <cell r="L5"/>
          <cell r="M5"/>
          <cell r="N5"/>
          <cell r="O5"/>
          <cell r="P5"/>
          <cell r="Q5"/>
          <cell r="R5"/>
          <cell r="S5" t="e">
            <v>#REF!</v>
          </cell>
          <cell r="T5"/>
          <cell r="U5"/>
          <cell r="V5"/>
          <cell r="W5"/>
          <cell r="X5"/>
          <cell r="Y5"/>
          <cell r="Z5"/>
          <cell r="AA5"/>
          <cell r="AB5"/>
          <cell r="AC5"/>
          <cell r="AD5"/>
          <cell r="AE5"/>
          <cell r="AF5" t="e">
            <v>#REF!</v>
          </cell>
          <cell r="AG5"/>
          <cell r="AH5"/>
          <cell r="AI5"/>
          <cell r="AJ5"/>
          <cell r="AK5" t="str">
            <v>GP%SLS</v>
          </cell>
          <cell r="AL5"/>
          <cell r="AM5"/>
          <cell r="AN5" t="e">
            <v>#REF!</v>
          </cell>
          <cell r="AO5"/>
          <cell r="AP5"/>
          <cell r="AQ5"/>
          <cell r="AR5"/>
          <cell r="AS5" t="str">
            <v>SERVICE DEPARTMENT (C)</v>
          </cell>
          <cell r="AT5"/>
          <cell r="AU5"/>
          <cell r="AV5"/>
          <cell r="AW5"/>
          <cell r="AX5"/>
          <cell r="AY5"/>
          <cell r="AZ5"/>
          <cell r="BA5"/>
          <cell r="BB5"/>
          <cell r="BC5"/>
          <cell r="BD5"/>
          <cell r="BE5"/>
          <cell r="BF5"/>
          <cell r="BG5"/>
          <cell r="BH5"/>
          <cell r="BI5" t="str">
            <v># RO's</v>
          </cell>
          <cell r="BJ5"/>
          <cell r="BK5"/>
          <cell r="BL5" t="e">
            <v>#REF!</v>
          </cell>
          <cell r="BM5"/>
          <cell r="BN5"/>
          <cell r="BO5"/>
          <cell r="BP5"/>
          <cell r="BQ5"/>
          <cell r="BR5"/>
          <cell r="BS5"/>
          <cell r="BT5"/>
          <cell r="BU5"/>
          <cell r="BV5"/>
          <cell r="BW5"/>
          <cell r="BX5"/>
          <cell r="BY5" t="e">
            <v>#REF!</v>
          </cell>
          <cell r="BZ5"/>
          <cell r="CA5"/>
          <cell r="CB5"/>
          <cell r="CC5"/>
          <cell r="CD5"/>
          <cell r="CE5"/>
          <cell r="CF5"/>
          <cell r="CG5"/>
          <cell r="CH5"/>
          <cell r="CI5"/>
          <cell r="CJ5"/>
          <cell r="CK5"/>
          <cell r="CL5" t="e">
            <v>#REF!</v>
          </cell>
          <cell r="CM5"/>
          <cell r="CN5"/>
          <cell r="CO5"/>
          <cell r="CP5"/>
          <cell r="CQ5" t="str">
            <v>GP%SLS</v>
          </cell>
          <cell r="CR5"/>
          <cell r="CS5"/>
          <cell r="CT5" t="e">
            <v>#REF!</v>
          </cell>
          <cell r="CU5"/>
          <cell r="CV5"/>
          <cell r="CW5"/>
          <cell r="CX5"/>
          <cell r="CY5" t="str">
            <v>1</v>
          </cell>
        </row>
        <row r="6">
          <cell r="B6" t="str">
            <v>2</v>
          </cell>
          <cell r="C6">
            <v>0</v>
          </cell>
          <cell r="D6"/>
          <cell r="E6"/>
          <cell r="F6" t="e">
            <v>#REF!</v>
          </cell>
          <cell r="G6"/>
          <cell r="H6"/>
          <cell r="I6"/>
          <cell r="J6"/>
          <cell r="K6">
            <v>0</v>
          </cell>
          <cell r="L6"/>
          <cell r="M6"/>
          <cell r="N6"/>
          <cell r="O6"/>
          <cell r="P6"/>
          <cell r="Q6"/>
          <cell r="R6"/>
          <cell r="S6" t="e">
            <v>#REF!</v>
          </cell>
          <cell r="T6"/>
          <cell r="U6"/>
          <cell r="V6"/>
          <cell r="W6"/>
          <cell r="X6">
            <v>0</v>
          </cell>
          <cell r="Y6"/>
          <cell r="Z6"/>
          <cell r="AA6"/>
          <cell r="AB6"/>
          <cell r="AC6"/>
          <cell r="AD6"/>
          <cell r="AE6"/>
          <cell r="AF6" t="e">
            <v>#REF!</v>
          </cell>
          <cell r="AG6"/>
          <cell r="AH6"/>
          <cell r="AI6"/>
          <cell r="AJ6"/>
          <cell r="AK6">
            <v>0</v>
          </cell>
          <cell r="AL6"/>
          <cell r="AM6"/>
          <cell r="AN6" t="e">
            <v>#REF!</v>
          </cell>
          <cell r="AO6"/>
          <cell r="AP6"/>
          <cell r="AQ6"/>
          <cell r="AR6"/>
          <cell r="AS6">
            <v>4530</v>
          </cell>
          <cell r="AT6" t="str">
            <v>Cust. Mech. Labor - NCV Vehicles</v>
          </cell>
          <cell r="AU6"/>
          <cell r="AV6"/>
          <cell r="AW6"/>
          <cell r="AX6"/>
          <cell r="AY6"/>
          <cell r="AZ6"/>
          <cell r="BA6"/>
          <cell r="BB6"/>
          <cell r="BC6"/>
          <cell r="BD6"/>
          <cell r="BE6"/>
          <cell r="BF6"/>
          <cell r="BG6"/>
          <cell r="BH6"/>
          <cell r="BI6">
            <v>14</v>
          </cell>
          <cell r="BJ6"/>
          <cell r="BK6"/>
          <cell r="BL6" t="e">
            <v>#REF!</v>
          </cell>
          <cell r="BM6"/>
          <cell r="BN6"/>
          <cell r="BO6"/>
          <cell r="BP6"/>
          <cell r="BQ6">
            <v>3030</v>
          </cell>
          <cell r="BR6"/>
          <cell r="BS6"/>
          <cell r="BT6"/>
          <cell r="BU6"/>
          <cell r="BV6"/>
          <cell r="BW6"/>
          <cell r="BX6"/>
          <cell r="BY6" t="e">
            <v>#REF!</v>
          </cell>
          <cell r="BZ6"/>
          <cell r="CA6"/>
          <cell r="CB6"/>
          <cell r="CC6"/>
          <cell r="CD6">
            <v>2330</v>
          </cell>
          <cell r="CE6"/>
          <cell r="CF6"/>
          <cell r="CG6"/>
          <cell r="CH6"/>
          <cell r="CI6"/>
          <cell r="CJ6"/>
          <cell r="CK6"/>
          <cell r="CL6" t="e">
            <v>#REF!</v>
          </cell>
          <cell r="CM6"/>
          <cell r="CN6"/>
          <cell r="CO6"/>
          <cell r="CP6"/>
          <cell r="CQ6">
            <v>76.900000000000006</v>
          </cell>
          <cell r="CR6"/>
          <cell r="CS6"/>
          <cell r="CT6" t="e">
            <v>#REF!</v>
          </cell>
          <cell r="CU6"/>
          <cell r="CV6"/>
          <cell r="CW6"/>
          <cell r="CX6"/>
          <cell r="CY6" t="str">
            <v>2</v>
          </cell>
        </row>
        <row r="7">
          <cell r="B7" t="str">
            <v>3</v>
          </cell>
          <cell r="C7">
            <v>0</v>
          </cell>
          <cell r="D7"/>
          <cell r="E7"/>
          <cell r="F7" t="e">
            <v>#REF!</v>
          </cell>
          <cell r="G7"/>
          <cell r="H7"/>
          <cell r="I7"/>
          <cell r="J7"/>
          <cell r="K7">
            <v>0</v>
          </cell>
          <cell r="L7"/>
          <cell r="M7"/>
          <cell r="N7"/>
          <cell r="O7"/>
          <cell r="P7"/>
          <cell r="Q7"/>
          <cell r="R7"/>
          <cell r="S7" t="e">
            <v>#REF!</v>
          </cell>
          <cell r="T7"/>
          <cell r="U7"/>
          <cell r="V7"/>
          <cell r="W7"/>
          <cell r="X7">
            <v>0</v>
          </cell>
          <cell r="Y7"/>
          <cell r="Z7"/>
          <cell r="AA7"/>
          <cell r="AB7"/>
          <cell r="AC7"/>
          <cell r="AD7"/>
          <cell r="AE7"/>
          <cell r="AF7" t="e">
            <v>#REF!</v>
          </cell>
          <cell r="AG7"/>
          <cell r="AH7"/>
          <cell r="AI7"/>
          <cell r="AJ7"/>
          <cell r="AK7">
            <v>0</v>
          </cell>
          <cell r="AL7"/>
          <cell r="AM7"/>
          <cell r="AN7" t="e">
            <v>#REF!</v>
          </cell>
          <cell r="AO7"/>
          <cell r="AP7"/>
          <cell r="AQ7"/>
          <cell r="AR7"/>
          <cell r="AS7">
            <v>4532</v>
          </cell>
          <cell r="AT7" t="str">
            <v>Express Service - Labor - NCV Vehicles</v>
          </cell>
          <cell r="AU7"/>
          <cell r="AV7"/>
          <cell r="AW7"/>
          <cell r="AX7"/>
          <cell r="AY7"/>
          <cell r="AZ7"/>
          <cell r="BA7"/>
          <cell r="BB7"/>
          <cell r="BC7"/>
          <cell r="BD7"/>
          <cell r="BE7"/>
          <cell r="BF7"/>
          <cell r="BG7"/>
          <cell r="BH7"/>
          <cell r="BI7">
            <v>0</v>
          </cell>
          <cell r="BJ7"/>
          <cell r="BK7"/>
          <cell r="BL7" t="e">
            <v>#REF!</v>
          </cell>
          <cell r="BM7"/>
          <cell r="BN7"/>
          <cell r="BO7"/>
          <cell r="BP7"/>
          <cell r="BQ7">
            <v>0</v>
          </cell>
          <cell r="BR7"/>
          <cell r="BS7"/>
          <cell r="BT7"/>
          <cell r="BU7"/>
          <cell r="BV7"/>
          <cell r="BW7"/>
          <cell r="BX7"/>
          <cell r="BY7" t="e">
            <v>#REF!</v>
          </cell>
          <cell r="BZ7"/>
          <cell r="CA7"/>
          <cell r="CB7"/>
          <cell r="CC7"/>
          <cell r="CD7">
            <v>0</v>
          </cell>
          <cell r="CE7"/>
          <cell r="CF7"/>
          <cell r="CG7"/>
          <cell r="CH7"/>
          <cell r="CI7"/>
          <cell r="CJ7"/>
          <cell r="CK7"/>
          <cell r="CL7" t="e">
            <v>#REF!</v>
          </cell>
          <cell r="CM7"/>
          <cell r="CN7"/>
          <cell r="CO7"/>
          <cell r="CP7"/>
          <cell r="CQ7">
            <v>0</v>
          </cell>
          <cell r="CR7"/>
          <cell r="CS7"/>
          <cell r="CT7" t="e">
            <v>#REF!</v>
          </cell>
          <cell r="CU7"/>
          <cell r="CV7"/>
          <cell r="CW7"/>
          <cell r="CX7"/>
          <cell r="CY7" t="str">
            <v>3</v>
          </cell>
        </row>
        <row r="8">
          <cell r="B8" t="str">
            <v>4</v>
          </cell>
          <cell r="C8">
            <v>0</v>
          </cell>
          <cell r="D8"/>
          <cell r="E8"/>
          <cell r="F8" t="e">
            <v>#REF!</v>
          </cell>
          <cell r="G8"/>
          <cell r="H8"/>
          <cell r="I8"/>
          <cell r="J8"/>
          <cell r="K8">
            <v>0</v>
          </cell>
          <cell r="L8"/>
          <cell r="M8"/>
          <cell r="N8"/>
          <cell r="O8"/>
          <cell r="P8"/>
          <cell r="Q8"/>
          <cell r="R8"/>
          <cell r="S8" t="e">
            <v>#REF!</v>
          </cell>
          <cell r="T8"/>
          <cell r="U8"/>
          <cell r="V8"/>
          <cell r="W8"/>
          <cell r="X8">
            <v>0</v>
          </cell>
          <cell r="Y8"/>
          <cell r="Z8"/>
          <cell r="AA8"/>
          <cell r="AB8"/>
          <cell r="AC8"/>
          <cell r="AD8"/>
          <cell r="AE8"/>
          <cell r="AF8" t="e">
            <v>#REF!</v>
          </cell>
          <cell r="AG8"/>
          <cell r="AH8"/>
          <cell r="AI8"/>
          <cell r="AJ8"/>
          <cell r="AK8">
            <v>0</v>
          </cell>
          <cell r="AL8"/>
          <cell r="AM8"/>
          <cell r="AN8" t="e">
            <v>#REF!</v>
          </cell>
          <cell r="AO8"/>
          <cell r="AP8"/>
          <cell r="AQ8"/>
          <cell r="AR8"/>
          <cell r="AS8">
            <v>4534</v>
          </cell>
          <cell r="AT8" t="str">
            <v>Service / Maint. Contract - Labor - NCV Vehicles</v>
          </cell>
          <cell r="AU8"/>
          <cell r="AV8"/>
          <cell r="AW8"/>
          <cell r="AX8"/>
          <cell r="AY8"/>
          <cell r="AZ8"/>
          <cell r="BA8"/>
          <cell r="BB8"/>
          <cell r="BC8"/>
          <cell r="BD8"/>
          <cell r="BE8"/>
          <cell r="BF8"/>
          <cell r="BG8"/>
          <cell r="BH8"/>
          <cell r="BI8">
            <v>0</v>
          </cell>
          <cell r="BJ8"/>
          <cell r="BK8"/>
          <cell r="BL8" t="e">
            <v>#REF!</v>
          </cell>
          <cell r="BM8"/>
          <cell r="BN8"/>
          <cell r="BO8"/>
          <cell r="BP8"/>
          <cell r="BQ8">
            <v>0</v>
          </cell>
          <cell r="BR8"/>
          <cell r="BS8"/>
          <cell r="BT8"/>
          <cell r="BU8"/>
          <cell r="BV8"/>
          <cell r="BW8"/>
          <cell r="BX8"/>
          <cell r="BY8" t="e">
            <v>#REF!</v>
          </cell>
          <cell r="BZ8"/>
          <cell r="CA8"/>
          <cell r="CB8"/>
          <cell r="CC8"/>
          <cell r="CD8">
            <v>0</v>
          </cell>
          <cell r="CE8"/>
          <cell r="CF8"/>
          <cell r="CG8"/>
          <cell r="CH8"/>
          <cell r="CI8"/>
          <cell r="CJ8"/>
          <cell r="CK8"/>
          <cell r="CL8" t="e">
            <v>#REF!</v>
          </cell>
          <cell r="CM8"/>
          <cell r="CN8"/>
          <cell r="CO8"/>
          <cell r="CP8"/>
          <cell r="CQ8">
            <v>0</v>
          </cell>
          <cell r="CR8"/>
          <cell r="CS8"/>
          <cell r="CT8" t="e">
            <v>#REF!</v>
          </cell>
          <cell r="CU8"/>
          <cell r="CV8"/>
          <cell r="CW8"/>
          <cell r="CX8"/>
          <cell r="CY8" t="str">
            <v>4</v>
          </cell>
        </row>
        <row r="9">
          <cell r="B9" t="str">
            <v>5</v>
          </cell>
          <cell r="C9">
            <v>0</v>
          </cell>
          <cell r="D9"/>
          <cell r="E9"/>
          <cell r="F9" t="e">
            <v>#REF!</v>
          </cell>
          <cell r="G9"/>
          <cell r="H9"/>
          <cell r="I9"/>
          <cell r="J9"/>
          <cell r="K9">
            <v>0</v>
          </cell>
          <cell r="L9"/>
          <cell r="M9"/>
          <cell r="N9"/>
          <cell r="O9"/>
          <cell r="P9"/>
          <cell r="Q9"/>
          <cell r="R9"/>
          <cell r="S9" t="e">
            <v>#REF!</v>
          </cell>
          <cell r="T9"/>
          <cell r="U9"/>
          <cell r="V9"/>
          <cell r="W9"/>
          <cell r="X9">
            <v>0</v>
          </cell>
          <cell r="Y9"/>
          <cell r="Z9"/>
          <cell r="AA9"/>
          <cell r="AB9"/>
          <cell r="AC9"/>
          <cell r="AD9"/>
          <cell r="AE9"/>
          <cell r="AF9" t="e">
            <v>#REF!</v>
          </cell>
          <cell r="AG9"/>
          <cell r="AH9"/>
          <cell r="AI9"/>
          <cell r="AJ9"/>
          <cell r="AK9">
            <v>0</v>
          </cell>
          <cell r="AL9"/>
          <cell r="AM9"/>
          <cell r="AN9" t="e">
            <v>#REF!</v>
          </cell>
          <cell r="AO9"/>
          <cell r="AP9"/>
          <cell r="AQ9"/>
          <cell r="AR9"/>
          <cell r="AS9">
            <v>4548</v>
          </cell>
          <cell r="AT9" t="str">
            <v>Warranty Mech. Labor - NCV Vehicles</v>
          </cell>
          <cell r="AU9"/>
          <cell r="AV9"/>
          <cell r="AW9"/>
          <cell r="AX9"/>
          <cell r="AY9"/>
          <cell r="AZ9"/>
          <cell r="BA9"/>
          <cell r="BB9"/>
          <cell r="BC9"/>
          <cell r="BD9"/>
          <cell r="BE9"/>
          <cell r="BF9"/>
          <cell r="BG9"/>
          <cell r="BH9"/>
          <cell r="BI9">
            <v>5</v>
          </cell>
          <cell r="BJ9"/>
          <cell r="BK9"/>
          <cell r="BL9" t="e">
            <v>#REF!</v>
          </cell>
          <cell r="BM9"/>
          <cell r="BN9"/>
          <cell r="BO9"/>
          <cell r="BP9"/>
          <cell r="BQ9">
            <v>902</v>
          </cell>
          <cell r="BR9"/>
          <cell r="BS9"/>
          <cell r="BT9"/>
          <cell r="BU9"/>
          <cell r="BV9"/>
          <cell r="BW9"/>
          <cell r="BX9"/>
          <cell r="BY9" t="e">
            <v>#REF!</v>
          </cell>
          <cell r="BZ9"/>
          <cell r="CA9"/>
          <cell r="CB9"/>
          <cell r="CC9"/>
          <cell r="CD9">
            <v>662</v>
          </cell>
          <cell r="CE9"/>
          <cell r="CF9"/>
          <cell r="CG9"/>
          <cell r="CH9"/>
          <cell r="CI9"/>
          <cell r="CJ9"/>
          <cell r="CK9"/>
          <cell r="CL9" t="e">
            <v>#REF!</v>
          </cell>
          <cell r="CM9"/>
          <cell r="CN9"/>
          <cell r="CO9"/>
          <cell r="CP9"/>
          <cell r="CQ9">
            <v>73.400000000000006</v>
          </cell>
          <cell r="CR9"/>
          <cell r="CS9"/>
          <cell r="CT9" t="e">
            <v>#REF!</v>
          </cell>
          <cell r="CU9"/>
          <cell r="CV9"/>
          <cell r="CW9"/>
          <cell r="CX9"/>
          <cell r="CY9" t="str">
            <v>5</v>
          </cell>
        </row>
        <row r="10">
          <cell r="B10" t="str">
            <v>6</v>
          </cell>
          <cell r="C10">
            <v>0</v>
          </cell>
          <cell r="D10"/>
          <cell r="E10"/>
          <cell r="F10" t="e">
            <v>#REF!</v>
          </cell>
          <cell r="G10"/>
          <cell r="H10"/>
          <cell r="I10"/>
          <cell r="J10"/>
          <cell r="K10">
            <v>0</v>
          </cell>
          <cell r="L10"/>
          <cell r="M10"/>
          <cell r="N10"/>
          <cell r="O10"/>
          <cell r="P10"/>
          <cell r="Q10"/>
          <cell r="R10"/>
          <cell r="S10" t="e">
            <v>#REF!</v>
          </cell>
          <cell r="T10"/>
          <cell r="U10"/>
          <cell r="V10"/>
          <cell r="W10"/>
          <cell r="X10">
            <v>0</v>
          </cell>
          <cell r="Y10"/>
          <cell r="Z10"/>
          <cell r="AA10"/>
          <cell r="AB10"/>
          <cell r="AC10"/>
          <cell r="AD10"/>
          <cell r="AE10"/>
          <cell r="AF10" t="e">
            <v>#REF!</v>
          </cell>
          <cell r="AG10"/>
          <cell r="AH10"/>
          <cell r="AI10"/>
          <cell r="AJ10"/>
          <cell r="AK10">
            <v>0</v>
          </cell>
          <cell r="AL10"/>
          <cell r="AM10"/>
          <cell r="AN10" t="e">
            <v>#REF!</v>
          </cell>
          <cell r="AO10"/>
          <cell r="AP10"/>
          <cell r="AQ10"/>
          <cell r="AR10"/>
          <cell r="AS10">
            <v>4558</v>
          </cell>
          <cell r="AT10" t="str">
            <v>Internal Mech. Labor - NCV Vehicles</v>
          </cell>
          <cell r="AU10"/>
          <cell r="AV10"/>
          <cell r="AW10"/>
          <cell r="AX10"/>
          <cell r="AY10"/>
          <cell r="AZ10"/>
          <cell r="BA10"/>
          <cell r="BB10"/>
          <cell r="BC10"/>
          <cell r="BD10"/>
          <cell r="BE10"/>
          <cell r="BF10"/>
          <cell r="BG10"/>
          <cell r="BH10"/>
          <cell r="BI10">
            <v>1</v>
          </cell>
          <cell r="BJ10"/>
          <cell r="BK10"/>
          <cell r="BL10" t="e">
            <v>#REF!</v>
          </cell>
          <cell r="BM10"/>
          <cell r="BN10"/>
          <cell r="BO10"/>
          <cell r="BP10"/>
          <cell r="BQ10">
            <v>300</v>
          </cell>
          <cell r="BR10"/>
          <cell r="BS10"/>
          <cell r="BT10"/>
          <cell r="BU10"/>
          <cell r="BV10"/>
          <cell r="BW10"/>
          <cell r="BX10"/>
          <cell r="BY10" t="e">
            <v>#REF!</v>
          </cell>
          <cell r="BZ10"/>
          <cell r="CA10"/>
          <cell r="CB10"/>
          <cell r="CC10"/>
          <cell r="CD10">
            <v>237</v>
          </cell>
          <cell r="CE10"/>
          <cell r="CF10"/>
          <cell r="CG10"/>
          <cell r="CH10"/>
          <cell r="CI10"/>
          <cell r="CJ10"/>
          <cell r="CK10"/>
          <cell r="CL10" t="e">
            <v>#REF!</v>
          </cell>
          <cell r="CM10"/>
          <cell r="CN10"/>
          <cell r="CO10"/>
          <cell r="CP10"/>
          <cell r="CQ10">
            <v>79</v>
          </cell>
          <cell r="CR10"/>
          <cell r="CS10"/>
          <cell r="CT10" t="e">
            <v>#REF!</v>
          </cell>
          <cell r="CU10"/>
          <cell r="CV10"/>
          <cell r="CW10"/>
          <cell r="CX10"/>
          <cell r="CY10" t="str">
            <v>6</v>
          </cell>
        </row>
        <row r="11">
          <cell r="B11" t="str">
            <v>7</v>
          </cell>
          <cell r="C11">
            <v>0</v>
          </cell>
          <cell r="D11"/>
          <cell r="E11"/>
          <cell r="F11" t="e">
            <v>#REF!</v>
          </cell>
          <cell r="G11"/>
          <cell r="H11"/>
          <cell r="I11"/>
          <cell r="J11"/>
          <cell r="K11">
            <v>0</v>
          </cell>
          <cell r="L11"/>
          <cell r="M11"/>
          <cell r="N11"/>
          <cell r="O11"/>
          <cell r="P11"/>
          <cell r="Q11"/>
          <cell r="R11"/>
          <cell r="S11" t="e">
            <v>#REF!</v>
          </cell>
          <cell r="T11"/>
          <cell r="U11"/>
          <cell r="V11"/>
          <cell r="W11"/>
          <cell r="X11">
            <v>0</v>
          </cell>
          <cell r="Y11"/>
          <cell r="Z11"/>
          <cell r="AA11"/>
          <cell r="AB11"/>
          <cell r="AC11"/>
          <cell r="AD11"/>
          <cell r="AE11"/>
          <cell r="AF11" t="e">
            <v>#REF!</v>
          </cell>
          <cell r="AG11"/>
          <cell r="AH11"/>
          <cell r="AI11"/>
          <cell r="AJ11"/>
          <cell r="AK11">
            <v>0</v>
          </cell>
          <cell r="AL11"/>
          <cell r="AM11"/>
          <cell r="AN11" t="e">
            <v>#REF!</v>
          </cell>
          <cell r="AO11"/>
          <cell r="AP11"/>
          <cell r="AQ11"/>
          <cell r="AR11"/>
          <cell r="AS11"/>
          <cell r="AT11" t="str">
            <v>SUBTOTAL - NCV MECH. LABOR</v>
          </cell>
          <cell r="AU11"/>
          <cell r="AV11"/>
          <cell r="AW11"/>
          <cell r="AX11"/>
          <cell r="AY11"/>
          <cell r="AZ11"/>
          <cell r="BA11"/>
          <cell r="BB11"/>
          <cell r="BC11"/>
          <cell r="BD11"/>
          <cell r="BE11"/>
          <cell r="BF11"/>
          <cell r="BG11"/>
          <cell r="BH11" t="str">
            <v xml:space="preserve">(Lines 2 to 6) </v>
          </cell>
          <cell r="BI11">
            <v>20</v>
          </cell>
          <cell r="BJ11"/>
          <cell r="BK11"/>
          <cell r="BL11" t="e">
            <v>#REF!</v>
          </cell>
          <cell r="BM11"/>
          <cell r="BN11"/>
          <cell r="BO11"/>
          <cell r="BP11"/>
          <cell r="BQ11">
            <v>4232</v>
          </cell>
          <cell r="BR11"/>
          <cell r="BS11"/>
          <cell r="BT11"/>
          <cell r="BU11"/>
          <cell r="BV11"/>
          <cell r="BW11"/>
          <cell r="BX11"/>
          <cell r="BY11" t="e">
            <v>#REF!</v>
          </cell>
          <cell r="BZ11"/>
          <cell r="CA11"/>
          <cell r="CB11"/>
          <cell r="CC11"/>
          <cell r="CD11">
            <v>3229</v>
          </cell>
          <cell r="CE11"/>
          <cell r="CF11"/>
          <cell r="CG11"/>
          <cell r="CH11"/>
          <cell r="CI11"/>
          <cell r="CJ11"/>
          <cell r="CK11"/>
          <cell r="CL11" t="e">
            <v>#REF!</v>
          </cell>
          <cell r="CM11"/>
          <cell r="CN11"/>
          <cell r="CO11"/>
          <cell r="CP11"/>
          <cell r="CQ11">
            <v>76.3</v>
          </cell>
          <cell r="CR11"/>
          <cell r="CS11"/>
          <cell r="CT11" t="e">
            <v>#REF!</v>
          </cell>
          <cell r="CU11"/>
          <cell r="CV11"/>
          <cell r="CW11"/>
          <cell r="CX11"/>
          <cell r="CY11" t="str">
            <v>7</v>
          </cell>
        </row>
        <row r="12">
          <cell r="B12" t="str">
            <v>8</v>
          </cell>
          <cell r="C12">
            <v>0</v>
          </cell>
          <cell r="D12"/>
          <cell r="E12"/>
          <cell r="F12" t="e">
            <v>#REF!</v>
          </cell>
          <cell r="G12"/>
          <cell r="H12"/>
          <cell r="I12"/>
          <cell r="J12"/>
          <cell r="K12">
            <v>0</v>
          </cell>
          <cell r="L12"/>
          <cell r="M12"/>
          <cell r="N12"/>
          <cell r="O12"/>
          <cell r="P12"/>
          <cell r="Q12"/>
          <cell r="R12"/>
          <cell r="S12" t="e">
            <v>#REF!</v>
          </cell>
          <cell r="T12"/>
          <cell r="U12"/>
          <cell r="V12"/>
          <cell r="W12"/>
          <cell r="X12">
            <v>0</v>
          </cell>
          <cell r="Y12"/>
          <cell r="Z12"/>
          <cell r="AA12"/>
          <cell r="AB12"/>
          <cell r="AC12"/>
          <cell r="AD12"/>
          <cell r="AE12"/>
          <cell r="AF12" t="e">
            <v>#REF!</v>
          </cell>
          <cell r="AG12"/>
          <cell r="AH12"/>
          <cell r="AI12"/>
          <cell r="AJ12"/>
          <cell r="AK12">
            <v>0</v>
          </cell>
          <cell r="AL12"/>
          <cell r="AM12"/>
          <cell r="AN12" t="e">
            <v>#REF!</v>
          </cell>
          <cell r="AO12"/>
          <cell r="AP12"/>
          <cell r="AQ12"/>
          <cell r="AR12"/>
          <cell r="AS12">
            <v>4510</v>
          </cell>
          <cell r="AT12" t="str">
            <v>Cust. Mech. Labor - Other Makes Vehicles</v>
          </cell>
          <cell r="AU12"/>
          <cell r="AV12"/>
          <cell r="AW12"/>
          <cell r="AX12"/>
          <cell r="AY12"/>
          <cell r="AZ12"/>
          <cell r="BA12"/>
          <cell r="BB12"/>
          <cell r="BC12"/>
          <cell r="BD12"/>
          <cell r="BE12"/>
          <cell r="BF12"/>
          <cell r="BG12"/>
          <cell r="BH12"/>
          <cell r="BI12">
            <v>1</v>
          </cell>
          <cell r="BJ12"/>
          <cell r="BK12"/>
          <cell r="BL12" t="e">
            <v>#REF!</v>
          </cell>
          <cell r="BM12"/>
          <cell r="BN12"/>
          <cell r="BO12"/>
          <cell r="BP12"/>
          <cell r="BQ12">
            <v>1229</v>
          </cell>
          <cell r="BR12"/>
          <cell r="BS12"/>
          <cell r="BT12"/>
          <cell r="BU12"/>
          <cell r="BV12"/>
          <cell r="BW12"/>
          <cell r="BX12"/>
          <cell r="BY12" t="e">
            <v>#REF!</v>
          </cell>
          <cell r="BZ12"/>
          <cell r="CA12"/>
          <cell r="CB12"/>
          <cell r="CC12"/>
          <cell r="CD12">
            <v>1005</v>
          </cell>
          <cell r="CE12"/>
          <cell r="CF12"/>
          <cell r="CG12"/>
          <cell r="CH12"/>
          <cell r="CI12"/>
          <cell r="CJ12"/>
          <cell r="CK12"/>
          <cell r="CL12" t="e">
            <v>#REF!</v>
          </cell>
          <cell r="CM12"/>
          <cell r="CN12"/>
          <cell r="CO12"/>
          <cell r="CP12"/>
          <cell r="CQ12">
            <v>81.8</v>
          </cell>
          <cell r="CR12"/>
          <cell r="CS12"/>
          <cell r="CT12" t="e">
            <v>#REF!</v>
          </cell>
          <cell r="CU12"/>
          <cell r="CV12"/>
          <cell r="CW12"/>
          <cell r="CX12"/>
          <cell r="CY12" t="str">
            <v>8</v>
          </cell>
        </row>
        <row r="13">
          <cell r="B13" t="str">
            <v>9</v>
          </cell>
          <cell r="C13">
            <v>0</v>
          </cell>
          <cell r="D13"/>
          <cell r="E13"/>
          <cell r="F13" t="e">
            <v>#REF!</v>
          </cell>
          <cell r="G13"/>
          <cell r="H13"/>
          <cell r="I13"/>
          <cell r="J13"/>
          <cell r="K13">
            <v>0</v>
          </cell>
          <cell r="L13"/>
          <cell r="M13"/>
          <cell r="N13"/>
          <cell r="O13"/>
          <cell r="P13"/>
          <cell r="Q13"/>
          <cell r="R13"/>
          <cell r="S13" t="e">
            <v>#REF!</v>
          </cell>
          <cell r="T13"/>
          <cell r="U13"/>
          <cell r="V13"/>
          <cell r="W13"/>
          <cell r="X13">
            <v>0</v>
          </cell>
          <cell r="Y13"/>
          <cell r="Z13"/>
          <cell r="AA13"/>
          <cell r="AB13"/>
          <cell r="AC13"/>
          <cell r="AD13"/>
          <cell r="AE13"/>
          <cell r="AF13" t="e">
            <v>#REF!</v>
          </cell>
          <cell r="AG13"/>
          <cell r="AH13"/>
          <cell r="AI13"/>
          <cell r="AJ13"/>
          <cell r="AK13">
            <v>0</v>
          </cell>
          <cell r="AL13"/>
          <cell r="AM13"/>
          <cell r="AN13" t="e">
            <v>#REF!</v>
          </cell>
          <cell r="AO13"/>
          <cell r="AP13"/>
          <cell r="AQ13"/>
          <cell r="AR13"/>
          <cell r="AS13">
            <v>4512</v>
          </cell>
          <cell r="AT13" t="str">
            <v>Express Service Labor - Other Makes Vehicles</v>
          </cell>
          <cell r="AU13"/>
          <cell r="AV13"/>
          <cell r="AW13"/>
          <cell r="AX13"/>
          <cell r="AY13"/>
          <cell r="AZ13"/>
          <cell r="BA13"/>
          <cell r="BB13"/>
          <cell r="BC13"/>
          <cell r="BD13"/>
          <cell r="BE13"/>
          <cell r="BF13"/>
          <cell r="BG13"/>
          <cell r="BH13"/>
          <cell r="BI13">
            <v>0</v>
          </cell>
          <cell r="BJ13"/>
          <cell r="BK13"/>
          <cell r="BL13" t="e">
            <v>#REF!</v>
          </cell>
          <cell r="BM13"/>
          <cell r="BN13"/>
          <cell r="BO13"/>
          <cell r="BP13"/>
          <cell r="BQ13">
            <v>0</v>
          </cell>
          <cell r="BR13"/>
          <cell r="BS13"/>
          <cell r="BT13"/>
          <cell r="BU13"/>
          <cell r="BV13"/>
          <cell r="BW13"/>
          <cell r="BX13"/>
          <cell r="BY13" t="e">
            <v>#REF!</v>
          </cell>
          <cell r="BZ13"/>
          <cell r="CA13"/>
          <cell r="CB13"/>
          <cell r="CC13"/>
          <cell r="CD13">
            <v>0</v>
          </cell>
          <cell r="CE13"/>
          <cell r="CF13"/>
          <cell r="CG13"/>
          <cell r="CH13"/>
          <cell r="CI13"/>
          <cell r="CJ13"/>
          <cell r="CK13"/>
          <cell r="CL13" t="e">
            <v>#REF!</v>
          </cell>
          <cell r="CM13"/>
          <cell r="CN13"/>
          <cell r="CO13"/>
          <cell r="CP13"/>
          <cell r="CQ13">
            <v>0</v>
          </cell>
          <cell r="CR13"/>
          <cell r="CS13"/>
          <cell r="CT13" t="e">
            <v>#REF!</v>
          </cell>
          <cell r="CU13"/>
          <cell r="CV13"/>
          <cell r="CW13"/>
          <cell r="CX13"/>
          <cell r="CY13" t="str">
            <v>9</v>
          </cell>
        </row>
        <row r="14">
          <cell r="B14" t="str">
            <v>10</v>
          </cell>
          <cell r="C14">
            <v>0</v>
          </cell>
          <cell r="D14"/>
          <cell r="E14"/>
          <cell r="F14" t="e">
            <v>#REF!</v>
          </cell>
          <cell r="G14"/>
          <cell r="H14"/>
          <cell r="I14"/>
          <cell r="J14"/>
          <cell r="K14">
            <v>0</v>
          </cell>
          <cell r="L14"/>
          <cell r="M14"/>
          <cell r="N14"/>
          <cell r="O14"/>
          <cell r="P14"/>
          <cell r="Q14"/>
          <cell r="R14"/>
          <cell r="S14" t="e">
            <v>#REF!</v>
          </cell>
          <cell r="T14"/>
          <cell r="U14"/>
          <cell r="V14"/>
          <cell r="W14"/>
          <cell r="X14">
            <v>0</v>
          </cell>
          <cell r="Y14"/>
          <cell r="Z14"/>
          <cell r="AA14"/>
          <cell r="AB14"/>
          <cell r="AC14"/>
          <cell r="AD14"/>
          <cell r="AE14"/>
          <cell r="AF14" t="e">
            <v>#REF!</v>
          </cell>
          <cell r="AG14"/>
          <cell r="AH14"/>
          <cell r="AI14"/>
          <cell r="AJ14"/>
          <cell r="AK14">
            <v>0</v>
          </cell>
          <cell r="AL14"/>
          <cell r="AM14"/>
          <cell r="AN14" t="e">
            <v>#REF!</v>
          </cell>
          <cell r="AO14"/>
          <cell r="AP14"/>
          <cell r="AQ14"/>
          <cell r="AR14"/>
          <cell r="AS14">
            <v>4544</v>
          </cell>
          <cell r="AT14" t="str">
            <v>Service / Maint. Contract Labor - Other Makes Vehicles</v>
          </cell>
          <cell r="AU14"/>
          <cell r="AV14"/>
          <cell r="AW14"/>
          <cell r="AX14"/>
          <cell r="AY14"/>
          <cell r="AZ14"/>
          <cell r="BA14"/>
          <cell r="BB14"/>
          <cell r="BC14"/>
          <cell r="BD14"/>
          <cell r="BE14"/>
          <cell r="BF14"/>
          <cell r="BG14"/>
          <cell r="BH14"/>
          <cell r="BI14">
            <v>0</v>
          </cell>
          <cell r="BJ14"/>
          <cell r="BK14"/>
          <cell r="BL14" t="e">
            <v>#REF!</v>
          </cell>
          <cell r="BM14"/>
          <cell r="BN14"/>
          <cell r="BO14"/>
          <cell r="BP14"/>
          <cell r="BQ14">
            <v>0</v>
          </cell>
          <cell r="BR14"/>
          <cell r="BS14"/>
          <cell r="BT14"/>
          <cell r="BU14"/>
          <cell r="BV14"/>
          <cell r="BW14"/>
          <cell r="BX14"/>
          <cell r="BY14" t="e">
            <v>#REF!</v>
          </cell>
          <cell r="BZ14"/>
          <cell r="CA14"/>
          <cell r="CB14"/>
          <cell r="CC14"/>
          <cell r="CD14">
            <v>0</v>
          </cell>
          <cell r="CE14"/>
          <cell r="CF14"/>
          <cell r="CG14"/>
          <cell r="CH14"/>
          <cell r="CI14"/>
          <cell r="CJ14"/>
          <cell r="CK14"/>
          <cell r="CL14" t="e">
            <v>#REF!</v>
          </cell>
          <cell r="CM14"/>
          <cell r="CN14"/>
          <cell r="CO14"/>
          <cell r="CP14"/>
          <cell r="CQ14">
            <v>0</v>
          </cell>
          <cell r="CR14"/>
          <cell r="CS14"/>
          <cell r="CT14" t="e">
            <v>#REF!</v>
          </cell>
          <cell r="CU14"/>
          <cell r="CV14"/>
          <cell r="CW14"/>
          <cell r="CX14"/>
          <cell r="CY14" t="str">
            <v>10</v>
          </cell>
        </row>
        <row r="15">
          <cell r="B15" t="str">
            <v>11</v>
          </cell>
          <cell r="C15">
            <v>0</v>
          </cell>
          <cell r="D15"/>
          <cell r="E15"/>
          <cell r="F15" t="e">
            <v>#REF!</v>
          </cell>
          <cell r="G15"/>
          <cell r="H15"/>
          <cell r="I15"/>
          <cell r="J15"/>
          <cell r="K15">
            <v>0</v>
          </cell>
          <cell r="L15"/>
          <cell r="M15"/>
          <cell r="N15"/>
          <cell r="O15"/>
          <cell r="P15"/>
          <cell r="Q15"/>
          <cell r="R15"/>
          <cell r="S15" t="e">
            <v>#REF!</v>
          </cell>
          <cell r="T15"/>
          <cell r="U15"/>
          <cell r="V15"/>
          <cell r="W15"/>
          <cell r="X15">
            <v>0</v>
          </cell>
          <cell r="Y15"/>
          <cell r="Z15"/>
          <cell r="AA15"/>
          <cell r="AB15"/>
          <cell r="AC15"/>
          <cell r="AD15"/>
          <cell r="AE15"/>
          <cell r="AF15" t="e">
            <v>#REF!</v>
          </cell>
          <cell r="AG15"/>
          <cell r="AH15"/>
          <cell r="AI15"/>
          <cell r="AJ15"/>
          <cell r="AK15">
            <v>0</v>
          </cell>
          <cell r="AL15"/>
          <cell r="AM15"/>
          <cell r="AN15" t="e">
            <v>#REF!</v>
          </cell>
          <cell r="AO15"/>
          <cell r="AP15"/>
          <cell r="AQ15"/>
          <cell r="AR15"/>
          <cell r="AS15">
            <v>4545</v>
          </cell>
          <cell r="AT15" t="str">
            <v>Warranty Mech. Labor - Other Makes Vehicles</v>
          </cell>
          <cell r="AU15"/>
          <cell r="AV15"/>
          <cell r="AW15"/>
          <cell r="AX15"/>
          <cell r="AY15"/>
          <cell r="AZ15"/>
          <cell r="BA15"/>
          <cell r="BB15"/>
          <cell r="BC15"/>
          <cell r="BD15"/>
          <cell r="BE15"/>
          <cell r="BF15"/>
          <cell r="BG15"/>
          <cell r="BH15"/>
          <cell r="BI15">
            <v>0</v>
          </cell>
          <cell r="BJ15"/>
          <cell r="BK15"/>
          <cell r="BL15" t="e">
            <v>#REF!</v>
          </cell>
          <cell r="BM15"/>
          <cell r="BN15"/>
          <cell r="BO15"/>
          <cell r="BP15"/>
          <cell r="BQ15">
            <v>0</v>
          </cell>
          <cell r="BR15"/>
          <cell r="BS15"/>
          <cell r="BT15"/>
          <cell r="BU15"/>
          <cell r="BV15"/>
          <cell r="BW15"/>
          <cell r="BX15"/>
          <cell r="BY15" t="e">
            <v>#REF!</v>
          </cell>
          <cell r="BZ15"/>
          <cell r="CA15"/>
          <cell r="CB15"/>
          <cell r="CC15"/>
          <cell r="CD15">
            <v>0</v>
          </cell>
          <cell r="CE15"/>
          <cell r="CF15"/>
          <cell r="CG15"/>
          <cell r="CH15"/>
          <cell r="CI15"/>
          <cell r="CJ15"/>
          <cell r="CK15"/>
          <cell r="CL15" t="e">
            <v>#REF!</v>
          </cell>
          <cell r="CM15"/>
          <cell r="CN15"/>
          <cell r="CO15"/>
          <cell r="CP15"/>
          <cell r="CQ15">
            <v>0</v>
          </cell>
          <cell r="CR15"/>
          <cell r="CS15"/>
          <cell r="CT15" t="e">
            <v>#REF!</v>
          </cell>
          <cell r="CU15"/>
          <cell r="CV15"/>
          <cell r="CW15"/>
          <cell r="CX15"/>
          <cell r="CY15" t="str">
            <v>11</v>
          </cell>
        </row>
        <row r="16">
          <cell r="B16" t="str">
            <v>12</v>
          </cell>
          <cell r="C16">
            <v>87</v>
          </cell>
          <cell r="D16"/>
          <cell r="E16"/>
          <cell r="F16" t="e">
            <v>#REF!</v>
          </cell>
          <cell r="G16"/>
          <cell r="H16"/>
          <cell r="I16"/>
          <cell r="J16"/>
          <cell r="K16">
            <v>21629</v>
          </cell>
          <cell r="L16"/>
          <cell r="M16"/>
          <cell r="N16"/>
          <cell r="O16"/>
          <cell r="P16"/>
          <cell r="Q16"/>
          <cell r="R16"/>
          <cell r="S16" t="e">
            <v>#REF!</v>
          </cell>
          <cell r="T16"/>
          <cell r="U16"/>
          <cell r="V16"/>
          <cell r="W16"/>
          <cell r="X16">
            <v>1833</v>
          </cell>
          <cell r="Y16"/>
          <cell r="Z16"/>
          <cell r="AA16"/>
          <cell r="AB16"/>
          <cell r="AC16"/>
          <cell r="AD16"/>
          <cell r="AE16"/>
          <cell r="AF16" t="e">
            <v>#REF!</v>
          </cell>
          <cell r="AG16"/>
          <cell r="AH16"/>
          <cell r="AI16"/>
          <cell r="AJ16"/>
          <cell r="AK16">
            <v>8.5</v>
          </cell>
          <cell r="AL16"/>
          <cell r="AM16"/>
          <cell r="AN16" t="e">
            <v>#REF!</v>
          </cell>
          <cell r="AO16"/>
          <cell r="AP16"/>
          <cell r="AQ16"/>
          <cell r="AR16"/>
          <cell r="AS16">
            <v>4555</v>
          </cell>
          <cell r="AT16" t="str">
            <v>Internal Mech. Labor - Other Makes Vehicles</v>
          </cell>
          <cell r="AU16"/>
          <cell r="AV16"/>
          <cell r="AW16"/>
          <cell r="AX16"/>
          <cell r="AY16"/>
          <cell r="AZ16"/>
          <cell r="BA16"/>
          <cell r="BB16"/>
          <cell r="BC16"/>
          <cell r="BD16"/>
          <cell r="BE16"/>
          <cell r="BF16"/>
          <cell r="BG16"/>
          <cell r="BH16"/>
          <cell r="BI16">
            <v>989</v>
          </cell>
          <cell r="BJ16"/>
          <cell r="BK16"/>
          <cell r="BL16" t="e">
            <v>#REF!</v>
          </cell>
          <cell r="BM16"/>
          <cell r="BN16"/>
          <cell r="BO16"/>
          <cell r="BP16"/>
          <cell r="BQ16">
            <v>215353</v>
          </cell>
          <cell r="BR16"/>
          <cell r="BS16"/>
          <cell r="BT16"/>
          <cell r="BU16"/>
          <cell r="BV16"/>
          <cell r="BW16"/>
          <cell r="BX16"/>
          <cell r="BY16" t="e">
            <v>#REF!</v>
          </cell>
          <cell r="BZ16"/>
          <cell r="CA16"/>
          <cell r="CB16"/>
          <cell r="CC16"/>
          <cell r="CD16">
            <v>100350</v>
          </cell>
          <cell r="CE16"/>
          <cell r="CF16"/>
          <cell r="CG16"/>
          <cell r="CH16"/>
          <cell r="CI16"/>
          <cell r="CJ16"/>
          <cell r="CK16"/>
          <cell r="CL16" t="e">
            <v>#REF!</v>
          </cell>
          <cell r="CM16"/>
          <cell r="CN16"/>
          <cell r="CO16"/>
          <cell r="CP16"/>
          <cell r="CQ16">
            <v>46.6</v>
          </cell>
          <cell r="CR16"/>
          <cell r="CS16"/>
          <cell r="CT16" t="e">
            <v>#REF!</v>
          </cell>
          <cell r="CU16"/>
          <cell r="CV16"/>
          <cell r="CW16"/>
          <cell r="CX16"/>
          <cell r="CY16" t="str">
            <v>12</v>
          </cell>
        </row>
        <row r="17">
          <cell r="B17" t="str">
            <v>13</v>
          </cell>
          <cell r="C17">
            <v>87</v>
          </cell>
          <cell r="D17"/>
          <cell r="E17"/>
          <cell r="F17" t="e">
            <v>#REF!</v>
          </cell>
          <cell r="G17"/>
          <cell r="H17"/>
          <cell r="I17"/>
          <cell r="J17"/>
          <cell r="K17">
            <v>21629</v>
          </cell>
          <cell r="L17"/>
          <cell r="M17"/>
          <cell r="N17"/>
          <cell r="O17"/>
          <cell r="P17"/>
          <cell r="Q17"/>
          <cell r="R17"/>
          <cell r="S17" t="e">
            <v>#REF!</v>
          </cell>
          <cell r="T17"/>
          <cell r="U17"/>
          <cell r="V17"/>
          <cell r="W17"/>
          <cell r="X17">
            <v>1833</v>
          </cell>
          <cell r="Y17"/>
          <cell r="Z17"/>
          <cell r="AA17"/>
          <cell r="AB17"/>
          <cell r="AC17"/>
          <cell r="AD17"/>
          <cell r="AE17"/>
          <cell r="AF17" t="e">
            <v>#REF!</v>
          </cell>
          <cell r="AG17"/>
          <cell r="AH17"/>
          <cell r="AI17"/>
          <cell r="AJ17"/>
          <cell r="AK17">
            <v>8.5</v>
          </cell>
          <cell r="AL17"/>
          <cell r="AM17"/>
          <cell r="AN17" t="e">
            <v>#REF!</v>
          </cell>
          <cell r="AO17"/>
          <cell r="AP17"/>
          <cell r="AQ17"/>
          <cell r="AR17"/>
          <cell r="AS17"/>
          <cell r="AT17" t="str">
            <v>SUBTOTAL - OTHER VEHICLE LABOR</v>
          </cell>
          <cell r="AU17"/>
          <cell r="AV17"/>
          <cell r="AW17"/>
          <cell r="AX17"/>
          <cell r="AY17"/>
          <cell r="AZ17"/>
          <cell r="BA17"/>
          <cell r="BB17"/>
          <cell r="BC17"/>
          <cell r="BD17"/>
          <cell r="BE17"/>
          <cell r="BF17"/>
          <cell r="BG17"/>
          <cell r="BH17" t="str">
            <v xml:space="preserve">(Lines 8 to 12) </v>
          </cell>
          <cell r="BI17">
            <v>990</v>
          </cell>
          <cell r="BJ17"/>
          <cell r="BK17"/>
          <cell r="BL17" t="e">
            <v>#REF!</v>
          </cell>
          <cell r="BM17"/>
          <cell r="BN17"/>
          <cell r="BO17"/>
          <cell r="BP17"/>
          <cell r="BQ17">
            <v>216582</v>
          </cell>
          <cell r="BR17"/>
          <cell r="BS17"/>
          <cell r="BT17"/>
          <cell r="BU17"/>
          <cell r="BV17"/>
          <cell r="BW17"/>
          <cell r="BX17"/>
          <cell r="BY17" t="e">
            <v>#REF!</v>
          </cell>
          <cell r="BZ17"/>
          <cell r="CA17"/>
          <cell r="CB17"/>
          <cell r="CC17"/>
          <cell r="CD17">
            <v>101355</v>
          </cell>
          <cell r="CE17"/>
          <cell r="CF17"/>
          <cell r="CG17"/>
          <cell r="CH17"/>
          <cell r="CI17"/>
          <cell r="CJ17"/>
          <cell r="CK17"/>
          <cell r="CL17" t="e">
            <v>#REF!</v>
          </cell>
          <cell r="CM17"/>
          <cell r="CN17"/>
          <cell r="CO17"/>
          <cell r="CP17"/>
          <cell r="CQ17">
            <v>46.8</v>
          </cell>
          <cell r="CR17"/>
          <cell r="CS17"/>
          <cell r="CT17" t="e">
            <v>#REF!</v>
          </cell>
          <cell r="CU17"/>
          <cell r="CV17"/>
          <cell r="CW17"/>
          <cell r="CX17"/>
          <cell r="CY17" t="str">
            <v>13</v>
          </cell>
        </row>
        <row r="18">
          <cell r="B18" t="str">
            <v>14</v>
          </cell>
          <cell r="C18"/>
          <cell r="D18"/>
          <cell r="E18"/>
          <cell r="F18" t="e">
            <v>#REF!</v>
          </cell>
          <cell r="G18"/>
          <cell r="H18"/>
          <cell r="I18"/>
          <cell r="J18"/>
          <cell r="K18">
            <v>22594</v>
          </cell>
          <cell r="L18"/>
          <cell r="M18"/>
          <cell r="N18"/>
          <cell r="O18"/>
          <cell r="P18"/>
          <cell r="Q18"/>
          <cell r="R18"/>
          <cell r="S18" t="e">
            <v>#REF!</v>
          </cell>
          <cell r="T18"/>
          <cell r="U18"/>
          <cell r="V18"/>
          <cell r="W18"/>
          <cell r="X18">
            <v>2941</v>
          </cell>
          <cell r="Y18"/>
          <cell r="Z18"/>
          <cell r="AA18"/>
          <cell r="AB18"/>
          <cell r="AC18"/>
          <cell r="AD18"/>
          <cell r="AE18"/>
          <cell r="AF18" t="e">
            <v>#REF!</v>
          </cell>
          <cell r="AG18"/>
          <cell r="AH18"/>
          <cell r="AI18"/>
          <cell r="AJ18"/>
          <cell r="AK18">
            <v>13</v>
          </cell>
          <cell r="AL18"/>
          <cell r="AM18"/>
          <cell r="AN18" t="e">
            <v>#REF!</v>
          </cell>
          <cell r="AO18"/>
          <cell r="AP18"/>
          <cell r="AQ18"/>
          <cell r="AR18"/>
          <cell r="AS18">
            <v>4560</v>
          </cell>
          <cell r="AT18" t="str">
            <v>Sublet Labor</v>
          </cell>
          <cell r="AU18"/>
          <cell r="AV18"/>
          <cell r="AW18"/>
          <cell r="AX18"/>
          <cell r="AY18"/>
          <cell r="AZ18"/>
          <cell r="BA18"/>
          <cell r="BB18"/>
          <cell r="BC18"/>
          <cell r="BD18"/>
          <cell r="BE18"/>
          <cell r="BF18"/>
          <cell r="BG18"/>
          <cell r="BH18"/>
          <cell r="BI18"/>
          <cell r="BJ18"/>
          <cell r="BK18"/>
          <cell r="BL18" t="e">
            <v>#REF!</v>
          </cell>
          <cell r="BM18"/>
          <cell r="BN18"/>
          <cell r="BO18"/>
          <cell r="BP18"/>
          <cell r="BQ18">
            <v>291103</v>
          </cell>
          <cell r="BR18"/>
          <cell r="BS18"/>
          <cell r="BT18"/>
          <cell r="BU18"/>
          <cell r="BV18"/>
          <cell r="BW18"/>
          <cell r="BX18"/>
          <cell r="BY18" t="e">
            <v>#REF!</v>
          </cell>
          <cell r="BZ18"/>
          <cell r="CA18"/>
          <cell r="CB18"/>
          <cell r="CC18"/>
          <cell r="CD18">
            <v>45527</v>
          </cell>
          <cell r="CE18"/>
          <cell r="CF18"/>
          <cell r="CG18"/>
          <cell r="CH18"/>
          <cell r="CI18"/>
          <cell r="CJ18"/>
          <cell r="CK18"/>
          <cell r="CL18" t="e">
            <v>#REF!</v>
          </cell>
          <cell r="CM18"/>
          <cell r="CN18"/>
          <cell r="CO18"/>
          <cell r="CP18"/>
          <cell r="CQ18">
            <v>15.6</v>
          </cell>
          <cell r="CR18"/>
          <cell r="CS18"/>
          <cell r="CT18" t="e">
            <v>#REF!</v>
          </cell>
          <cell r="CU18"/>
          <cell r="CV18"/>
          <cell r="CW18"/>
          <cell r="CX18"/>
          <cell r="CY18" t="str">
            <v>14</v>
          </cell>
        </row>
        <row r="19">
          <cell r="B19" t="str">
            <v>15</v>
          </cell>
          <cell r="C19">
            <v>0</v>
          </cell>
          <cell r="D19"/>
          <cell r="E19"/>
          <cell r="F19" t="e">
            <v>#REF!</v>
          </cell>
          <cell r="G19"/>
          <cell r="H19"/>
          <cell r="I19"/>
          <cell r="J19"/>
          <cell r="K19">
            <v>0</v>
          </cell>
          <cell r="L19"/>
          <cell r="M19"/>
          <cell r="N19"/>
          <cell r="O19"/>
          <cell r="P19"/>
          <cell r="Q19"/>
          <cell r="R19"/>
          <cell r="S19" t="e">
            <v>#REF!</v>
          </cell>
          <cell r="T19"/>
          <cell r="U19"/>
          <cell r="V19"/>
          <cell r="W19"/>
          <cell r="X19">
            <v>0</v>
          </cell>
          <cell r="Y19"/>
          <cell r="Z19"/>
          <cell r="AA19"/>
          <cell r="AB19"/>
          <cell r="AC19"/>
          <cell r="AD19"/>
          <cell r="AE19"/>
          <cell r="AF19" t="e">
            <v>#REF!</v>
          </cell>
          <cell r="AG19"/>
          <cell r="AH19"/>
          <cell r="AI19"/>
          <cell r="AJ19"/>
          <cell r="AK19">
            <v>0</v>
          </cell>
          <cell r="AL19"/>
          <cell r="AM19"/>
          <cell r="AN19" t="e">
            <v>#REF!</v>
          </cell>
          <cell r="AO19"/>
          <cell r="AP19"/>
          <cell r="AQ19"/>
          <cell r="AR19"/>
          <cell r="AS19">
            <v>4570</v>
          </cell>
          <cell r="AT19" t="str">
            <v>Miscellaneous Mech. Repairs</v>
          </cell>
          <cell r="AU19"/>
          <cell r="AV19"/>
          <cell r="AW19"/>
          <cell r="AX19"/>
          <cell r="AY19"/>
          <cell r="AZ19"/>
          <cell r="BA19"/>
          <cell r="BB19"/>
          <cell r="BC19"/>
          <cell r="BD19"/>
          <cell r="BE19"/>
          <cell r="BF19"/>
          <cell r="BG19"/>
          <cell r="BH19"/>
          <cell r="BI19">
            <v>0</v>
          </cell>
          <cell r="BJ19"/>
          <cell r="BK19"/>
          <cell r="BL19" t="e">
            <v>#REF!</v>
          </cell>
          <cell r="BM19"/>
          <cell r="BN19"/>
          <cell r="BO19"/>
          <cell r="BP19"/>
          <cell r="BQ19">
            <v>0</v>
          </cell>
          <cell r="BR19"/>
          <cell r="BS19"/>
          <cell r="BT19"/>
          <cell r="BU19"/>
          <cell r="BV19"/>
          <cell r="BW19"/>
          <cell r="BX19"/>
          <cell r="BY19" t="e">
            <v>#REF!</v>
          </cell>
          <cell r="BZ19"/>
          <cell r="CA19"/>
          <cell r="CB19"/>
          <cell r="CC19"/>
          <cell r="CD19">
            <v>0</v>
          </cell>
          <cell r="CE19"/>
          <cell r="CF19"/>
          <cell r="CG19"/>
          <cell r="CH19"/>
          <cell r="CI19"/>
          <cell r="CJ19"/>
          <cell r="CK19"/>
          <cell r="CL19" t="e">
            <v>#REF!</v>
          </cell>
          <cell r="CM19"/>
          <cell r="CN19"/>
          <cell r="CO19"/>
          <cell r="CP19"/>
          <cell r="CQ19">
            <v>0</v>
          </cell>
          <cell r="CR19"/>
          <cell r="CS19"/>
          <cell r="CT19" t="e">
            <v>#REF!</v>
          </cell>
          <cell r="CU19"/>
          <cell r="CV19"/>
          <cell r="CW19"/>
          <cell r="CX19"/>
          <cell r="CY19" t="str">
            <v>15</v>
          </cell>
        </row>
        <row r="20">
          <cell r="B20" t="str">
            <v>16</v>
          </cell>
          <cell r="C20"/>
          <cell r="D20"/>
          <cell r="E20"/>
          <cell r="F20"/>
          <cell r="G20"/>
          <cell r="H20"/>
          <cell r="I20"/>
          <cell r="J20"/>
          <cell r="K20"/>
          <cell r="L20"/>
          <cell r="M20"/>
          <cell r="N20"/>
          <cell r="O20"/>
          <cell r="P20"/>
          <cell r="Q20"/>
          <cell r="R20"/>
          <cell r="S20" t="e">
            <v>#REF!</v>
          </cell>
          <cell r="T20"/>
          <cell r="U20"/>
          <cell r="V20"/>
          <cell r="W20"/>
          <cell r="X20">
            <v>-20446</v>
          </cell>
          <cell r="Y20"/>
          <cell r="Z20"/>
          <cell r="AA20"/>
          <cell r="AB20"/>
          <cell r="AC20"/>
          <cell r="AD20"/>
          <cell r="AE20"/>
          <cell r="AF20" t="e">
            <v>#REF!</v>
          </cell>
          <cell r="AG20"/>
          <cell r="AH20"/>
          <cell r="AI20"/>
          <cell r="AJ20"/>
          <cell r="AK20"/>
          <cell r="AL20"/>
          <cell r="AM20"/>
          <cell r="AN20" t="e">
            <v>#REF!</v>
          </cell>
          <cell r="AO20"/>
          <cell r="AP20"/>
          <cell r="AQ20"/>
          <cell r="AR20"/>
          <cell r="AS20">
            <v>6590</v>
          </cell>
          <cell r="AT20" t="str">
            <v>Adj. Cost of Labor Sales - Mech.</v>
          </cell>
          <cell r="AU20"/>
          <cell r="AV20"/>
          <cell r="AW20"/>
          <cell r="AX20"/>
          <cell r="AY20"/>
          <cell r="AZ20"/>
          <cell r="BA20"/>
          <cell r="BB20"/>
          <cell r="BC20"/>
          <cell r="BD20"/>
          <cell r="BE20"/>
          <cell r="BF20"/>
          <cell r="BG20"/>
          <cell r="BH20"/>
          <cell r="BI20"/>
          <cell r="BJ20"/>
          <cell r="BK20"/>
          <cell r="BL20" t="e">
            <v>#REF!</v>
          </cell>
          <cell r="BM20"/>
          <cell r="BN20"/>
          <cell r="BO20"/>
          <cell r="BP20"/>
          <cell r="BQ20"/>
          <cell r="BR20"/>
          <cell r="BS20"/>
          <cell r="BT20"/>
          <cell r="BU20"/>
          <cell r="BV20"/>
          <cell r="BW20"/>
          <cell r="BX20"/>
          <cell r="BY20" t="e">
            <v>#REF!</v>
          </cell>
          <cell r="BZ20"/>
          <cell r="CA20"/>
          <cell r="CB20"/>
          <cell r="CC20"/>
          <cell r="CD20">
            <v>-222869</v>
          </cell>
          <cell r="CE20"/>
          <cell r="CF20"/>
          <cell r="CG20"/>
          <cell r="CH20"/>
          <cell r="CI20"/>
          <cell r="CJ20"/>
          <cell r="CK20"/>
          <cell r="CL20" t="e">
            <v>#REF!</v>
          </cell>
          <cell r="CM20"/>
          <cell r="CN20"/>
          <cell r="CO20"/>
          <cell r="CP20"/>
          <cell r="CQ20"/>
          <cell r="CR20"/>
          <cell r="CS20"/>
          <cell r="CT20" t="e">
            <v>#REF!</v>
          </cell>
          <cell r="CU20"/>
          <cell r="CV20"/>
          <cell r="CW20"/>
          <cell r="CX20"/>
          <cell r="CY20" t="str">
            <v>16</v>
          </cell>
        </row>
        <row r="21">
          <cell r="B21" t="str">
            <v>17</v>
          </cell>
          <cell r="C21">
            <v>2532</v>
          </cell>
          <cell r="D21"/>
          <cell r="E21"/>
          <cell r="F21" t="e">
            <v>#REF!</v>
          </cell>
          <cell r="G21"/>
          <cell r="H21"/>
          <cell r="I21"/>
          <cell r="J21"/>
          <cell r="K21">
            <v>323407</v>
          </cell>
          <cell r="L21"/>
          <cell r="M21"/>
          <cell r="N21"/>
          <cell r="O21"/>
          <cell r="P21"/>
          <cell r="Q21"/>
          <cell r="R21"/>
          <cell r="S21" t="e">
            <v>#REF!</v>
          </cell>
          <cell r="T21"/>
          <cell r="U21"/>
          <cell r="V21"/>
          <cell r="W21"/>
          <cell r="X21">
            <v>159040</v>
          </cell>
          <cell r="Y21"/>
          <cell r="Z21"/>
          <cell r="AA21"/>
          <cell r="AB21"/>
          <cell r="AC21"/>
          <cell r="AD21"/>
          <cell r="AE21"/>
          <cell r="AF21" t="e">
            <v>#REF!</v>
          </cell>
          <cell r="AG21"/>
          <cell r="AH21"/>
          <cell r="AI21"/>
          <cell r="AJ21"/>
          <cell r="AK21">
            <v>49.2</v>
          </cell>
          <cell r="AL21"/>
          <cell r="AM21"/>
          <cell r="AN21" t="e">
            <v>#REF!</v>
          </cell>
          <cell r="AO21"/>
          <cell r="AP21"/>
          <cell r="AQ21"/>
          <cell r="AR21"/>
          <cell r="AS21" t="str">
            <v>TT42</v>
          </cell>
          <cell r="AT21" t="str">
            <v>TOTAL SERVICE DEPT.</v>
          </cell>
          <cell r="AU21"/>
          <cell r="AV21"/>
          <cell r="AW21"/>
          <cell r="AX21"/>
          <cell r="AY21"/>
          <cell r="AZ21"/>
          <cell r="BA21"/>
          <cell r="BB21"/>
          <cell r="BC21"/>
          <cell r="BD21"/>
          <cell r="BE21"/>
          <cell r="BF21"/>
          <cell r="BG21"/>
          <cell r="BH21" t="str">
            <v xml:space="preserve">(Pg 5 Ln 69, 74 &amp; Pg 6 Ln 7, 13, 14 - 16) </v>
          </cell>
          <cell r="BI21">
            <v>28161</v>
          </cell>
          <cell r="BJ21"/>
          <cell r="BK21"/>
          <cell r="BL21" t="e">
            <v>#REF!</v>
          </cell>
          <cell r="BM21"/>
          <cell r="BN21"/>
          <cell r="BO21"/>
          <cell r="BP21"/>
          <cell r="BQ21">
            <v>3638825</v>
          </cell>
          <cell r="BR21"/>
          <cell r="BS21"/>
          <cell r="BT21"/>
          <cell r="BU21"/>
          <cell r="BV21"/>
          <cell r="BW21"/>
          <cell r="BX21"/>
          <cell r="BY21" t="e">
            <v>#REF!</v>
          </cell>
          <cell r="BZ21"/>
          <cell r="CA21"/>
          <cell r="CB21"/>
          <cell r="CC21"/>
          <cell r="CD21">
            <v>2097434</v>
          </cell>
          <cell r="CE21"/>
          <cell r="CF21"/>
          <cell r="CG21"/>
          <cell r="CH21"/>
          <cell r="CI21"/>
          <cell r="CJ21"/>
          <cell r="CK21"/>
          <cell r="CL21" t="e">
            <v>#REF!</v>
          </cell>
          <cell r="CM21"/>
          <cell r="CN21"/>
          <cell r="CO21"/>
          <cell r="CP21"/>
          <cell r="CQ21">
            <v>57.6</v>
          </cell>
          <cell r="CR21"/>
          <cell r="CS21"/>
          <cell r="CT21" t="e">
            <v>#REF!</v>
          </cell>
          <cell r="CU21"/>
          <cell r="CV21"/>
          <cell r="CW21"/>
          <cell r="CX21"/>
          <cell r="CY21" t="str">
            <v>17</v>
          </cell>
        </row>
        <row r="22">
          <cell r="B22" t="str">
            <v>18</v>
          </cell>
          <cell r="C22" t="str">
            <v># CT.'s</v>
          </cell>
          <cell r="D22"/>
          <cell r="E22"/>
          <cell r="F22"/>
          <cell r="G22"/>
          <cell r="H22"/>
          <cell r="I22"/>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t="e">
            <v>#REF!</v>
          </cell>
          <cell r="AO22"/>
          <cell r="AP22"/>
          <cell r="AQ22"/>
          <cell r="AR22"/>
          <cell r="AS22"/>
          <cell r="AT22" t="str">
            <v>PARTS &amp; ACCESSORIES DEPARTMENT (D)</v>
          </cell>
          <cell r="AU22"/>
          <cell r="AV22"/>
          <cell r="AW22"/>
          <cell r="AX22"/>
          <cell r="AY22"/>
          <cell r="AZ22"/>
          <cell r="BA22"/>
          <cell r="BB22"/>
          <cell r="BC22"/>
          <cell r="BD22"/>
          <cell r="BE22"/>
          <cell r="BF22"/>
          <cell r="BG22"/>
          <cell r="BH22"/>
          <cell r="BI22" t="str">
            <v># CT.'s</v>
          </cell>
          <cell r="BJ22"/>
          <cell r="BK22"/>
          <cell r="BL22" t="e">
            <v>#REF!</v>
          </cell>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t="e">
            <v>#REF!</v>
          </cell>
          <cell r="CU22"/>
          <cell r="CV22"/>
          <cell r="CW22"/>
          <cell r="CX22"/>
          <cell r="CY22" t="str">
            <v>18</v>
          </cell>
        </row>
        <row r="23">
          <cell r="B23" t="str">
            <v>19</v>
          </cell>
          <cell r="C23"/>
          <cell r="D23"/>
          <cell r="E23"/>
          <cell r="F23" t="e">
            <v>#REF!</v>
          </cell>
          <cell r="G23"/>
          <cell r="H23"/>
          <cell r="I23"/>
          <cell r="J23"/>
          <cell r="K23">
            <v>74978</v>
          </cell>
          <cell r="L23"/>
          <cell r="M23"/>
          <cell r="N23"/>
          <cell r="O23"/>
          <cell r="P23"/>
          <cell r="Q23"/>
          <cell r="R23"/>
          <cell r="S23" t="e">
            <v>#REF!</v>
          </cell>
          <cell r="T23"/>
          <cell r="U23"/>
          <cell r="V23"/>
          <cell r="W23"/>
          <cell r="X23">
            <v>29541</v>
          </cell>
          <cell r="Y23"/>
          <cell r="Z23"/>
          <cell r="AA23"/>
          <cell r="AB23"/>
          <cell r="AC23"/>
          <cell r="AD23"/>
          <cell r="AE23"/>
          <cell r="AF23" t="e">
            <v>#REF!</v>
          </cell>
          <cell r="AG23"/>
          <cell r="AH23"/>
          <cell r="AI23"/>
          <cell r="AJ23"/>
          <cell r="AK23">
            <v>39.4</v>
          </cell>
          <cell r="AL23"/>
          <cell r="AM23"/>
          <cell r="AN23" t="e">
            <v>#REF!</v>
          </cell>
          <cell r="AO23"/>
          <cell r="AP23"/>
          <cell r="AQ23"/>
          <cell r="AR23"/>
          <cell r="AS23">
            <v>4600</v>
          </cell>
          <cell r="AT23" t="str">
            <v>Parts &amp; Access. - R.O. - Nissan</v>
          </cell>
          <cell r="AU23"/>
          <cell r="AV23"/>
          <cell r="AW23"/>
          <cell r="AX23"/>
          <cell r="AY23"/>
          <cell r="AZ23"/>
          <cell r="BA23"/>
          <cell r="BB23"/>
          <cell r="BC23"/>
          <cell r="BD23"/>
          <cell r="BE23"/>
          <cell r="BF23"/>
          <cell r="BG23"/>
          <cell r="BH23"/>
          <cell r="BI23"/>
          <cell r="BJ23"/>
          <cell r="BK23"/>
          <cell r="BL23" t="e">
            <v>#REF!</v>
          </cell>
          <cell r="BM23"/>
          <cell r="BN23"/>
          <cell r="BO23"/>
          <cell r="BP23"/>
          <cell r="BQ23">
            <v>1000408</v>
          </cell>
          <cell r="BR23"/>
          <cell r="BS23"/>
          <cell r="BT23"/>
          <cell r="BU23"/>
          <cell r="BV23"/>
          <cell r="BW23"/>
          <cell r="BX23"/>
          <cell r="BY23" t="e">
            <v>#REF!</v>
          </cell>
          <cell r="BZ23"/>
          <cell r="CA23"/>
          <cell r="CB23"/>
          <cell r="CC23"/>
          <cell r="CD23">
            <v>434190</v>
          </cell>
          <cell r="CE23"/>
          <cell r="CF23"/>
          <cell r="CG23"/>
          <cell r="CH23"/>
          <cell r="CI23"/>
          <cell r="CJ23"/>
          <cell r="CK23"/>
          <cell r="CL23" t="e">
            <v>#REF!</v>
          </cell>
          <cell r="CM23"/>
          <cell r="CN23"/>
          <cell r="CO23"/>
          <cell r="CP23"/>
          <cell r="CQ23">
            <v>43.4</v>
          </cell>
          <cell r="CR23"/>
          <cell r="CS23"/>
          <cell r="CT23" t="e">
            <v>#REF!</v>
          </cell>
          <cell r="CU23"/>
          <cell r="CV23"/>
          <cell r="CW23"/>
          <cell r="CX23"/>
          <cell r="CY23" t="str">
            <v>19</v>
          </cell>
        </row>
        <row r="24">
          <cell r="B24" t="str">
            <v>20</v>
          </cell>
          <cell r="C24"/>
          <cell r="D24"/>
          <cell r="E24"/>
          <cell r="F24" t="e">
            <v>#REF!</v>
          </cell>
          <cell r="G24"/>
          <cell r="H24"/>
          <cell r="I24"/>
          <cell r="J24"/>
          <cell r="K24">
            <v>0</v>
          </cell>
          <cell r="L24"/>
          <cell r="M24"/>
          <cell r="N24"/>
          <cell r="O24"/>
          <cell r="P24"/>
          <cell r="Q24"/>
          <cell r="R24"/>
          <cell r="S24" t="e">
            <v>#REF!</v>
          </cell>
          <cell r="T24"/>
          <cell r="U24"/>
          <cell r="V24"/>
          <cell r="W24"/>
          <cell r="X24">
            <v>0</v>
          </cell>
          <cell r="Y24"/>
          <cell r="Z24"/>
          <cell r="AA24"/>
          <cell r="AB24"/>
          <cell r="AC24"/>
          <cell r="AD24"/>
          <cell r="AE24"/>
          <cell r="AF24" t="e">
            <v>#REF!</v>
          </cell>
          <cell r="AG24"/>
          <cell r="AH24"/>
          <cell r="AI24"/>
          <cell r="AJ24"/>
          <cell r="AK24">
            <v>0</v>
          </cell>
          <cell r="AL24"/>
          <cell r="AM24"/>
          <cell r="AN24" t="e">
            <v>#REF!</v>
          </cell>
          <cell r="AO24"/>
          <cell r="AP24"/>
          <cell r="AQ24"/>
          <cell r="AR24"/>
          <cell r="AS24">
            <v>4604</v>
          </cell>
          <cell r="AT24" t="str">
            <v>Service / Maint. Contract - Parts - Nissan Vehicles</v>
          </cell>
          <cell r="AU24"/>
          <cell r="AV24"/>
          <cell r="AW24"/>
          <cell r="AX24"/>
          <cell r="AY24"/>
          <cell r="AZ24"/>
          <cell r="BA24"/>
          <cell r="BB24"/>
          <cell r="BC24"/>
          <cell r="BD24"/>
          <cell r="BE24"/>
          <cell r="BF24"/>
          <cell r="BG24"/>
          <cell r="BH24"/>
          <cell r="BI24"/>
          <cell r="BJ24"/>
          <cell r="BK24"/>
          <cell r="BL24" t="e">
            <v>#REF!</v>
          </cell>
          <cell r="BM24"/>
          <cell r="BN24"/>
          <cell r="BO24"/>
          <cell r="BP24"/>
          <cell r="BQ24">
            <v>0</v>
          </cell>
          <cell r="BR24"/>
          <cell r="BS24"/>
          <cell r="BT24"/>
          <cell r="BU24"/>
          <cell r="BV24"/>
          <cell r="BW24"/>
          <cell r="BX24"/>
          <cell r="BY24" t="e">
            <v>#REF!</v>
          </cell>
          <cell r="BZ24"/>
          <cell r="CA24"/>
          <cell r="CB24"/>
          <cell r="CC24"/>
          <cell r="CD24">
            <v>0</v>
          </cell>
          <cell r="CE24"/>
          <cell r="CF24"/>
          <cell r="CG24"/>
          <cell r="CH24"/>
          <cell r="CI24"/>
          <cell r="CJ24"/>
          <cell r="CK24"/>
          <cell r="CL24" t="e">
            <v>#REF!</v>
          </cell>
          <cell r="CM24"/>
          <cell r="CN24"/>
          <cell r="CO24"/>
          <cell r="CP24"/>
          <cell r="CQ24">
            <v>0</v>
          </cell>
          <cell r="CR24"/>
          <cell r="CS24"/>
          <cell r="CT24" t="e">
            <v>#REF!</v>
          </cell>
          <cell r="CU24"/>
          <cell r="CV24"/>
          <cell r="CW24"/>
          <cell r="CX24"/>
          <cell r="CY24" t="str">
            <v>20</v>
          </cell>
        </row>
        <row r="25">
          <cell r="B25" t="str">
            <v>21</v>
          </cell>
          <cell r="C25"/>
          <cell r="D25"/>
          <cell r="E25"/>
          <cell r="F25" t="e">
            <v>#REF!</v>
          </cell>
          <cell r="G25"/>
          <cell r="H25"/>
          <cell r="I25"/>
          <cell r="J25"/>
          <cell r="K25">
            <v>12480</v>
          </cell>
          <cell r="L25"/>
          <cell r="M25"/>
          <cell r="N25"/>
          <cell r="O25"/>
          <cell r="P25"/>
          <cell r="Q25"/>
          <cell r="R25"/>
          <cell r="S25" t="e">
            <v>#REF!</v>
          </cell>
          <cell r="T25"/>
          <cell r="U25"/>
          <cell r="V25"/>
          <cell r="W25"/>
          <cell r="X25">
            <v>1825</v>
          </cell>
          <cell r="Y25"/>
          <cell r="Z25"/>
          <cell r="AA25"/>
          <cell r="AB25"/>
          <cell r="AC25"/>
          <cell r="AD25"/>
          <cell r="AE25"/>
          <cell r="AF25" t="e">
            <v>#REF!</v>
          </cell>
          <cell r="AG25"/>
          <cell r="AH25"/>
          <cell r="AI25"/>
          <cell r="AJ25"/>
          <cell r="AK25">
            <v>14.6</v>
          </cell>
          <cell r="AL25"/>
          <cell r="AM25"/>
          <cell r="AN25" t="e">
            <v>#REF!</v>
          </cell>
          <cell r="AO25"/>
          <cell r="AP25"/>
          <cell r="AQ25"/>
          <cell r="AR25"/>
          <cell r="AS25">
            <v>4607</v>
          </cell>
          <cell r="AT25" t="str">
            <v>Tire Sales - R.O. - Nissan</v>
          </cell>
          <cell r="AU25"/>
          <cell r="AV25"/>
          <cell r="AW25"/>
          <cell r="AX25"/>
          <cell r="AY25"/>
          <cell r="AZ25"/>
          <cell r="BA25"/>
          <cell r="BB25"/>
          <cell r="BC25"/>
          <cell r="BD25"/>
          <cell r="BE25"/>
          <cell r="BF25"/>
          <cell r="BG25"/>
          <cell r="BH25"/>
          <cell r="BI25"/>
          <cell r="BJ25"/>
          <cell r="BK25"/>
          <cell r="BL25" t="e">
            <v>#REF!</v>
          </cell>
          <cell r="BM25"/>
          <cell r="BN25"/>
          <cell r="BO25"/>
          <cell r="BP25"/>
          <cell r="BQ25">
            <v>120489</v>
          </cell>
          <cell r="BR25"/>
          <cell r="BS25"/>
          <cell r="BT25"/>
          <cell r="BU25"/>
          <cell r="BV25"/>
          <cell r="BW25"/>
          <cell r="BX25"/>
          <cell r="BY25" t="e">
            <v>#REF!</v>
          </cell>
          <cell r="BZ25"/>
          <cell r="CA25"/>
          <cell r="CB25"/>
          <cell r="CC25"/>
          <cell r="CD25">
            <v>9864</v>
          </cell>
          <cell r="CE25"/>
          <cell r="CF25"/>
          <cell r="CG25"/>
          <cell r="CH25"/>
          <cell r="CI25"/>
          <cell r="CJ25"/>
          <cell r="CK25"/>
          <cell r="CL25" t="e">
            <v>#REF!</v>
          </cell>
          <cell r="CM25"/>
          <cell r="CN25"/>
          <cell r="CO25"/>
          <cell r="CP25"/>
          <cell r="CQ25">
            <v>8.1999999999999993</v>
          </cell>
          <cell r="CR25"/>
          <cell r="CS25"/>
          <cell r="CT25" t="e">
            <v>#REF!</v>
          </cell>
          <cell r="CU25"/>
          <cell r="CV25"/>
          <cell r="CW25"/>
          <cell r="CX25"/>
          <cell r="CY25" t="str">
            <v>21</v>
          </cell>
        </row>
        <row r="26">
          <cell r="B26" t="str">
            <v>22</v>
          </cell>
          <cell r="C26"/>
          <cell r="D26"/>
          <cell r="E26"/>
          <cell r="F26" t="e">
            <v>#REF!</v>
          </cell>
          <cell r="G26"/>
          <cell r="H26"/>
          <cell r="I26"/>
          <cell r="J26"/>
          <cell r="K26">
            <v>95541</v>
          </cell>
          <cell r="L26"/>
          <cell r="M26"/>
          <cell r="N26"/>
          <cell r="O26"/>
          <cell r="P26"/>
          <cell r="Q26"/>
          <cell r="R26"/>
          <cell r="S26" t="e">
            <v>#REF!</v>
          </cell>
          <cell r="T26"/>
          <cell r="U26"/>
          <cell r="V26"/>
          <cell r="W26"/>
          <cell r="X26">
            <v>26070</v>
          </cell>
          <cell r="Y26"/>
          <cell r="Z26"/>
          <cell r="AA26"/>
          <cell r="AB26"/>
          <cell r="AC26"/>
          <cell r="AD26"/>
          <cell r="AE26"/>
          <cell r="AF26" t="e">
            <v>#REF!</v>
          </cell>
          <cell r="AG26"/>
          <cell r="AH26"/>
          <cell r="AI26"/>
          <cell r="AJ26"/>
          <cell r="AK26">
            <v>27.3</v>
          </cell>
          <cell r="AL26"/>
          <cell r="AM26"/>
          <cell r="AN26" t="e">
            <v>#REF!</v>
          </cell>
          <cell r="AO26"/>
          <cell r="AP26"/>
          <cell r="AQ26"/>
          <cell r="AR26"/>
          <cell r="AS26">
            <v>4640</v>
          </cell>
          <cell r="AT26" t="str">
            <v>Parts &amp; Access. - Warranty Claims - Nissan</v>
          </cell>
          <cell r="AU26"/>
          <cell r="AV26"/>
          <cell r="AW26"/>
          <cell r="AX26"/>
          <cell r="AY26"/>
          <cell r="AZ26"/>
          <cell r="BA26"/>
          <cell r="BB26"/>
          <cell r="BC26"/>
          <cell r="BD26"/>
          <cell r="BE26"/>
          <cell r="BF26"/>
          <cell r="BG26"/>
          <cell r="BH26"/>
          <cell r="BI26"/>
          <cell r="BJ26"/>
          <cell r="BK26"/>
          <cell r="BL26" t="e">
            <v>#REF!</v>
          </cell>
          <cell r="BM26"/>
          <cell r="BN26"/>
          <cell r="BO26"/>
          <cell r="BP26"/>
          <cell r="BQ26">
            <v>760955</v>
          </cell>
          <cell r="BR26"/>
          <cell r="BS26"/>
          <cell r="BT26"/>
          <cell r="BU26"/>
          <cell r="BV26"/>
          <cell r="BW26"/>
          <cell r="BX26"/>
          <cell r="BY26" t="e">
            <v>#REF!</v>
          </cell>
          <cell r="BZ26"/>
          <cell r="CA26"/>
          <cell r="CB26"/>
          <cell r="CC26"/>
          <cell r="CD26">
            <v>206088</v>
          </cell>
          <cell r="CE26"/>
          <cell r="CF26"/>
          <cell r="CG26"/>
          <cell r="CH26"/>
          <cell r="CI26"/>
          <cell r="CJ26"/>
          <cell r="CK26"/>
          <cell r="CL26" t="e">
            <v>#REF!</v>
          </cell>
          <cell r="CM26"/>
          <cell r="CN26"/>
          <cell r="CO26"/>
          <cell r="CP26"/>
          <cell r="CQ26">
            <v>27.1</v>
          </cell>
          <cell r="CR26"/>
          <cell r="CS26"/>
          <cell r="CT26" t="e">
            <v>#REF!</v>
          </cell>
          <cell r="CU26"/>
          <cell r="CV26"/>
          <cell r="CW26"/>
          <cell r="CX26"/>
          <cell r="CY26" t="str">
            <v>22</v>
          </cell>
        </row>
        <row r="27">
          <cell r="B27" t="str">
            <v>23</v>
          </cell>
          <cell r="C27"/>
          <cell r="D27"/>
          <cell r="E27"/>
          <cell r="F27" t="e">
            <v>#REF!</v>
          </cell>
          <cell r="G27"/>
          <cell r="H27"/>
          <cell r="I27"/>
          <cell r="J27"/>
          <cell r="K27">
            <v>0</v>
          </cell>
          <cell r="L27"/>
          <cell r="M27"/>
          <cell r="N27"/>
          <cell r="O27"/>
          <cell r="P27"/>
          <cell r="Q27"/>
          <cell r="R27"/>
          <cell r="S27" t="e">
            <v>#REF!</v>
          </cell>
          <cell r="T27"/>
          <cell r="U27"/>
          <cell r="V27"/>
          <cell r="W27"/>
          <cell r="X27">
            <v>0</v>
          </cell>
          <cell r="Y27"/>
          <cell r="Z27"/>
          <cell r="AA27"/>
          <cell r="AB27"/>
          <cell r="AC27"/>
          <cell r="AD27"/>
          <cell r="AE27"/>
          <cell r="AF27" t="e">
            <v>#REF!</v>
          </cell>
          <cell r="AG27"/>
          <cell r="AH27"/>
          <cell r="AI27"/>
          <cell r="AJ27"/>
          <cell r="AK27">
            <v>0</v>
          </cell>
          <cell r="AL27"/>
          <cell r="AM27"/>
          <cell r="AN27" t="e">
            <v>#REF!</v>
          </cell>
          <cell r="AO27"/>
          <cell r="AP27"/>
          <cell r="AQ27"/>
          <cell r="AR27"/>
          <cell r="AS27">
            <v>4647</v>
          </cell>
          <cell r="AT27" t="str">
            <v>Tire Sales - Warranty - Nissan</v>
          </cell>
          <cell r="AU27"/>
          <cell r="AV27"/>
          <cell r="AW27"/>
          <cell r="AX27"/>
          <cell r="AY27"/>
          <cell r="AZ27"/>
          <cell r="BA27"/>
          <cell r="BB27"/>
          <cell r="BC27"/>
          <cell r="BD27"/>
          <cell r="BE27"/>
          <cell r="BF27"/>
          <cell r="BG27"/>
          <cell r="BH27"/>
          <cell r="BI27"/>
          <cell r="BJ27"/>
          <cell r="BK27"/>
          <cell r="BL27" t="e">
            <v>#REF!</v>
          </cell>
          <cell r="BM27"/>
          <cell r="BN27"/>
          <cell r="BO27"/>
          <cell r="BP27"/>
          <cell r="BQ27">
            <v>0</v>
          </cell>
          <cell r="BR27"/>
          <cell r="BS27"/>
          <cell r="BT27"/>
          <cell r="BU27"/>
          <cell r="BV27"/>
          <cell r="BW27"/>
          <cell r="BX27"/>
          <cell r="BY27" t="e">
            <v>#REF!</v>
          </cell>
          <cell r="BZ27"/>
          <cell r="CA27"/>
          <cell r="CB27"/>
          <cell r="CC27"/>
          <cell r="CD27">
            <v>0</v>
          </cell>
          <cell r="CE27"/>
          <cell r="CF27"/>
          <cell r="CG27"/>
          <cell r="CH27"/>
          <cell r="CI27"/>
          <cell r="CJ27"/>
          <cell r="CK27"/>
          <cell r="CL27" t="e">
            <v>#REF!</v>
          </cell>
          <cell r="CM27"/>
          <cell r="CN27"/>
          <cell r="CO27"/>
          <cell r="CP27"/>
          <cell r="CQ27">
            <v>0</v>
          </cell>
          <cell r="CR27"/>
          <cell r="CS27"/>
          <cell r="CT27" t="e">
            <v>#REF!</v>
          </cell>
          <cell r="CU27"/>
          <cell r="CV27"/>
          <cell r="CW27"/>
          <cell r="CX27"/>
          <cell r="CY27" t="str">
            <v>23</v>
          </cell>
        </row>
        <row r="28">
          <cell r="B28" t="str">
            <v>24</v>
          </cell>
          <cell r="C28"/>
          <cell r="D28"/>
          <cell r="E28"/>
          <cell r="F28" t="e">
            <v>#REF!</v>
          </cell>
          <cell r="G28"/>
          <cell r="H28"/>
          <cell r="I28"/>
          <cell r="J28"/>
          <cell r="K28">
            <v>43300</v>
          </cell>
          <cell r="L28"/>
          <cell r="M28"/>
          <cell r="N28"/>
          <cell r="O28"/>
          <cell r="P28"/>
          <cell r="Q28"/>
          <cell r="R28"/>
          <cell r="S28" t="e">
            <v>#REF!</v>
          </cell>
          <cell r="T28"/>
          <cell r="U28"/>
          <cell r="V28"/>
          <cell r="W28"/>
          <cell r="X28">
            <v>15146</v>
          </cell>
          <cell r="Y28"/>
          <cell r="Z28"/>
          <cell r="AA28"/>
          <cell r="AB28"/>
          <cell r="AC28"/>
          <cell r="AD28"/>
          <cell r="AE28"/>
          <cell r="AF28" t="e">
            <v>#REF!</v>
          </cell>
          <cell r="AG28"/>
          <cell r="AH28"/>
          <cell r="AI28"/>
          <cell r="AJ28"/>
          <cell r="AK28">
            <v>35</v>
          </cell>
          <cell r="AL28"/>
          <cell r="AM28"/>
          <cell r="AN28" t="e">
            <v>#REF!</v>
          </cell>
          <cell r="AO28"/>
          <cell r="AP28"/>
          <cell r="AQ28"/>
          <cell r="AR28"/>
          <cell r="AS28">
            <v>4650</v>
          </cell>
          <cell r="AT28" t="str">
            <v>Parts &amp; Access. - Internal - Nissan</v>
          </cell>
          <cell r="AU28"/>
          <cell r="AV28"/>
          <cell r="AW28"/>
          <cell r="AX28"/>
          <cell r="AY28"/>
          <cell r="AZ28"/>
          <cell r="BA28"/>
          <cell r="BB28"/>
          <cell r="BC28"/>
          <cell r="BD28"/>
          <cell r="BE28"/>
          <cell r="BF28"/>
          <cell r="BG28"/>
          <cell r="BH28"/>
          <cell r="BI28"/>
          <cell r="BJ28"/>
          <cell r="BK28"/>
          <cell r="BL28" t="e">
            <v>#REF!</v>
          </cell>
          <cell r="BM28"/>
          <cell r="BN28"/>
          <cell r="BO28"/>
          <cell r="BP28"/>
          <cell r="BQ28">
            <v>463125</v>
          </cell>
          <cell r="BR28"/>
          <cell r="BS28"/>
          <cell r="BT28"/>
          <cell r="BU28"/>
          <cell r="BV28"/>
          <cell r="BW28"/>
          <cell r="BX28"/>
          <cell r="BY28" t="e">
            <v>#REF!</v>
          </cell>
          <cell r="BZ28"/>
          <cell r="CA28"/>
          <cell r="CB28"/>
          <cell r="CC28"/>
          <cell r="CD28">
            <v>147300</v>
          </cell>
          <cell r="CE28"/>
          <cell r="CF28"/>
          <cell r="CG28"/>
          <cell r="CH28"/>
          <cell r="CI28"/>
          <cell r="CJ28"/>
          <cell r="CK28"/>
          <cell r="CL28" t="e">
            <v>#REF!</v>
          </cell>
          <cell r="CM28"/>
          <cell r="CN28"/>
          <cell r="CO28"/>
          <cell r="CP28"/>
          <cell r="CQ28">
            <v>31.8</v>
          </cell>
          <cell r="CR28"/>
          <cell r="CS28"/>
          <cell r="CT28" t="e">
            <v>#REF!</v>
          </cell>
          <cell r="CU28"/>
          <cell r="CV28"/>
          <cell r="CW28"/>
          <cell r="CX28"/>
          <cell r="CY28" t="str">
            <v>24</v>
          </cell>
        </row>
        <row r="29">
          <cell r="B29" t="str">
            <v>25</v>
          </cell>
          <cell r="C29"/>
          <cell r="D29"/>
          <cell r="E29"/>
          <cell r="F29" t="e">
            <v>#REF!</v>
          </cell>
          <cell r="G29"/>
          <cell r="H29"/>
          <cell r="I29"/>
          <cell r="J29"/>
          <cell r="K29">
            <v>9566</v>
          </cell>
          <cell r="L29"/>
          <cell r="M29"/>
          <cell r="N29"/>
          <cell r="O29"/>
          <cell r="P29"/>
          <cell r="Q29"/>
          <cell r="R29"/>
          <cell r="S29" t="e">
            <v>#REF!</v>
          </cell>
          <cell r="T29"/>
          <cell r="U29"/>
          <cell r="V29"/>
          <cell r="W29"/>
          <cell r="X29">
            <v>2241</v>
          </cell>
          <cell r="Y29"/>
          <cell r="Z29"/>
          <cell r="AA29"/>
          <cell r="AB29"/>
          <cell r="AC29"/>
          <cell r="AD29"/>
          <cell r="AE29"/>
          <cell r="AF29" t="e">
            <v>#REF!</v>
          </cell>
          <cell r="AG29"/>
          <cell r="AH29"/>
          <cell r="AI29"/>
          <cell r="AJ29"/>
          <cell r="AK29">
            <v>23.4</v>
          </cell>
          <cell r="AL29"/>
          <cell r="AM29"/>
          <cell r="AN29" t="e">
            <v>#REF!</v>
          </cell>
          <cell r="AO29"/>
          <cell r="AP29"/>
          <cell r="AQ29"/>
          <cell r="AR29"/>
          <cell r="AS29">
            <v>4657</v>
          </cell>
          <cell r="AT29" t="str">
            <v>Tire Sales - Internal - Nissan</v>
          </cell>
          <cell r="AU29"/>
          <cell r="AV29"/>
          <cell r="AW29"/>
          <cell r="AX29"/>
          <cell r="AY29"/>
          <cell r="AZ29"/>
          <cell r="BA29"/>
          <cell r="BB29"/>
          <cell r="BC29"/>
          <cell r="BD29"/>
          <cell r="BE29"/>
          <cell r="BF29"/>
          <cell r="BG29"/>
          <cell r="BH29"/>
          <cell r="BI29"/>
          <cell r="BJ29"/>
          <cell r="BK29"/>
          <cell r="BL29" t="e">
            <v>#REF!</v>
          </cell>
          <cell r="BM29"/>
          <cell r="BN29"/>
          <cell r="BO29"/>
          <cell r="BP29"/>
          <cell r="BQ29">
            <v>88812</v>
          </cell>
          <cell r="BR29"/>
          <cell r="BS29"/>
          <cell r="BT29"/>
          <cell r="BU29"/>
          <cell r="BV29"/>
          <cell r="BW29"/>
          <cell r="BX29"/>
          <cell r="BY29" t="e">
            <v>#REF!</v>
          </cell>
          <cell r="BZ29"/>
          <cell r="CA29"/>
          <cell r="CB29"/>
          <cell r="CC29"/>
          <cell r="CD29">
            <v>17770</v>
          </cell>
          <cell r="CE29"/>
          <cell r="CF29"/>
          <cell r="CG29"/>
          <cell r="CH29"/>
          <cell r="CI29"/>
          <cell r="CJ29"/>
          <cell r="CK29"/>
          <cell r="CL29" t="e">
            <v>#REF!</v>
          </cell>
          <cell r="CM29"/>
          <cell r="CN29"/>
          <cell r="CO29"/>
          <cell r="CP29"/>
          <cell r="CQ29">
            <v>20</v>
          </cell>
          <cell r="CR29"/>
          <cell r="CS29"/>
          <cell r="CT29" t="e">
            <v>#REF!</v>
          </cell>
          <cell r="CU29"/>
          <cell r="CV29"/>
          <cell r="CW29"/>
          <cell r="CX29"/>
          <cell r="CY29" t="str">
            <v>25</v>
          </cell>
        </row>
        <row r="30">
          <cell r="B30" t="str">
            <v>26</v>
          </cell>
          <cell r="C30"/>
          <cell r="D30"/>
          <cell r="E30"/>
          <cell r="F30" t="e">
            <v>#REF!</v>
          </cell>
          <cell r="G30"/>
          <cell r="H30"/>
          <cell r="I30"/>
          <cell r="J30"/>
          <cell r="K30">
            <v>41653</v>
          </cell>
          <cell r="L30"/>
          <cell r="M30"/>
          <cell r="N30"/>
          <cell r="O30"/>
          <cell r="P30"/>
          <cell r="Q30"/>
          <cell r="R30"/>
          <cell r="S30" t="e">
            <v>#REF!</v>
          </cell>
          <cell r="T30"/>
          <cell r="U30"/>
          <cell r="V30"/>
          <cell r="W30"/>
          <cell r="X30">
            <v>15841</v>
          </cell>
          <cell r="Y30"/>
          <cell r="Z30"/>
          <cell r="AA30"/>
          <cell r="AB30"/>
          <cell r="AC30"/>
          <cell r="AD30"/>
          <cell r="AE30"/>
          <cell r="AF30" t="e">
            <v>#REF!</v>
          </cell>
          <cell r="AG30"/>
          <cell r="AH30"/>
          <cell r="AI30"/>
          <cell r="AJ30"/>
          <cell r="AK30">
            <v>38</v>
          </cell>
          <cell r="AL30"/>
          <cell r="AM30"/>
          <cell r="AN30" t="e">
            <v>#REF!</v>
          </cell>
          <cell r="AO30"/>
          <cell r="AP30"/>
          <cell r="AQ30"/>
          <cell r="AR30"/>
          <cell r="AS30">
            <v>4620</v>
          </cell>
          <cell r="AT30" t="str">
            <v>Parts &amp; Access. - R.O. Body Shop - Nissan</v>
          </cell>
          <cell r="AU30"/>
          <cell r="AV30"/>
          <cell r="AW30"/>
          <cell r="AX30"/>
          <cell r="AY30"/>
          <cell r="AZ30"/>
          <cell r="BA30"/>
          <cell r="BB30"/>
          <cell r="BC30"/>
          <cell r="BD30"/>
          <cell r="BE30"/>
          <cell r="BF30"/>
          <cell r="BG30"/>
          <cell r="BH30"/>
          <cell r="BI30"/>
          <cell r="BJ30"/>
          <cell r="BK30"/>
          <cell r="BL30" t="e">
            <v>#REF!</v>
          </cell>
          <cell r="BM30"/>
          <cell r="BN30"/>
          <cell r="BO30"/>
          <cell r="BP30"/>
          <cell r="BQ30">
            <v>525338</v>
          </cell>
          <cell r="BR30"/>
          <cell r="BS30"/>
          <cell r="BT30"/>
          <cell r="BU30"/>
          <cell r="BV30"/>
          <cell r="BW30"/>
          <cell r="BX30"/>
          <cell r="BY30" t="e">
            <v>#REF!</v>
          </cell>
          <cell r="BZ30"/>
          <cell r="CA30"/>
          <cell r="CB30"/>
          <cell r="CC30"/>
          <cell r="CD30">
            <v>188237</v>
          </cell>
          <cell r="CE30"/>
          <cell r="CF30"/>
          <cell r="CG30"/>
          <cell r="CH30"/>
          <cell r="CI30"/>
          <cell r="CJ30"/>
          <cell r="CK30"/>
          <cell r="CL30" t="e">
            <v>#REF!</v>
          </cell>
          <cell r="CM30"/>
          <cell r="CN30"/>
          <cell r="CO30"/>
          <cell r="CP30"/>
          <cell r="CQ30">
            <v>35.799999999999997</v>
          </cell>
          <cell r="CR30"/>
          <cell r="CS30"/>
          <cell r="CT30" t="e">
            <v>#REF!</v>
          </cell>
          <cell r="CU30"/>
          <cell r="CV30"/>
          <cell r="CW30"/>
          <cell r="CX30"/>
          <cell r="CY30" t="str">
            <v>26</v>
          </cell>
        </row>
        <row r="31">
          <cell r="B31" t="str">
            <v>27</v>
          </cell>
          <cell r="C31">
            <v>84</v>
          </cell>
          <cell r="D31"/>
          <cell r="E31"/>
          <cell r="F31" t="e">
            <v>#REF!</v>
          </cell>
          <cell r="G31"/>
          <cell r="H31"/>
          <cell r="I31"/>
          <cell r="J31"/>
          <cell r="K31">
            <v>5156</v>
          </cell>
          <cell r="L31"/>
          <cell r="M31"/>
          <cell r="N31"/>
          <cell r="O31"/>
          <cell r="P31"/>
          <cell r="Q31"/>
          <cell r="R31"/>
          <cell r="S31" t="e">
            <v>#REF!</v>
          </cell>
          <cell r="T31"/>
          <cell r="U31"/>
          <cell r="V31"/>
          <cell r="W31"/>
          <cell r="X31">
            <v>2236</v>
          </cell>
          <cell r="Y31"/>
          <cell r="Z31"/>
          <cell r="AA31"/>
          <cell r="AB31"/>
          <cell r="AC31"/>
          <cell r="AD31"/>
          <cell r="AE31"/>
          <cell r="AF31" t="e">
            <v>#REF!</v>
          </cell>
          <cell r="AG31"/>
          <cell r="AH31"/>
          <cell r="AI31"/>
          <cell r="AJ31"/>
          <cell r="AK31">
            <v>43.4</v>
          </cell>
          <cell r="AL31"/>
          <cell r="AM31"/>
          <cell r="AN31" t="e">
            <v>#REF!</v>
          </cell>
          <cell r="AO31"/>
          <cell r="AP31"/>
          <cell r="AQ31"/>
          <cell r="AR31"/>
          <cell r="AS31">
            <v>4660</v>
          </cell>
          <cell r="AT31" t="str">
            <v>Parts &amp; Access. - Counter Retail - Nissan</v>
          </cell>
          <cell r="AU31"/>
          <cell r="AV31"/>
          <cell r="AW31"/>
          <cell r="AX31"/>
          <cell r="AY31"/>
          <cell r="AZ31"/>
          <cell r="BA31"/>
          <cell r="BB31"/>
          <cell r="BC31"/>
          <cell r="BD31"/>
          <cell r="BE31"/>
          <cell r="BF31"/>
          <cell r="BG31"/>
          <cell r="BH31"/>
          <cell r="BI31">
            <v>985</v>
          </cell>
          <cell r="BJ31"/>
          <cell r="BK31"/>
          <cell r="BL31" t="e">
            <v>#REF!</v>
          </cell>
          <cell r="BM31"/>
          <cell r="BN31"/>
          <cell r="BO31"/>
          <cell r="BP31"/>
          <cell r="BQ31">
            <v>58565</v>
          </cell>
          <cell r="BR31"/>
          <cell r="BS31"/>
          <cell r="BT31"/>
          <cell r="BU31"/>
          <cell r="BV31"/>
          <cell r="BW31"/>
          <cell r="BX31"/>
          <cell r="BY31" t="e">
            <v>#REF!</v>
          </cell>
          <cell r="BZ31"/>
          <cell r="CA31"/>
          <cell r="CB31"/>
          <cell r="CC31"/>
          <cell r="CD31">
            <v>24859</v>
          </cell>
          <cell r="CE31"/>
          <cell r="CF31"/>
          <cell r="CG31"/>
          <cell r="CH31"/>
          <cell r="CI31"/>
          <cell r="CJ31"/>
          <cell r="CK31"/>
          <cell r="CL31" t="e">
            <v>#REF!</v>
          </cell>
          <cell r="CM31"/>
          <cell r="CN31"/>
          <cell r="CO31"/>
          <cell r="CP31"/>
          <cell r="CQ31">
            <v>42.4</v>
          </cell>
          <cell r="CR31"/>
          <cell r="CS31"/>
          <cell r="CT31" t="e">
            <v>#REF!</v>
          </cell>
          <cell r="CU31"/>
          <cell r="CV31"/>
          <cell r="CW31"/>
          <cell r="CX31"/>
          <cell r="CY31" t="str">
            <v>27</v>
          </cell>
        </row>
        <row r="32">
          <cell r="B32" t="str">
            <v>28</v>
          </cell>
          <cell r="C32">
            <v>670</v>
          </cell>
          <cell r="D32"/>
          <cell r="E32"/>
          <cell r="F32" t="e">
            <v>#REF!</v>
          </cell>
          <cell r="G32"/>
          <cell r="H32"/>
          <cell r="I32"/>
          <cell r="J32"/>
          <cell r="K32">
            <v>146737</v>
          </cell>
          <cell r="L32"/>
          <cell r="M32"/>
          <cell r="N32"/>
          <cell r="O32"/>
          <cell r="P32"/>
          <cell r="Q32"/>
          <cell r="R32"/>
          <cell r="S32" t="e">
            <v>#REF!</v>
          </cell>
          <cell r="T32"/>
          <cell r="U32"/>
          <cell r="V32"/>
          <cell r="W32"/>
          <cell r="X32">
            <v>31094</v>
          </cell>
          <cell r="Y32"/>
          <cell r="Z32"/>
          <cell r="AA32"/>
          <cell r="AB32"/>
          <cell r="AC32"/>
          <cell r="AD32"/>
          <cell r="AE32"/>
          <cell r="AF32" t="e">
            <v>#REF!</v>
          </cell>
          <cell r="AG32"/>
          <cell r="AH32"/>
          <cell r="AI32"/>
          <cell r="AJ32"/>
          <cell r="AK32">
            <v>21.2</v>
          </cell>
          <cell r="AL32"/>
          <cell r="AM32"/>
          <cell r="AN32" t="e">
            <v>#REF!</v>
          </cell>
          <cell r="AO32"/>
          <cell r="AP32"/>
          <cell r="AQ32"/>
          <cell r="AR32"/>
          <cell r="AS32">
            <v>4670</v>
          </cell>
          <cell r="AT32" t="str">
            <v>Parts &amp; Access. - Wholesale - Nissan</v>
          </cell>
          <cell r="AU32"/>
          <cell r="AV32"/>
          <cell r="AW32"/>
          <cell r="AX32"/>
          <cell r="AY32"/>
          <cell r="AZ32"/>
          <cell r="BA32"/>
          <cell r="BB32"/>
          <cell r="BC32"/>
          <cell r="BD32"/>
          <cell r="BE32"/>
          <cell r="BF32"/>
          <cell r="BG32"/>
          <cell r="BH32"/>
          <cell r="BI32">
            <v>7887</v>
          </cell>
          <cell r="BJ32"/>
          <cell r="BK32"/>
          <cell r="BL32" t="e">
            <v>#REF!</v>
          </cell>
          <cell r="BM32"/>
          <cell r="BN32"/>
          <cell r="BO32"/>
          <cell r="BP32"/>
          <cell r="BQ32">
            <v>1778815</v>
          </cell>
          <cell r="BR32"/>
          <cell r="BS32"/>
          <cell r="BT32"/>
          <cell r="BU32"/>
          <cell r="BV32"/>
          <cell r="BW32"/>
          <cell r="BX32"/>
          <cell r="BY32" t="e">
            <v>#REF!</v>
          </cell>
          <cell r="BZ32"/>
          <cell r="CA32"/>
          <cell r="CB32"/>
          <cell r="CC32"/>
          <cell r="CD32">
            <v>400999</v>
          </cell>
          <cell r="CE32"/>
          <cell r="CF32"/>
          <cell r="CG32"/>
          <cell r="CH32"/>
          <cell r="CI32"/>
          <cell r="CJ32"/>
          <cell r="CK32"/>
          <cell r="CL32" t="e">
            <v>#REF!</v>
          </cell>
          <cell r="CM32"/>
          <cell r="CN32"/>
          <cell r="CO32"/>
          <cell r="CP32"/>
          <cell r="CQ32">
            <v>22.5</v>
          </cell>
          <cell r="CR32"/>
          <cell r="CS32"/>
          <cell r="CT32" t="e">
            <v>#REF!</v>
          </cell>
          <cell r="CU32"/>
          <cell r="CV32"/>
          <cell r="CW32"/>
          <cell r="CX32"/>
          <cell r="CY32" t="str">
            <v>28</v>
          </cell>
        </row>
        <row r="33">
          <cell r="B33" t="str">
            <v>29</v>
          </cell>
          <cell r="C33">
            <v>754</v>
          </cell>
          <cell r="D33"/>
          <cell r="E33"/>
          <cell r="F33" t="e">
            <v>#REF!</v>
          </cell>
          <cell r="G33"/>
          <cell r="H33"/>
          <cell r="I33"/>
          <cell r="J33"/>
          <cell r="K33">
            <v>429411</v>
          </cell>
          <cell r="L33"/>
          <cell r="M33"/>
          <cell r="N33"/>
          <cell r="O33"/>
          <cell r="P33"/>
          <cell r="Q33"/>
          <cell r="R33"/>
          <cell r="S33" t="e">
            <v>#REF!</v>
          </cell>
          <cell r="T33"/>
          <cell r="U33"/>
          <cell r="V33"/>
          <cell r="W33"/>
          <cell r="X33">
            <v>123994</v>
          </cell>
          <cell r="Y33"/>
          <cell r="Z33"/>
          <cell r="AA33"/>
          <cell r="AB33"/>
          <cell r="AC33"/>
          <cell r="AD33"/>
          <cell r="AE33"/>
          <cell r="AF33" t="e">
            <v>#REF!</v>
          </cell>
          <cell r="AG33"/>
          <cell r="AH33"/>
          <cell r="AI33"/>
          <cell r="AJ33"/>
          <cell r="AK33">
            <v>28.9</v>
          </cell>
          <cell r="AL33"/>
          <cell r="AM33"/>
          <cell r="AN33" t="e">
            <v>#REF!</v>
          </cell>
          <cell r="AO33"/>
          <cell r="AP33"/>
          <cell r="AQ33"/>
          <cell r="AR33"/>
          <cell r="AS33"/>
          <cell r="AT33" t="str">
            <v>SUBTOTAL - P &amp; A NISSAN</v>
          </cell>
          <cell r="AU33"/>
          <cell r="AV33"/>
          <cell r="AW33"/>
          <cell r="AX33"/>
          <cell r="AY33"/>
          <cell r="AZ33"/>
          <cell r="BA33"/>
          <cell r="BB33"/>
          <cell r="BC33"/>
          <cell r="BD33"/>
          <cell r="BE33"/>
          <cell r="BF33"/>
          <cell r="BG33"/>
          <cell r="BH33" t="str">
            <v xml:space="preserve">(Lines 19 to 28) </v>
          </cell>
          <cell r="BI33">
            <v>8872</v>
          </cell>
          <cell r="BJ33"/>
          <cell r="BK33"/>
          <cell r="BL33" t="e">
            <v>#REF!</v>
          </cell>
          <cell r="BM33"/>
          <cell r="BN33"/>
          <cell r="BO33"/>
          <cell r="BP33"/>
          <cell r="BQ33">
            <v>4796507</v>
          </cell>
          <cell r="BR33"/>
          <cell r="BS33"/>
          <cell r="BT33"/>
          <cell r="BU33"/>
          <cell r="BV33"/>
          <cell r="BW33"/>
          <cell r="BX33"/>
          <cell r="BY33" t="e">
            <v>#REF!</v>
          </cell>
          <cell r="BZ33"/>
          <cell r="CA33"/>
          <cell r="CB33"/>
          <cell r="CC33"/>
          <cell r="CD33">
            <v>1429307</v>
          </cell>
          <cell r="CE33"/>
          <cell r="CF33"/>
          <cell r="CG33"/>
          <cell r="CH33"/>
          <cell r="CI33"/>
          <cell r="CJ33"/>
          <cell r="CK33"/>
          <cell r="CL33" t="e">
            <v>#REF!</v>
          </cell>
          <cell r="CM33"/>
          <cell r="CN33"/>
          <cell r="CO33"/>
          <cell r="CP33"/>
          <cell r="CQ33">
            <v>29.8</v>
          </cell>
          <cell r="CR33"/>
          <cell r="CS33"/>
          <cell r="CT33" t="e">
            <v>#REF!</v>
          </cell>
          <cell r="CU33"/>
          <cell r="CV33"/>
          <cell r="CW33"/>
          <cell r="CX33"/>
          <cell r="CY33" t="str">
            <v>29</v>
          </cell>
        </row>
        <row r="34">
          <cell r="B34" t="str">
            <v>30</v>
          </cell>
          <cell r="C34"/>
          <cell r="D34"/>
          <cell r="E34"/>
          <cell r="F34" t="e">
            <v>#REF!</v>
          </cell>
          <cell r="G34"/>
          <cell r="H34"/>
          <cell r="I34"/>
          <cell r="J34"/>
          <cell r="K34">
            <v>11384</v>
          </cell>
          <cell r="L34"/>
          <cell r="M34"/>
          <cell r="N34"/>
          <cell r="O34"/>
          <cell r="P34"/>
          <cell r="Q34"/>
          <cell r="R34"/>
          <cell r="S34" t="e">
            <v>#REF!</v>
          </cell>
          <cell r="T34"/>
          <cell r="U34"/>
          <cell r="V34"/>
          <cell r="W34"/>
          <cell r="X34">
            <v>4262</v>
          </cell>
          <cell r="Y34"/>
          <cell r="Z34"/>
          <cell r="AA34"/>
          <cell r="AB34"/>
          <cell r="AC34"/>
          <cell r="AD34"/>
          <cell r="AE34"/>
          <cell r="AF34" t="e">
            <v>#REF!</v>
          </cell>
          <cell r="AG34"/>
          <cell r="AH34"/>
          <cell r="AI34"/>
          <cell r="AJ34"/>
          <cell r="AK34">
            <v>37.4</v>
          </cell>
          <cell r="AL34"/>
          <cell r="AM34"/>
          <cell r="AN34" t="e">
            <v>#REF!</v>
          </cell>
          <cell r="AO34"/>
          <cell r="AP34"/>
          <cell r="AQ34"/>
          <cell r="AR34"/>
          <cell r="AS34">
            <v>4602</v>
          </cell>
          <cell r="AT34" t="str">
            <v>Express Service - Parts &amp; Access. R.O. - Nissan</v>
          </cell>
          <cell r="AU34"/>
          <cell r="AV34"/>
          <cell r="AW34"/>
          <cell r="AX34"/>
          <cell r="AY34"/>
          <cell r="AZ34"/>
          <cell r="BA34"/>
          <cell r="BB34"/>
          <cell r="BC34"/>
          <cell r="BD34"/>
          <cell r="BE34"/>
          <cell r="BF34"/>
          <cell r="BG34"/>
          <cell r="BH34"/>
          <cell r="BI34"/>
          <cell r="BJ34"/>
          <cell r="BK34"/>
          <cell r="BL34" t="e">
            <v>#REF!</v>
          </cell>
          <cell r="BM34"/>
          <cell r="BN34"/>
          <cell r="BO34"/>
          <cell r="BP34"/>
          <cell r="BQ34">
            <v>135631</v>
          </cell>
          <cell r="BR34"/>
          <cell r="BS34"/>
          <cell r="BT34"/>
          <cell r="BU34"/>
          <cell r="BV34"/>
          <cell r="BW34"/>
          <cell r="BX34"/>
          <cell r="BY34" t="e">
            <v>#REF!</v>
          </cell>
          <cell r="BZ34"/>
          <cell r="CA34"/>
          <cell r="CB34"/>
          <cell r="CC34"/>
          <cell r="CD34">
            <v>52164</v>
          </cell>
          <cell r="CE34"/>
          <cell r="CF34"/>
          <cell r="CG34"/>
          <cell r="CH34"/>
          <cell r="CI34"/>
          <cell r="CJ34"/>
          <cell r="CK34"/>
          <cell r="CL34" t="e">
            <v>#REF!</v>
          </cell>
          <cell r="CM34"/>
          <cell r="CN34"/>
          <cell r="CO34"/>
          <cell r="CP34"/>
          <cell r="CQ34">
            <v>38.5</v>
          </cell>
          <cell r="CR34"/>
          <cell r="CS34"/>
          <cell r="CT34" t="e">
            <v>#REF!</v>
          </cell>
          <cell r="CU34"/>
          <cell r="CV34"/>
          <cell r="CW34"/>
          <cell r="CX34"/>
          <cell r="CY34" t="str">
            <v>30</v>
          </cell>
        </row>
        <row r="35">
          <cell r="B35" t="str">
            <v>31</v>
          </cell>
          <cell r="C35"/>
          <cell r="D35"/>
          <cell r="E35"/>
          <cell r="F35" t="e">
            <v>#REF!</v>
          </cell>
          <cell r="G35"/>
          <cell r="H35"/>
          <cell r="I35"/>
          <cell r="J35"/>
          <cell r="K35">
            <v>0</v>
          </cell>
          <cell r="L35"/>
          <cell r="M35"/>
          <cell r="N35"/>
          <cell r="O35"/>
          <cell r="P35"/>
          <cell r="Q35"/>
          <cell r="R35"/>
          <cell r="S35" t="e">
            <v>#REF!</v>
          </cell>
          <cell r="T35"/>
          <cell r="U35"/>
          <cell r="V35"/>
          <cell r="W35"/>
          <cell r="X35">
            <v>0</v>
          </cell>
          <cell r="Y35"/>
          <cell r="Z35"/>
          <cell r="AA35"/>
          <cell r="AB35"/>
          <cell r="AC35"/>
          <cell r="AD35"/>
          <cell r="AE35"/>
          <cell r="AF35" t="e">
            <v>#REF!</v>
          </cell>
          <cell r="AG35"/>
          <cell r="AH35"/>
          <cell r="AI35"/>
          <cell r="AJ35"/>
          <cell r="AK35">
            <v>0</v>
          </cell>
          <cell r="AL35"/>
          <cell r="AM35"/>
          <cell r="AN35" t="e">
            <v>#REF!</v>
          </cell>
          <cell r="AO35"/>
          <cell r="AP35"/>
          <cell r="AQ35"/>
          <cell r="AR35"/>
          <cell r="AS35">
            <v>4606</v>
          </cell>
          <cell r="AT35" t="str">
            <v>Express Service - Svc. / Maint Contract Parts - Nissan</v>
          </cell>
          <cell r="AU35"/>
          <cell r="AV35"/>
          <cell r="AW35"/>
          <cell r="AX35"/>
          <cell r="AY35"/>
          <cell r="AZ35"/>
          <cell r="BA35"/>
          <cell r="BB35"/>
          <cell r="BC35"/>
          <cell r="BD35"/>
          <cell r="BE35"/>
          <cell r="BF35"/>
          <cell r="BG35"/>
          <cell r="BH35"/>
          <cell r="BI35"/>
          <cell r="BJ35"/>
          <cell r="BK35"/>
          <cell r="BL35" t="e">
            <v>#REF!</v>
          </cell>
          <cell r="BM35"/>
          <cell r="BN35"/>
          <cell r="BO35"/>
          <cell r="BP35"/>
          <cell r="BQ35">
            <v>0</v>
          </cell>
          <cell r="BR35"/>
          <cell r="BS35"/>
          <cell r="BT35"/>
          <cell r="BU35"/>
          <cell r="BV35"/>
          <cell r="BW35"/>
          <cell r="BX35"/>
          <cell r="BY35" t="e">
            <v>#REF!</v>
          </cell>
          <cell r="BZ35"/>
          <cell r="CA35"/>
          <cell r="CB35"/>
          <cell r="CC35"/>
          <cell r="CD35">
            <v>0</v>
          </cell>
          <cell r="CE35"/>
          <cell r="CF35"/>
          <cell r="CG35"/>
          <cell r="CH35"/>
          <cell r="CI35"/>
          <cell r="CJ35"/>
          <cell r="CK35"/>
          <cell r="CL35" t="e">
            <v>#REF!</v>
          </cell>
          <cell r="CM35"/>
          <cell r="CN35"/>
          <cell r="CO35"/>
          <cell r="CP35"/>
          <cell r="CQ35">
            <v>0</v>
          </cell>
          <cell r="CR35"/>
          <cell r="CS35"/>
          <cell r="CT35" t="e">
            <v>#REF!</v>
          </cell>
          <cell r="CU35"/>
          <cell r="CV35"/>
          <cell r="CW35"/>
          <cell r="CX35"/>
          <cell r="CY35" t="str">
            <v>31</v>
          </cell>
        </row>
        <row r="36">
          <cell r="B36" t="str">
            <v>32</v>
          </cell>
          <cell r="C36"/>
          <cell r="D36"/>
          <cell r="E36"/>
          <cell r="F36" t="e">
            <v>#REF!</v>
          </cell>
          <cell r="G36"/>
          <cell r="H36"/>
          <cell r="I36"/>
          <cell r="J36"/>
          <cell r="K36">
            <v>0</v>
          </cell>
          <cell r="L36"/>
          <cell r="M36"/>
          <cell r="N36"/>
          <cell r="O36"/>
          <cell r="P36"/>
          <cell r="Q36"/>
          <cell r="R36"/>
          <cell r="S36" t="e">
            <v>#REF!</v>
          </cell>
          <cell r="T36"/>
          <cell r="U36"/>
          <cell r="V36"/>
          <cell r="W36"/>
          <cell r="X36">
            <v>0</v>
          </cell>
          <cell r="Y36"/>
          <cell r="Z36"/>
          <cell r="AA36"/>
          <cell r="AB36"/>
          <cell r="AC36"/>
          <cell r="AD36"/>
          <cell r="AE36"/>
          <cell r="AF36" t="e">
            <v>#REF!</v>
          </cell>
          <cell r="AG36"/>
          <cell r="AH36"/>
          <cell r="AI36"/>
          <cell r="AJ36"/>
          <cell r="AK36">
            <v>0</v>
          </cell>
          <cell r="AL36"/>
          <cell r="AM36"/>
          <cell r="AN36" t="e">
            <v>#REF!</v>
          </cell>
          <cell r="AO36"/>
          <cell r="AP36"/>
          <cell r="AQ36"/>
          <cell r="AR36"/>
          <cell r="AS36">
            <v>4643</v>
          </cell>
          <cell r="AT36" t="str">
            <v>Express Service Warranty Parts - Nissan</v>
          </cell>
          <cell r="AU36"/>
          <cell r="AV36"/>
          <cell r="AW36"/>
          <cell r="AX36"/>
          <cell r="AY36"/>
          <cell r="AZ36"/>
          <cell r="BA36"/>
          <cell r="BB36"/>
          <cell r="BC36"/>
          <cell r="BD36"/>
          <cell r="BE36"/>
          <cell r="BF36"/>
          <cell r="BG36"/>
          <cell r="BH36"/>
          <cell r="BI36"/>
          <cell r="BJ36"/>
          <cell r="BK36"/>
          <cell r="BL36" t="e">
            <v>#REF!</v>
          </cell>
          <cell r="BM36"/>
          <cell r="BN36"/>
          <cell r="BO36"/>
          <cell r="BP36"/>
          <cell r="BQ36">
            <v>0</v>
          </cell>
          <cell r="BR36"/>
          <cell r="BS36"/>
          <cell r="BT36"/>
          <cell r="BU36"/>
          <cell r="BV36"/>
          <cell r="BW36"/>
          <cell r="BX36"/>
          <cell r="BY36" t="e">
            <v>#REF!</v>
          </cell>
          <cell r="BZ36"/>
          <cell r="CA36"/>
          <cell r="CB36"/>
          <cell r="CC36"/>
          <cell r="CD36">
            <v>0</v>
          </cell>
          <cell r="CE36"/>
          <cell r="CF36"/>
          <cell r="CG36"/>
          <cell r="CH36"/>
          <cell r="CI36"/>
          <cell r="CJ36"/>
          <cell r="CK36"/>
          <cell r="CL36" t="e">
            <v>#REF!</v>
          </cell>
          <cell r="CM36"/>
          <cell r="CN36"/>
          <cell r="CO36"/>
          <cell r="CP36"/>
          <cell r="CQ36">
            <v>0</v>
          </cell>
          <cell r="CR36"/>
          <cell r="CS36"/>
          <cell r="CT36" t="e">
            <v>#REF!</v>
          </cell>
          <cell r="CU36"/>
          <cell r="CV36"/>
          <cell r="CW36"/>
          <cell r="CX36"/>
          <cell r="CY36" t="str">
            <v>32</v>
          </cell>
        </row>
        <row r="37">
          <cell r="B37" t="str">
            <v>33</v>
          </cell>
          <cell r="C37"/>
          <cell r="D37"/>
          <cell r="E37"/>
          <cell r="F37" t="e">
            <v>#REF!</v>
          </cell>
          <cell r="G37"/>
          <cell r="H37"/>
          <cell r="I37"/>
          <cell r="J37"/>
          <cell r="K37">
            <v>0</v>
          </cell>
          <cell r="L37"/>
          <cell r="M37"/>
          <cell r="N37"/>
          <cell r="O37"/>
          <cell r="P37"/>
          <cell r="Q37"/>
          <cell r="R37"/>
          <cell r="S37" t="e">
            <v>#REF!</v>
          </cell>
          <cell r="T37"/>
          <cell r="U37"/>
          <cell r="V37"/>
          <cell r="W37"/>
          <cell r="X37">
            <v>0</v>
          </cell>
          <cell r="Y37"/>
          <cell r="Z37"/>
          <cell r="AA37"/>
          <cell r="AB37"/>
          <cell r="AC37"/>
          <cell r="AD37"/>
          <cell r="AE37"/>
          <cell r="AF37" t="e">
            <v>#REF!</v>
          </cell>
          <cell r="AG37"/>
          <cell r="AH37"/>
          <cell r="AI37"/>
          <cell r="AJ37"/>
          <cell r="AK37">
            <v>0</v>
          </cell>
          <cell r="AL37"/>
          <cell r="AM37"/>
          <cell r="AN37" t="e">
            <v>#REF!</v>
          </cell>
          <cell r="AO37"/>
          <cell r="AP37"/>
          <cell r="AQ37"/>
          <cell r="AR37"/>
          <cell r="AS37">
            <v>4653</v>
          </cell>
          <cell r="AT37" t="str">
            <v>Express Service - Internal Parts - Nissan</v>
          </cell>
          <cell r="AU37"/>
          <cell r="AV37"/>
          <cell r="AW37"/>
          <cell r="AX37"/>
          <cell r="AY37"/>
          <cell r="AZ37"/>
          <cell r="BA37"/>
          <cell r="BB37"/>
          <cell r="BC37"/>
          <cell r="BD37"/>
          <cell r="BE37"/>
          <cell r="BF37"/>
          <cell r="BG37"/>
          <cell r="BH37"/>
          <cell r="BI37"/>
          <cell r="BJ37"/>
          <cell r="BK37"/>
          <cell r="BL37" t="e">
            <v>#REF!</v>
          </cell>
          <cell r="BM37"/>
          <cell r="BN37"/>
          <cell r="BO37"/>
          <cell r="BP37"/>
          <cell r="BQ37">
            <v>0</v>
          </cell>
          <cell r="BR37"/>
          <cell r="BS37"/>
          <cell r="BT37"/>
          <cell r="BU37"/>
          <cell r="BV37"/>
          <cell r="BW37"/>
          <cell r="BX37"/>
          <cell r="BY37" t="e">
            <v>#REF!</v>
          </cell>
          <cell r="BZ37"/>
          <cell r="CA37"/>
          <cell r="CB37"/>
          <cell r="CC37"/>
          <cell r="CD37">
            <v>0</v>
          </cell>
          <cell r="CE37"/>
          <cell r="CF37"/>
          <cell r="CG37"/>
          <cell r="CH37"/>
          <cell r="CI37"/>
          <cell r="CJ37"/>
          <cell r="CK37"/>
          <cell r="CL37" t="e">
            <v>#REF!</v>
          </cell>
          <cell r="CM37"/>
          <cell r="CN37"/>
          <cell r="CO37"/>
          <cell r="CP37"/>
          <cell r="CQ37">
            <v>0</v>
          </cell>
          <cell r="CR37"/>
          <cell r="CS37"/>
          <cell r="CT37" t="e">
            <v>#REF!</v>
          </cell>
          <cell r="CU37"/>
          <cell r="CV37"/>
          <cell r="CW37"/>
          <cell r="CX37"/>
          <cell r="CY37" t="str">
            <v>33</v>
          </cell>
        </row>
        <row r="38">
          <cell r="B38" t="str">
            <v>34</v>
          </cell>
          <cell r="C38"/>
          <cell r="D38"/>
          <cell r="E38"/>
          <cell r="F38"/>
          <cell r="G38"/>
          <cell r="H38"/>
          <cell r="I38"/>
          <cell r="J38"/>
          <cell r="K38">
            <v>0</v>
          </cell>
          <cell r="L38"/>
          <cell r="M38"/>
          <cell r="N38"/>
          <cell r="O38"/>
          <cell r="P38"/>
          <cell r="Q38"/>
          <cell r="R38"/>
          <cell r="S38" t="e">
            <v>#REF!</v>
          </cell>
          <cell r="T38"/>
          <cell r="U38"/>
          <cell r="V38"/>
          <cell r="W38"/>
          <cell r="X38">
            <v>0</v>
          </cell>
          <cell r="Y38"/>
          <cell r="Z38"/>
          <cell r="AA38"/>
          <cell r="AB38"/>
          <cell r="AC38"/>
          <cell r="AD38"/>
          <cell r="AE38"/>
          <cell r="AF38" t="e">
            <v>#REF!</v>
          </cell>
          <cell r="AG38"/>
          <cell r="AH38"/>
          <cell r="AI38"/>
          <cell r="AJ38"/>
          <cell r="AK38">
            <v>0</v>
          </cell>
          <cell r="AL38"/>
          <cell r="AM38"/>
          <cell r="AN38"/>
          <cell r="AO38"/>
          <cell r="AP38"/>
          <cell r="AQ38"/>
          <cell r="AR38"/>
          <cell r="AS38">
            <v>4667</v>
          </cell>
          <cell r="AT38" t="str">
            <v>Express Service - Tire Sales - R.O. - Nissan</v>
          </cell>
          <cell r="AU38"/>
          <cell r="AV38"/>
          <cell r="AW38"/>
          <cell r="AX38"/>
          <cell r="AY38"/>
          <cell r="AZ38"/>
          <cell r="BA38"/>
          <cell r="BB38"/>
          <cell r="BC38"/>
          <cell r="BD38"/>
          <cell r="BE38"/>
          <cell r="BF38"/>
          <cell r="BG38"/>
          <cell r="BH38"/>
          <cell r="BI38"/>
          <cell r="BJ38"/>
          <cell r="BK38"/>
          <cell r="BL38"/>
          <cell r="BM38"/>
          <cell r="BN38"/>
          <cell r="BO38"/>
          <cell r="BP38"/>
          <cell r="BQ38">
            <v>0</v>
          </cell>
          <cell r="BR38"/>
          <cell r="BS38"/>
          <cell r="BT38"/>
          <cell r="BU38"/>
          <cell r="BV38"/>
          <cell r="BW38"/>
          <cell r="BX38"/>
          <cell r="BY38" t="e">
            <v>#REF!</v>
          </cell>
          <cell r="BZ38"/>
          <cell r="CA38"/>
          <cell r="CB38"/>
          <cell r="CC38"/>
          <cell r="CD38">
            <v>0</v>
          </cell>
          <cell r="CE38"/>
          <cell r="CF38"/>
          <cell r="CG38"/>
          <cell r="CH38"/>
          <cell r="CI38"/>
          <cell r="CJ38"/>
          <cell r="CK38"/>
          <cell r="CL38" t="e">
            <v>#REF!</v>
          </cell>
          <cell r="CM38"/>
          <cell r="CN38"/>
          <cell r="CO38"/>
          <cell r="CP38"/>
          <cell r="CQ38">
            <v>0</v>
          </cell>
          <cell r="CR38"/>
          <cell r="CS38"/>
          <cell r="CT38" t="e">
            <v>#REF!</v>
          </cell>
          <cell r="CU38"/>
          <cell r="CV38"/>
          <cell r="CW38"/>
          <cell r="CX38"/>
          <cell r="CY38" t="str">
            <v>34</v>
          </cell>
        </row>
        <row r="39">
          <cell r="B39" t="str">
            <v>35</v>
          </cell>
          <cell r="C39"/>
          <cell r="D39"/>
          <cell r="E39"/>
          <cell r="F39"/>
          <cell r="G39"/>
          <cell r="H39"/>
          <cell r="I39"/>
          <cell r="J39"/>
          <cell r="K39">
            <v>11384</v>
          </cell>
          <cell r="L39"/>
          <cell r="M39"/>
          <cell r="N39"/>
          <cell r="O39"/>
          <cell r="P39"/>
          <cell r="Q39"/>
          <cell r="R39"/>
          <cell r="S39" t="e">
            <v>#REF!</v>
          </cell>
          <cell r="T39"/>
          <cell r="U39"/>
          <cell r="V39"/>
          <cell r="W39"/>
          <cell r="X39">
            <v>4262</v>
          </cell>
          <cell r="Y39"/>
          <cell r="Z39"/>
          <cell r="AA39"/>
          <cell r="AB39"/>
          <cell r="AC39"/>
          <cell r="AD39"/>
          <cell r="AE39"/>
          <cell r="AF39" t="e">
            <v>#REF!</v>
          </cell>
          <cell r="AG39"/>
          <cell r="AH39"/>
          <cell r="AI39"/>
          <cell r="AJ39"/>
          <cell r="AK39">
            <v>37.4</v>
          </cell>
          <cell r="AL39"/>
          <cell r="AM39"/>
          <cell r="AN39"/>
          <cell r="AO39"/>
          <cell r="AP39"/>
          <cell r="AQ39"/>
          <cell r="AR39"/>
          <cell r="AS39"/>
          <cell r="AT39" t="str">
            <v>SUBTOTAL - ES P &amp; A NISSAN</v>
          </cell>
          <cell r="AU39"/>
          <cell r="AV39"/>
          <cell r="AW39"/>
          <cell r="AX39"/>
          <cell r="AY39"/>
          <cell r="AZ39"/>
          <cell r="BA39"/>
          <cell r="BB39"/>
          <cell r="BC39"/>
          <cell r="BD39"/>
          <cell r="BE39"/>
          <cell r="BF39"/>
          <cell r="BG39"/>
          <cell r="BH39" t="str">
            <v>(Lines 30 to 34)</v>
          </cell>
          <cell r="BI39"/>
          <cell r="BJ39"/>
          <cell r="BK39"/>
          <cell r="BL39"/>
          <cell r="BM39"/>
          <cell r="BN39"/>
          <cell r="BO39"/>
          <cell r="BP39"/>
          <cell r="BQ39">
            <v>135631</v>
          </cell>
          <cell r="BR39"/>
          <cell r="BS39"/>
          <cell r="BT39"/>
          <cell r="BU39"/>
          <cell r="BV39"/>
          <cell r="BW39"/>
          <cell r="BX39"/>
          <cell r="BY39" t="e">
            <v>#REF!</v>
          </cell>
          <cell r="BZ39"/>
          <cell r="CA39"/>
          <cell r="CB39"/>
          <cell r="CC39"/>
          <cell r="CD39">
            <v>52164</v>
          </cell>
          <cell r="CE39"/>
          <cell r="CF39"/>
          <cell r="CG39"/>
          <cell r="CH39"/>
          <cell r="CI39"/>
          <cell r="CJ39"/>
          <cell r="CK39"/>
          <cell r="CL39" t="e">
            <v>#REF!</v>
          </cell>
          <cell r="CM39"/>
          <cell r="CN39"/>
          <cell r="CO39"/>
          <cell r="CP39"/>
          <cell r="CQ39">
            <v>38.5</v>
          </cell>
          <cell r="CR39"/>
          <cell r="CS39"/>
          <cell r="CT39" t="e">
            <v>#REF!</v>
          </cell>
          <cell r="CU39"/>
          <cell r="CV39"/>
          <cell r="CW39"/>
          <cell r="CX39"/>
          <cell r="CY39" t="str">
            <v>35</v>
          </cell>
        </row>
        <row r="40">
          <cell r="B40" t="str">
            <v>36</v>
          </cell>
          <cell r="C40"/>
          <cell r="D40"/>
          <cell r="E40"/>
          <cell r="F40" t="e">
            <v>#REF!</v>
          </cell>
          <cell r="G40"/>
          <cell r="H40"/>
          <cell r="I40"/>
          <cell r="J40"/>
          <cell r="K40">
            <v>0</v>
          </cell>
          <cell r="L40"/>
          <cell r="M40"/>
          <cell r="N40"/>
          <cell r="O40"/>
          <cell r="P40"/>
          <cell r="Q40"/>
          <cell r="R40"/>
          <cell r="S40" t="e">
            <v>#REF!</v>
          </cell>
          <cell r="T40"/>
          <cell r="U40"/>
          <cell r="V40"/>
          <cell r="W40"/>
          <cell r="X40">
            <v>0</v>
          </cell>
          <cell r="Y40"/>
          <cell r="Z40"/>
          <cell r="AA40"/>
          <cell r="AB40"/>
          <cell r="AC40"/>
          <cell r="AD40"/>
          <cell r="AE40"/>
          <cell r="AF40" t="e">
            <v>#REF!</v>
          </cell>
          <cell r="AG40"/>
          <cell r="AH40"/>
          <cell r="AI40"/>
          <cell r="AJ40"/>
          <cell r="AK40">
            <v>0</v>
          </cell>
          <cell r="AL40"/>
          <cell r="AM40"/>
          <cell r="AN40" t="e">
            <v>#REF!</v>
          </cell>
          <cell r="AO40"/>
          <cell r="AP40"/>
          <cell r="AQ40"/>
          <cell r="AR40"/>
          <cell r="AS40">
            <v>4630</v>
          </cell>
          <cell r="AT40" t="str">
            <v>Parts &amp; Access. - R.O. -  NCV</v>
          </cell>
          <cell r="AU40"/>
          <cell r="AV40"/>
          <cell r="AW40"/>
          <cell r="AX40"/>
          <cell r="AY40"/>
          <cell r="AZ40"/>
          <cell r="BA40"/>
          <cell r="BB40"/>
          <cell r="BC40"/>
          <cell r="BD40"/>
          <cell r="BE40"/>
          <cell r="BF40"/>
          <cell r="BG40"/>
          <cell r="BH40"/>
          <cell r="BI40"/>
          <cell r="BJ40"/>
          <cell r="BK40"/>
          <cell r="BL40" t="e">
            <v>#REF!</v>
          </cell>
          <cell r="BM40"/>
          <cell r="BN40"/>
          <cell r="BO40"/>
          <cell r="BP40"/>
          <cell r="BQ40">
            <v>2662</v>
          </cell>
          <cell r="BR40"/>
          <cell r="BS40"/>
          <cell r="BT40"/>
          <cell r="BU40"/>
          <cell r="BV40"/>
          <cell r="BW40"/>
          <cell r="BX40"/>
          <cell r="BY40" t="e">
            <v>#REF!</v>
          </cell>
          <cell r="BZ40"/>
          <cell r="CA40"/>
          <cell r="CB40"/>
          <cell r="CC40"/>
          <cell r="CD40">
            <v>1305</v>
          </cell>
          <cell r="CE40"/>
          <cell r="CF40"/>
          <cell r="CG40"/>
          <cell r="CH40"/>
          <cell r="CI40"/>
          <cell r="CJ40"/>
          <cell r="CK40"/>
          <cell r="CL40" t="e">
            <v>#REF!</v>
          </cell>
          <cell r="CM40"/>
          <cell r="CN40"/>
          <cell r="CO40"/>
          <cell r="CP40"/>
          <cell r="CQ40">
            <v>49</v>
          </cell>
          <cell r="CR40"/>
          <cell r="CS40"/>
          <cell r="CT40" t="e">
            <v>#REF!</v>
          </cell>
          <cell r="CU40"/>
          <cell r="CV40"/>
          <cell r="CW40"/>
          <cell r="CX40"/>
          <cell r="CY40" t="str">
            <v>36</v>
          </cell>
        </row>
        <row r="41">
          <cell r="B41" t="str">
            <v>37</v>
          </cell>
          <cell r="C41"/>
          <cell r="D41"/>
          <cell r="E41"/>
          <cell r="F41" t="e">
            <v>#REF!</v>
          </cell>
          <cell r="G41"/>
          <cell r="H41"/>
          <cell r="I41"/>
          <cell r="J41"/>
          <cell r="K41">
            <v>0</v>
          </cell>
          <cell r="L41"/>
          <cell r="M41"/>
          <cell r="N41"/>
          <cell r="O41"/>
          <cell r="P41"/>
          <cell r="Q41"/>
          <cell r="R41"/>
          <cell r="S41" t="e">
            <v>#REF!</v>
          </cell>
          <cell r="T41"/>
          <cell r="U41"/>
          <cell r="V41"/>
          <cell r="W41"/>
          <cell r="X41">
            <v>0</v>
          </cell>
          <cell r="Y41"/>
          <cell r="Z41"/>
          <cell r="AA41"/>
          <cell r="AB41"/>
          <cell r="AC41"/>
          <cell r="AD41"/>
          <cell r="AE41"/>
          <cell r="AF41" t="e">
            <v>#REF!</v>
          </cell>
          <cell r="AG41"/>
          <cell r="AH41"/>
          <cell r="AI41"/>
          <cell r="AJ41"/>
          <cell r="AK41">
            <v>0</v>
          </cell>
          <cell r="AL41"/>
          <cell r="AM41"/>
          <cell r="AN41" t="e">
            <v>#REF!</v>
          </cell>
          <cell r="AO41"/>
          <cell r="AP41"/>
          <cell r="AQ41"/>
          <cell r="AR41"/>
          <cell r="AS41">
            <v>4632</v>
          </cell>
          <cell r="AT41" t="str">
            <v>Express Service - Parts - NCV</v>
          </cell>
          <cell r="AU41"/>
          <cell r="AV41"/>
          <cell r="AW41"/>
          <cell r="AX41"/>
          <cell r="AY41"/>
          <cell r="AZ41"/>
          <cell r="BA41"/>
          <cell r="BB41"/>
          <cell r="BC41"/>
          <cell r="BD41"/>
          <cell r="BE41"/>
          <cell r="BF41"/>
          <cell r="BG41"/>
          <cell r="BH41"/>
          <cell r="BI41"/>
          <cell r="BJ41"/>
          <cell r="BK41"/>
          <cell r="BL41" t="e">
            <v>#REF!</v>
          </cell>
          <cell r="BM41"/>
          <cell r="BN41"/>
          <cell r="BO41"/>
          <cell r="BP41"/>
          <cell r="BQ41">
            <v>0</v>
          </cell>
          <cell r="BR41"/>
          <cell r="BS41"/>
          <cell r="BT41"/>
          <cell r="BU41"/>
          <cell r="BV41"/>
          <cell r="BW41"/>
          <cell r="BX41"/>
          <cell r="BY41" t="e">
            <v>#REF!</v>
          </cell>
          <cell r="BZ41"/>
          <cell r="CA41"/>
          <cell r="CB41"/>
          <cell r="CC41"/>
          <cell r="CD41">
            <v>0</v>
          </cell>
          <cell r="CE41"/>
          <cell r="CF41"/>
          <cell r="CG41"/>
          <cell r="CH41"/>
          <cell r="CI41"/>
          <cell r="CJ41"/>
          <cell r="CK41"/>
          <cell r="CL41" t="e">
            <v>#REF!</v>
          </cell>
          <cell r="CM41"/>
          <cell r="CN41"/>
          <cell r="CO41"/>
          <cell r="CP41"/>
          <cell r="CQ41">
            <v>0</v>
          </cell>
          <cell r="CR41"/>
          <cell r="CS41"/>
          <cell r="CT41" t="e">
            <v>#REF!</v>
          </cell>
          <cell r="CU41"/>
          <cell r="CV41"/>
          <cell r="CW41"/>
          <cell r="CX41"/>
          <cell r="CY41" t="str">
            <v>37</v>
          </cell>
        </row>
        <row r="42">
          <cell r="B42" t="str">
            <v>38</v>
          </cell>
          <cell r="C42"/>
          <cell r="D42"/>
          <cell r="E42"/>
          <cell r="F42" t="e">
            <v>#REF!</v>
          </cell>
          <cell r="G42"/>
          <cell r="H42"/>
          <cell r="I42"/>
          <cell r="J42"/>
          <cell r="K42">
            <v>0</v>
          </cell>
          <cell r="L42"/>
          <cell r="M42"/>
          <cell r="N42"/>
          <cell r="O42"/>
          <cell r="P42"/>
          <cell r="Q42"/>
          <cell r="R42"/>
          <cell r="S42" t="e">
            <v>#REF!</v>
          </cell>
          <cell r="T42"/>
          <cell r="U42"/>
          <cell r="V42"/>
          <cell r="W42"/>
          <cell r="X42">
            <v>0</v>
          </cell>
          <cell r="Y42"/>
          <cell r="Z42"/>
          <cell r="AA42"/>
          <cell r="AB42"/>
          <cell r="AC42"/>
          <cell r="AD42"/>
          <cell r="AE42"/>
          <cell r="AF42" t="e">
            <v>#REF!</v>
          </cell>
          <cell r="AG42"/>
          <cell r="AH42"/>
          <cell r="AI42"/>
          <cell r="AJ42"/>
          <cell r="AK42">
            <v>0</v>
          </cell>
          <cell r="AL42"/>
          <cell r="AM42"/>
          <cell r="AN42" t="e">
            <v>#REF!</v>
          </cell>
          <cell r="AO42"/>
          <cell r="AP42"/>
          <cell r="AQ42"/>
          <cell r="AR42"/>
          <cell r="AS42">
            <v>4634</v>
          </cell>
          <cell r="AT42" t="str">
            <v>Service / Maint. Contract - Parts - NCV</v>
          </cell>
          <cell r="AU42"/>
          <cell r="AV42"/>
          <cell r="AW42"/>
          <cell r="AX42"/>
          <cell r="AY42"/>
          <cell r="AZ42"/>
          <cell r="BA42"/>
          <cell r="BB42"/>
          <cell r="BC42"/>
          <cell r="BD42"/>
          <cell r="BE42"/>
          <cell r="BF42"/>
          <cell r="BG42"/>
          <cell r="BH42"/>
          <cell r="BI42"/>
          <cell r="BJ42"/>
          <cell r="BK42"/>
          <cell r="BL42" t="e">
            <v>#REF!</v>
          </cell>
          <cell r="BM42"/>
          <cell r="BN42"/>
          <cell r="BO42"/>
          <cell r="BP42"/>
          <cell r="BQ42">
            <v>0</v>
          </cell>
          <cell r="BR42"/>
          <cell r="BS42"/>
          <cell r="BT42"/>
          <cell r="BU42"/>
          <cell r="BV42"/>
          <cell r="BW42"/>
          <cell r="BX42"/>
          <cell r="BY42" t="e">
            <v>#REF!</v>
          </cell>
          <cell r="BZ42"/>
          <cell r="CA42"/>
          <cell r="CB42"/>
          <cell r="CC42"/>
          <cell r="CD42">
            <v>0</v>
          </cell>
          <cell r="CE42"/>
          <cell r="CF42"/>
          <cell r="CG42"/>
          <cell r="CH42"/>
          <cell r="CI42"/>
          <cell r="CJ42"/>
          <cell r="CK42"/>
          <cell r="CL42" t="e">
            <v>#REF!</v>
          </cell>
          <cell r="CM42"/>
          <cell r="CN42"/>
          <cell r="CO42"/>
          <cell r="CP42"/>
          <cell r="CQ42">
            <v>0</v>
          </cell>
          <cell r="CR42"/>
          <cell r="CS42"/>
          <cell r="CT42" t="e">
            <v>#REF!</v>
          </cell>
          <cell r="CU42"/>
          <cell r="CV42"/>
          <cell r="CW42"/>
          <cell r="CX42"/>
          <cell r="CY42" t="str">
            <v>38</v>
          </cell>
        </row>
        <row r="43">
          <cell r="B43" t="str">
            <v>39</v>
          </cell>
          <cell r="C43"/>
          <cell r="D43"/>
          <cell r="E43"/>
          <cell r="F43" t="e">
            <v>#REF!</v>
          </cell>
          <cell r="G43"/>
          <cell r="H43"/>
          <cell r="I43"/>
          <cell r="J43"/>
          <cell r="K43">
            <v>0</v>
          </cell>
          <cell r="L43"/>
          <cell r="M43"/>
          <cell r="N43"/>
          <cell r="O43"/>
          <cell r="P43"/>
          <cell r="Q43"/>
          <cell r="R43"/>
          <cell r="S43" t="e">
            <v>#REF!</v>
          </cell>
          <cell r="T43"/>
          <cell r="U43"/>
          <cell r="V43"/>
          <cell r="W43"/>
          <cell r="X43">
            <v>0</v>
          </cell>
          <cell r="Y43"/>
          <cell r="Z43"/>
          <cell r="AA43"/>
          <cell r="AB43"/>
          <cell r="AC43"/>
          <cell r="AD43"/>
          <cell r="AE43"/>
          <cell r="AF43" t="e">
            <v>#REF!</v>
          </cell>
          <cell r="AG43"/>
          <cell r="AH43"/>
          <cell r="AI43"/>
          <cell r="AJ43"/>
          <cell r="AK43">
            <v>0</v>
          </cell>
          <cell r="AL43"/>
          <cell r="AM43"/>
          <cell r="AN43" t="e">
            <v>#REF!</v>
          </cell>
          <cell r="AO43"/>
          <cell r="AP43"/>
          <cell r="AQ43"/>
          <cell r="AR43"/>
          <cell r="AS43">
            <v>4639</v>
          </cell>
          <cell r="AT43" t="str">
            <v>Tire Sales - R.O. - NCV</v>
          </cell>
          <cell r="AU43"/>
          <cell r="AV43"/>
          <cell r="AW43"/>
          <cell r="AX43"/>
          <cell r="AY43"/>
          <cell r="AZ43"/>
          <cell r="BA43"/>
          <cell r="BB43"/>
          <cell r="BC43"/>
          <cell r="BD43"/>
          <cell r="BE43"/>
          <cell r="BF43"/>
          <cell r="BG43"/>
          <cell r="BH43"/>
          <cell r="BI43"/>
          <cell r="BJ43"/>
          <cell r="BK43"/>
          <cell r="BL43" t="e">
            <v>#REF!</v>
          </cell>
          <cell r="BM43"/>
          <cell r="BN43"/>
          <cell r="BO43"/>
          <cell r="BP43"/>
          <cell r="BQ43">
            <v>0</v>
          </cell>
          <cell r="BR43"/>
          <cell r="BS43"/>
          <cell r="BT43"/>
          <cell r="BU43"/>
          <cell r="BV43"/>
          <cell r="BW43"/>
          <cell r="BX43"/>
          <cell r="BY43" t="e">
            <v>#REF!</v>
          </cell>
          <cell r="BZ43"/>
          <cell r="CA43"/>
          <cell r="CB43"/>
          <cell r="CC43"/>
          <cell r="CD43">
            <v>0</v>
          </cell>
          <cell r="CE43"/>
          <cell r="CF43"/>
          <cell r="CG43"/>
          <cell r="CH43"/>
          <cell r="CI43"/>
          <cell r="CJ43"/>
          <cell r="CK43"/>
          <cell r="CL43" t="e">
            <v>#REF!</v>
          </cell>
          <cell r="CM43"/>
          <cell r="CN43"/>
          <cell r="CO43"/>
          <cell r="CP43"/>
          <cell r="CQ43">
            <v>0</v>
          </cell>
          <cell r="CR43"/>
          <cell r="CS43"/>
          <cell r="CT43" t="e">
            <v>#REF!</v>
          </cell>
          <cell r="CU43"/>
          <cell r="CV43"/>
          <cell r="CW43"/>
          <cell r="CX43"/>
          <cell r="CY43" t="str">
            <v>39</v>
          </cell>
        </row>
        <row r="44">
          <cell r="B44" t="str">
            <v>40</v>
          </cell>
          <cell r="C44"/>
          <cell r="D44"/>
          <cell r="E44"/>
          <cell r="F44" t="e">
            <v>#REF!</v>
          </cell>
          <cell r="G44"/>
          <cell r="H44"/>
          <cell r="I44"/>
          <cell r="J44"/>
          <cell r="K44">
            <v>0</v>
          </cell>
          <cell r="L44"/>
          <cell r="M44"/>
          <cell r="N44"/>
          <cell r="O44"/>
          <cell r="P44"/>
          <cell r="Q44"/>
          <cell r="R44"/>
          <cell r="S44" t="e">
            <v>#REF!</v>
          </cell>
          <cell r="T44"/>
          <cell r="U44"/>
          <cell r="V44"/>
          <cell r="W44"/>
          <cell r="X44">
            <v>0</v>
          </cell>
          <cell r="Y44"/>
          <cell r="Z44"/>
          <cell r="AA44"/>
          <cell r="AB44"/>
          <cell r="AC44"/>
          <cell r="AD44"/>
          <cell r="AE44"/>
          <cell r="AF44" t="e">
            <v>#REF!</v>
          </cell>
          <cell r="AG44"/>
          <cell r="AH44"/>
          <cell r="AI44"/>
          <cell r="AJ44"/>
          <cell r="AK44">
            <v>0</v>
          </cell>
          <cell r="AL44"/>
          <cell r="AM44"/>
          <cell r="AN44" t="e">
            <v>#REF!</v>
          </cell>
          <cell r="AO44"/>
          <cell r="AP44"/>
          <cell r="AQ44"/>
          <cell r="AR44"/>
          <cell r="AS44">
            <v>4648</v>
          </cell>
          <cell r="AT44" t="str">
            <v>Parts &amp; Access. - Warranty Claims - NCV</v>
          </cell>
          <cell r="AU44"/>
          <cell r="AV44"/>
          <cell r="AW44"/>
          <cell r="AX44"/>
          <cell r="AY44"/>
          <cell r="AZ44"/>
          <cell r="BA44"/>
          <cell r="BB44"/>
          <cell r="BC44"/>
          <cell r="BD44"/>
          <cell r="BE44"/>
          <cell r="BF44"/>
          <cell r="BG44"/>
          <cell r="BH44"/>
          <cell r="BI44"/>
          <cell r="BJ44"/>
          <cell r="BK44"/>
          <cell r="BL44" t="e">
            <v>#REF!</v>
          </cell>
          <cell r="BM44"/>
          <cell r="BN44"/>
          <cell r="BO44"/>
          <cell r="BP44"/>
          <cell r="BQ44">
            <v>1477</v>
          </cell>
          <cell r="BR44"/>
          <cell r="BS44"/>
          <cell r="BT44"/>
          <cell r="BU44"/>
          <cell r="BV44"/>
          <cell r="BW44"/>
          <cell r="BX44"/>
          <cell r="BY44" t="e">
            <v>#REF!</v>
          </cell>
          <cell r="BZ44"/>
          <cell r="CA44"/>
          <cell r="CB44"/>
          <cell r="CC44"/>
          <cell r="CD44">
            <v>422</v>
          </cell>
          <cell r="CE44"/>
          <cell r="CF44"/>
          <cell r="CG44"/>
          <cell r="CH44"/>
          <cell r="CI44"/>
          <cell r="CJ44"/>
          <cell r="CK44"/>
          <cell r="CL44" t="e">
            <v>#REF!</v>
          </cell>
          <cell r="CM44"/>
          <cell r="CN44"/>
          <cell r="CO44"/>
          <cell r="CP44"/>
          <cell r="CQ44">
            <v>28.6</v>
          </cell>
          <cell r="CR44"/>
          <cell r="CS44"/>
          <cell r="CT44" t="e">
            <v>#REF!</v>
          </cell>
          <cell r="CU44"/>
          <cell r="CV44"/>
          <cell r="CW44"/>
          <cell r="CX44"/>
          <cell r="CY44" t="str">
            <v>40</v>
          </cell>
        </row>
        <row r="45">
          <cell r="B45" t="str">
            <v>41</v>
          </cell>
          <cell r="C45"/>
          <cell r="D45"/>
          <cell r="E45"/>
          <cell r="F45" t="e">
            <v>#REF!</v>
          </cell>
          <cell r="G45"/>
          <cell r="H45"/>
          <cell r="I45"/>
          <cell r="J45"/>
          <cell r="K45">
            <v>0</v>
          </cell>
          <cell r="L45"/>
          <cell r="M45"/>
          <cell r="N45"/>
          <cell r="O45"/>
          <cell r="P45"/>
          <cell r="Q45"/>
          <cell r="R45"/>
          <cell r="S45" t="e">
            <v>#REF!</v>
          </cell>
          <cell r="T45"/>
          <cell r="U45"/>
          <cell r="V45"/>
          <cell r="W45"/>
          <cell r="X45">
            <v>0</v>
          </cell>
          <cell r="Y45"/>
          <cell r="Z45"/>
          <cell r="AA45"/>
          <cell r="AB45"/>
          <cell r="AC45"/>
          <cell r="AD45"/>
          <cell r="AE45"/>
          <cell r="AF45" t="e">
            <v>#REF!</v>
          </cell>
          <cell r="AG45"/>
          <cell r="AH45"/>
          <cell r="AI45"/>
          <cell r="AJ45"/>
          <cell r="AK45">
            <v>0</v>
          </cell>
          <cell r="AL45"/>
          <cell r="AM45"/>
          <cell r="AN45" t="e">
            <v>#REF!</v>
          </cell>
          <cell r="AO45"/>
          <cell r="AP45"/>
          <cell r="AQ45"/>
          <cell r="AR45"/>
          <cell r="AS45">
            <v>4656</v>
          </cell>
          <cell r="AT45" t="str">
            <v>Tire Sales - Warranty - NCV</v>
          </cell>
          <cell r="AU45"/>
          <cell r="AV45"/>
          <cell r="AW45"/>
          <cell r="AX45"/>
          <cell r="AY45"/>
          <cell r="AZ45"/>
          <cell r="BA45"/>
          <cell r="BB45"/>
          <cell r="BC45"/>
          <cell r="BD45"/>
          <cell r="BE45"/>
          <cell r="BF45"/>
          <cell r="BG45"/>
          <cell r="BH45"/>
          <cell r="BI45"/>
          <cell r="BJ45"/>
          <cell r="BK45"/>
          <cell r="BL45" t="e">
            <v>#REF!</v>
          </cell>
          <cell r="BM45"/>
          <cell r="BN45"/>
          <cell r="BO45"/>
          <cell r="BP45"/>
          <cell r="BQ45">
            <v>0</v>
          </cell>
          <cell r="BR45"/>
          <cell r="BS45"/>
          <cell r="BT45"/>
          <cell r="BU45"/>
          <cell r="BV45"/>
          <cell r="BW45"/>
          <cell r="BX45"/>
          <cell r="BY45" t="e">
            <v>#REF!</v>
          </cell>
          <cell r="BZ45"/>
          <cell r="CA45"/>
          <cell r="CB45"/>
          <cell r="CC45"/>
          <cell r="CD45">
            <v>0</v>
          </cell>
          <cell r="CE45"/>
          <cell r="CF45"/>
          <cell r="CG45"/>
          <cell r="CH45"/>
          <cell r="CI45"/>
          <cell r="CJ45"/>
          <cell r="CK45"/>
          <cell r="CL45" t="e">
            <v>#REF!</v>
          </cell>
          <cell r="CM45"/>
          <cell r="CN45"/>
          <cell r="CO45"/>
          <cell r="CP45"/>
          <cell r="CQ45">
            <v>0</v>
          </cell>
          <cell r="CR45"/>
          <cell r="CS45"/>
          <cell r="CT45" t="e">
            <v>#REF!</v>
          </cell>
          <cell r="CU45"/>
          <cell r="CV45"/>
          <cell r="CW45"/>
          <cell r="CX45"/>
          <cell r="CY45" t="str">
            <v>41</v>
          </cell>
        </row>
        <row r="46">
          <cell r="B46" t="str">
            <v>42</v>
          </cell>
          <cell r="C46"/>
          <cell r="D46"/>
          <cell r="E46"/>
          <cell r="F46" t="e">
            <v>#REF!</v>
          </cell>
          <cell r="G46"/>
          <cell r="H46"/>
          <cell r="I46"/>
          <cell r="J46"/>
          <cell r="K46">
            <v>0</v>
          </cell>
          <cell r="L46"/>
          <cell r="M46"/>
          <cell r="N46"/>
          <cell r="O46"/>
          <cell r="P46"/>
          <cell r="Q46"/>
          <cell r="R46"/>
          <cell r="S46" t="e">
            <v>#REF!</v>
          </cell>
          <cell r="T46"/>
          <cell r="U46"/>
          <cell r="V46"/>
          <cell r="W46"/>
          <cell r="X46">
            <v>0</v>
          </cell>
          <cell r="Y46"/>
          <cell r="Z46"/>
          <cell r="AA46"/>
          <cell r="AB46"/>
          <cell r="AC46"/>
          <cell r="AD46"/>
          <cell r="AE46"/>
          <cell r="AF46" t="e">
            <v>#REF!</v>
          </cell>
          <cell r="AG46"/>
          <cell r="AH46"/>
          <cell r="AI46"/>
          <cell r="AJ46"/>
          <cell r="AK46">
            <v>0</v>
          </cell>
          <cell r="AL46"/>
          <cell r="AM46"/>
          <cell r="AN46" t="e">
            <v>#REF!</v>
          </cell>
          <cell r="AO46"/>
          <cell r="AP46"/>
          <cell r="AQ46"/>
          <cell r="AR46"/>
          <cell r="AS46">
            <v>4658</v>
          </cell>
          <cell r="AT46" t="str">
            <v>Parts &amp; Access. - Internal - NCV</v>
          </cell>
          <cell r="AU46"/>
          <cell r="AV46"/>
          <cell r="AW46"/>
          <cell r="AX46"/>
          <cell r="AY46"/>
          <cell r="AZ46"/>
          <cell r="BA46"/>
          <cell r="BB46"/>
          <cell r="BC46"/>
          <cell r="BD46"/>
          <cell r="BE46"/>
          <cell r="BF46"/>
          <cell r="BG46"/>
          <cell r="BH46"/>
          <cell r="BI46"/>
          <cell r="BJ46"/>
          <cell r="BK46"/>
          <cell r="BL46" t="e">
            <v>#REF!</v>
          </cell>
          <cell r="BM46"/>
          <cell r="BN46"/>
          <cell r="BO46"/>
          <cell r="BP46"/>
          <cell r="BQ46">
            <v>44</v>
          </cell>
          <cell r="BR46"/>
          <cell r="BS46"/>
          <cell r="BT46"/>
          <cell r="BU46"/>
          <cell r="BV46"/>
          <cell r="BW46"/>
          <cell r="BX46"/>
          <cell r="BY46" t="e">
            <v>#REF!</v>
          </cell>
          <cell r="BZ46"/>
          <cell r="CA46"/>
          <cell r="CB46"/>
          <cell r="CC46"/>
          <cell r="CD46">
            <v>17</v>
          </cell>
          <cell r="CE46"/>
          <cell r="CF46"/>
          <cell r="CG46"/>
          <cell r="CH46"/>
          <cell r="CI46"/>
          <cell r="CJ46"/>
          <cell r="CK46"/>
          <cell r="CL46" t="e">
            <v>#REF!</v>
          </cell>
          <cell r="CM46"/>
          <cell r="CN46"/>
          <cell r="CO46"/>
          <cell r="CP46"/>
          <cell r="CQ46">
            <v>38.6</v>
          </cell>
          <cell r="CR46"/>
          <cell r="CS46"/>
          <cell r="CT46" t="e">
            <v>#REF!</v>
          </cell>
          <cell r="CU46"/>
          <cell r="CV46"/>
          <cell r="CW46"/>
          <cell r="CX46"/>
          <cell r="CY46" t="str">
            <v>42</v>
          </cell>
        </row>
        <row r="47">
          <cell r="B47" t="str">
            <v>43</v>
          </cell>
          <cell r="C47"/>
          <cell r="D47"/>
          <cell r="E47"/>
          <cell r="F47" t="e">
            <v>#REF!</v>
          </cell>
          <cell r="G47"/>
          <cell r="H47"/>
          <cell r="I47"/>
          <cell r="J47"/>
          <cell r="K47">
            <v>0</v>
          </cell>
          <cell r="L47"/>
          <cell r="M47"/>
          <cell r="N47"/>
          <cell r="O47"/>
          <cell r="P47"/>
          <cell r="Q47"/>
          <cell r="R47"/>
          <cell r="S47" t="e">
            <v>#REF!</v>
          </cell>
          <cell r="T47"/>
          <cell r="U47"/>
          <cell r="V47"/>
          <cell r="W47"/>
          <cell r="X47">
            <v>0</v>
          </cell>
          <cell r="Y47"/>
          <cell r="Z47"/>
          <cell r="AA47"/>
          <cell r="AB47"/>
          <cell r="AC47"/>
          <cell r="AD47"/>
          <cell r="AE47"/>
          <cell r="AF47" t="e">
            <v>#REF!</v>
          </cell>
          <cell r="AG47"/>
          <cell r="AH47"/>
          <cell r="AI47"/>
          <cell r="AJ47"/>
          <cell r="AK47">
            <v>0</v>
          </cell>
          <cell r="AL47"/>
          <cell r="AM47"/>
          <cell r="AN47" t="e">
            <v>#REF!</v>
          </cell>
          <cell r="AO47"/>
          <cell r="AP47"/>
          <cell r="AQ47"/>
          <cell r="AR47"/>
          <cell r="AS47">
            <v>4659</v>
          </cell>
          <cell r="AT47" t="str">
            <v>Tire Sales - Internal - NCV</v>
          </cell>
          <cell r="AU47"/>
          <cell r="AV47"/>
          <cell r="AW47"/>
          <cell r="AX47"/>
          <cell r="AY47"/>
          <cell r="AZ47"/>
          <cell r="BA47"/>
          <cell r="BB47"/>
          <cell r="BC47"/>
          <cell r="BD47"/>
          <cell r="BE47"/>
          <cell r="BF47"/>
          <cell r="BG47"/>
          <cell r="BH47"/>
          <cell r="BI47"/>
          <cell r="BJ47"/>
          <cell r="BK47"/>
          <cell r="BL47" t="e">
            <v>#REF!</v>
          </cell>
          <cell r="BM47"/>
          <cell r="BN47"/>
          <cell r="BO47"/>
          <cell r="BP47"/>
          <cell r="BQ47">
            <v>0</v>
          </cell>
          <cell r="BR47"/>
          <cell r="BS47"/>
          <cell r="BT47"/>
          <cell r="BU47"/>
          <cell r="BV47"/>
          <cell r="BW47"/>
          <cell r="BX47"/>
          <cell r="BY47" t="e">
            <v>#REF!</v>
          </cell>
          <cell r="BZ47"/>
          <cell r="CA47"/>
          <cell r="CB47"/>
          <cell r="CC47"/>
          <cell r="CD47">
            <v>0</v>
          </cell>
          <cell r="CE47"/>
          <cell r="CF47"/>
          <cell r="CG47"/>
          <cell r="CH47"/>
          <cell r="CI47"/>
          <cell r="CJ47"/>
          <cell r="CK47"/>
          <cell r="CL47" t="e">
            <v>#REF!</v>
          </cell>
          <cell r="CM47"/>
          <cell r="CN47"/>
          <cell r="CO47"/>
          <cell r="CP47"/>
          <cell r="CQ47">
            <v>0</v>
          </cell>
          <cell r="CR47"/>
          <cell r="CS47"/>
          <cell r="CT47" t="e">
            <v>#REF!</v>
          </cell>
          <cell r="CU47"/>
          <cell r="CV47"/>
          <cell r="CW47"/>
          <cell r="CX47"/>
          <cell r="CY47" t="str">
            <v>43</v>
          </cell>
        </row>
        <row r="48">
          <cell r="B48" t="str">
            <v>44</v>
          </cell>
          <cell r="C48"/>
          <cell r="D48"/>
          <cell r="E48"/>
          <cell r="F48" t="e">
            <v>#REF!</v>
          </cell>
          <cell r="G48"/>
          <cell r="H48"/>
          <cell r="I48"/>
          <cell r="J48"/>
          <cell r="K48">
            <v>0</v>
          </cell>
          <cell r="L48"/>
          <cell r="M48"/>
          <cell r="N48"/>
          <cell r="O48"/>
          <cell r="P48"/>
          <cell r="Q48"/>
          <cell r="R48"/>
          <cell r="S48" t="e">
            <v>#REF!</v>
          </cell>
          <cell r="T48"/>
          <cell r="U48"/>
          <cell r="V48"/>
          <cell r="W48"/>
          <cell r="X48">
            <v>0</v>
          </cell>
          <cell r="Y48"/>
          <cell r="Z48"/>
          <cell r="AA48"/>
          <cell r="AB48"/>
          <cell r="AC48"/>
          <cell r="AD48"/>
          <cell r="AE48"/>
          <cell r="AF48" t="e">
            <v>#REF!</v>
          </cell>
          <cell r="AG48"/>
          <cell r="AH48"/>
          <cell r="AI48"/>
          <cell r="AJ48"/>
          <cell r="AK48">
            <v>0</v>
          </cell>
          <cell r="AL48"/>
          <cell r="AM48"/>
          <cell r="AN48" t="e">
            <v>#REF!</v>
          </cell>
          <cell r="AO48"/>
          <cell r="AP48"/>
          <cell r="AQ48"/>
          <cell r="AR48"/>
          <cell r="AS48">
            <v>4629</v>
          </cell>
          <cell r="AT48" t="str">
            <v>Parts &amp; Access. - R.O. Body Shop - NCV</v>
          </cell>
          <cell r="AU48"/>
          <cell r="AV48"/>
          <cell r="AW48"/>
          <cell r="AX48"/>
          <cell r="AY48"/>
          <cell r="AZ48"/>
          <cell r="BA48"/>
          <cell r="BB48"/>
          <cell r="BC48"/>
          <cell r="BD48"/>
          <cell r="BE48"/>
          <cell r="BF48"/>
          <cell r="BG48"/>
          <cell r="BH48"/>
          <cell r="BI48"/>
          <cell r="BJ48"/>
          <cell r="BK48"/>
          <cell r="BL48" t="e">
            <v>#REF!</v>
          </cell>
          <cell r="BM48"/>
          <cell r="BN48"/>
          <cell r="BO48"/>
          <cell r="BP48"/>
          <cell r="BQ48">
            <v>0</v>
          </cell>
          <cell r="BR48"/>
          <cell r="BS48"/>
          <cell r="BT48"/>
          <cell r="BU48"/>
          <cell r="BV48"/>
          <cell r="BW48"/>
          <cell r="BX48"/>
          <cell r="BY48" t="e">
            <v>#REF!</v>
          </cell>
          <cell r="BZ48"/>
          <cell r="CA48"/>
          <cell r="CB48"/>
          <cell r="CC48"/>
          <cell r="CD48">
            <v>0</v>
          </cell>
          <cell r="CE48"/>
          <cell r="CF48"/>
          <cell r="CG48"/>
          <cell r="CH48"/>
          <cell r="CI48"/>
          <cell r="CJ48"/>
          <cell r="CK48"/>
          <cell r="CL48" t="e">
            <v>#REF!</v>
          </cell>
          <cell r="CM48"/>
          <cell r="CN48"/>
          <cell r="CO48"/>
          <cell r="CP48"/>
          <cell r="CQ48">
            <v>0</v>
          </cell>
          <cell r="CR48"/>
          <cell r="CS48"/>
          <cell r="CT48" t="e">
            <v>#REF!</v>
          </cell>
          <cell r="CU48"/>
          <cell r="CV48"/>
          <cell r="CW48"/>
          <cell r="CX48"/>
          <cell r="CY48" t="str">
            <v>44</v>
          </cell>
        </row>
        <row r="49">
          <cell r="B49" t="str">
            <v>45</v>
          </cell>
          <cell r="C49">
            <v>0</v>
          </cell>
          <cell r="D49"/>
          <cell r="E49"/>
          <cell r="F49" t="e">
            <v>#REF!</v>
          </cell>
          <cell r="G49"/>
          <cell r="H49"/>
          <cell r="I49"/>
          <cell r="J49"/>
          <cell r="K49">
            <v>0</v>
          </cell>
          <cell r="L49"/>
          <cell r="M49"/>
          <cell r="N49"/>
          <cell r="O49"/>
          <cell r="P49"/>
          <cell r="Q49"/>
          <cell r="R49"/>
          <cell r="S49" t="e">
            <v>#REF!</v>
          </cell>
          <cell r="T49"/>
          <cell r="U49"/>
          <cell r="V49"/>
          <cell r="W49"/>
          <cell r="X49">
            <v>0</v>
          </cell>
          <cell r="Y49"/>
          <cell r="Z49"/>
          <cell r="AA49"/>
          <cell r="AB49"/>
          <cell r="AC49"/>
          <cell r="AD49"/>
          <cell r="AE49"/>
          <cell r="AF49" t="e">
            <v>#REF!</v>
          </cell>
          <cell r="AG49"/>
          <cell r="AH49"/>
          <cell r="AI49"/>
          <cell r="AJ49"/>
          <cell r="AK49">
            <v>0</v>
          </cell>
          <cell r="AL49"/>
          <cell r="AM49"/>
          <cell r="AN49" t="e">
            <v>#REF!</v>
          </cell>
          <cell r="AO49"/>
          <cell r="AP49"/>
          <cell r="AQ49"/>
          <cell r="AR49"/>
          <cell r="AS49">
            <v>4669</v>
          </cell>
          <cell r="AT49" t="str">
            <v>Parts &amp; Access. - Counter Retail - NCV</v>
          </cell>
          <cell r="AU49"/>
          <cell r="AV49"/>
          <cell r="AW49"/>
          <cell r="AX49"/>
          <cell r="AY49"/>
          <cell r="AZ49"/>
          <cell r="BA49"/>
          <cell r="BB49"/>
          <cell r="BC49"/>
          <cell r="BD49"/>
          <cell r="BE49"/>
          <cell r="BF49"/>
          <cell r="BG49"/>
          <cell r="BH49"/>
          <cell r="BI49">
            <v>0</v>
          </cell>
          <cell r="BJ49"/>
          <cell r="BK49"/>
          <cell r="BL49" t="e">
            <v>#REF!</v>
          </cell>
          <cell r="BM49"/>
          <cell r="BN49"/>
          <cell r="BO49"/>
          <cell r="BP49"/>
          <cell r="BQ49">
            <v>0</v>
          </cell>
          <cell r="BR49"/>
          <cell r="BS49"/>
          <cell r="BT49"/>
          <cell r="BU49"/>
          <cell r="BV49"/>
          <cell r="BW49"/>
          <cell r="BX49"/>
          <cell r="BY49" t="e">
            <v>#REF!</v>
          </cell>
          <cell r="BZ49"/>
          <cell r="CA49"/>
          <cell r="CB49"/>
          <cell r="CC49"/>
          <cell r="CD49">
            <v>0</v>
          </cell>
          <cell r="CE49"/>
          <cell r="CF49"/>
          <cell r="CG49"/>
          <cell r="CH49"/>
          <cell r="CI49"/>
          <cell r="CJ49"/>
          <cell r="CK49"/>
          <cell r="CL49" t="e">
            <v>#REF!</v>
          </cell>
          <cell r="CM49"/>
          <cell r="CN49"/>
          <cell r="CO49"/>
          <cell r="CP49"/>
          <cell r="CQ49">
            <v>0</v>
          </cell>
          <cell r="CR49"/>
          <cell r="CS49"/>
          <cell r="CT49" t="e">
            <v>#REF!</v>
          </cell>
          <cell r="CU49"/>
          <cell r="CV49"/>
          <cell r="CW49"/>
          <cell r="CX49"/>
          <cell r="CY49" t="str">
            <v>45</v>
          </cell>
        </row>
        <row r="50">
          <cell r="B50" t="str">
            <v>46</v>
          </cell>
          <cell r="C50">
            <v>0</v>
          </cell>
          <cell r="D50"/>
          <cell r="E50"/>
          <cell r="F50" t="e">
            <v>#REF!</v>
          </cell>
          <cell r="G50"/>
          <cell r="H50"/>
          <cell r="I50"/>
          <cell r="J50"/>
          <cell r="K50">
            <v>0</v>
          </cell>
          <cell r="L50"/>
          <cell r="M50"/>
          <cell r="N50"/>
          <cell r="O50"/>
          <cell r="P50"/>
          <cell r="Q50"/>
          <cell r="R50"/>
          <cell r="S50" t="e">
            <v>#REF!</v>
          </cell>
          <cell r="T50"/>
          <cell r="U50"/>
          <cell r="V50"/>
          <cell r="W50"/>
          <cell r="X50">
            <v>0</v>
          </cell>
          <cell r="Y50"/>
          <cell r="Z50"/>
          <cell r="AA50"/>
          <cell r="AB50"/>
          <cell r="AC50"/>
          <cell r="AD50"/>
          <cell r="AE50"/>
          <cell r="AF50" t="e">
            <v>#REF!</v>
          </cell>
          <cell r="AG50"/>
          <cell r="AH50"/>
          <cell r="AI50"/>
          <cell r="AJ50"/>
          <cell r="AK50">
            <v>0</v>
          </cell>
          <cell r="AL50"/>
          <cell r="AM50"/>
          <cell r="AN50" t="e">
            <v>#REF!</v>
          </cell>
          <cell r="AO50"/>
          <cell r="AP50"/>
          <cell r="AQ50"/>
          <cell r="AR50"/>
          <cell r="AS50">
            <v>4679</v>
          </cell>
          <cell r="AT50" t="str">
            <v>Parts &amp; Access. - Wholesale - NCV</v>
          </cell>
          <cell r="AU50"/>
          <cell r="AV50"/>
          <cell r="AW50"/>
          <cell r="AX50"/>
          <cell r="AY50"/>
          <cell r="AZ50"/>
          <cell r="BA50"/>
          <cell r="BB50"/>
          <cell r="BC50"/>
          <cell r="BD50"/>
          <cell r="BE50"/>
          <cell r="BF50"/>
          <cell r="BG50"/>
          <cell r="BH50"/>
          <cell r="BI50">
            <v>0</v>
          </cell>
          <cell r="BJ50"/>
          <cell r="BK50"/>
          <cell r="BL50" t="e">
            <v>#REF!</v>
          </cell>
          <cell r="BM50"/>
          <cell r="BN50"/>
          <cell r="BO50"/>
          <cell r="BP50"/>
          <cell r="BQ50">
            <v>0</v>
          </cell>
          <cell r="BR50"/>
          <cell r="BS50"/>
          <cell r="BT50"/>
          <cell r="BU50"/>
          <cell r="BV50"/>
          <cell r="BW50"/>
          <cell r="BX50"/>
          <cell r="BY50" t="e">
            <v>#REF!</v>
          </cell>
          <cell r="BZ50"/>
          <cell r="CA50"/>
          <cell r="CB50"/>
          <cell r="CC50"/>
          <cell r="CD50">
            <v>0</v>
          </cell>
          <cell r="CE50"/>
          <cell r="CF50"/>
          <cell r="CG50"/>
          <cell r="CH50"/>
          <cell r="CI50"/>
          <cell r="CJ50"/>
          <cell r="CK50"/>
          <cell r="CL50" t="e">
            <v>#REF!</v>
          </cell>
          <cell r="CM50"/>
          <cell r="CN50"/>
          <cell r="CO50"/>
          <cell r="CP50"/>
          <cell r="CQ50">
            <v>0</v>
          </cell>
          <cell r="CR50"/>
          <cell r="CS50"/>
          <cell r="CT50" t="e">
            <v>#REF!</v>
          </cell>
          <cell r="CU50"/>
          <cell r="CV50"/>
          <cell r="CW50"/>
          <cell r="CX50"/>
          <cell r="CY50" t="str">
            <v>46</v>
          </cell>
        </row>
        <row r="51">
          <cell r="B51" t="str">
            <v>47</v>
          </cell>
          <cell r="C51">
            <v>0</v>
          </cell>
          <cell r="D51"/>
          <cell r="E51"/>
          <cell r="F51" t="e">
            <v>#REF!</v>
          </cell>
          <cell r="G51"/>
          <cell r="H51"/>
          <cell r="I51"/>
          <cell r="J51"/>
          <cell r="K51">
            <v>0</v>
          </cell>
          <cell r="L51"/>
          <cell r="M51"/>
          <cell r="N51"/>
          <cell r="O51"/>
          <cell r="P51"/>
          <cell r="Q51"/>
          <cell r="R51"/>
          <cell r="S51" t="e">
            <v>#REF!</v>
          </cell>
          <cell r="T51"/>
          <cell r="U51"/>
          <cell r="V51"/>
          <cell r="W51"/>
          <cell r="X51">
            <v>0</v>
          </cell>
          <cell r="Y51"/>
          <cell r="Z51"/>
          <cell r="AA51"/>
          <cell r="AB51"/>
          <cell r="AC51"/>
          <cell r="AD51"/>
          <cell r="AE51"/>
          <cell r="AF51" t="e">
            <v>#REF!</v>
          </cell>
          <cell r="AG51"/>
          <cell r="AH51"/>
          <cell r="AI51"/>
          <cell r="AJ51"/>
          <cell r="AK51">
            <v>0</v>
          </cell>
          <cell r="AL51"/>
          <cell r="AM51"/>
          <cell r="AN51" t="e">
            <v>#REF!</v>
          </cell>
          <cell r="AO51"/>
          <cell r="AP51"/>
          <cell r="AQ51"/>
          <cell r="AR51"/>
          <cell r="AS51"/>
          <cell r="AT51" t="str">
            <v>SUBTOTAL - NCV P&amp;A</v>
          </cell>
          <cell r="AU51"/>
          <cell r="AV51"/>
          <cell r="AW51"/>
          <cell r="AX51"/>
          <cell r="AY51"/>
          <cell r="AZ51"/>
          <cell r="BA51"/>
          <cell r="BB51"/>
          <cell r="BC51"/>
          <cell r="BD51"/>
          <cell r="BE51"/>
          <cell r="BF51"/>
          <cell r="BG51"/>
          <cell r="BH51" t="str">
            <v xml:space="preserve">(Lines 36 to 46) </v>
          </cell>
          <cell r="BI51">
            <v>0</v>
          </cell>
          <cell r="BJ51"/>
          <cell r="BK51"/>
          <cell r="BL51" t="e">
            <v>#REF!</v>
          </cell>
          <cell r="BM51"/>
          <cell r="BN51"/>
          <cell r="BO51"/>
          <cell r="BP51"/>
          <cell r="BQ51">
            <v>4183</v>
          </cell>
          <cell r="BR51"/>
          <cell r="BS51"/>
          <cell r="BT51"/>
          <cell r="BU51"/>
          <cell r="BV51"/>
          <cell r="BW51"/>
          <cell r="BX51"/>
          <cell r="BY51" t="e">
            <v>#REF!</v>
          </cell>
          <cell r="BZ51"/>
          <cell r="CA51"/>
          <cell r="CB51"/>
          <cell r="CC51"/>
          <cell r="CD51">
            <v>1744</v>
          </cell>
          <cell r="CE51"/>
          <cell r="CF51"/>
          <cell r="CG51"/>
          <cell r="CH51"/>
          <cell r="CI51"/>
          <cell r="CJ51"/>
          <cell r="CK51"/>
          <cell r="CL51" t="e">
            <v>#REF!</v>
          </cell>
          <cell r="CM51"/>
          <cell r="CN51"/>
          <cell r="CO51"/>
          <cell r="CP51"/>
          <cell r="CQ51">
            <v>41.7</v>
          </cell>
          <cell r="CR51"/>
          <cell r="CS51"/>
          <cell r="CT51" t="e">
            <v>#REF!</v>
          </cell>
          <cell r="CU51"/>
          <cell r="CV51"/>
          <cell r="CW51"/>
          <cell r="CX51"/>
          <cell r="CY51" t="str">
            <v>47</v>
          </cell>
        </row>
        <row r="52">
          <cell r="B52" t="str">
            <v>48</v>
          </cell>
          <cell r="C52"/>
          <cell r="D52"/>
          <cell r="E52"/>
          <cell r="F52" t="e">
            <v>#REF!</v>
          </cell>
          <cell r="G52"/>
          <cell r="H52"/>
          <cell r="I52"/>
          <cell r="J52"/>
          <cell r="K52">
            <v>0</v>
          </cell>
          <cell r="L52"/>
          <cell r="M52"/>
          <cell r="N52"/>
          <cell r="O52"/>
          <cell r="P52"/>
          <cell r="Q52"/>
          <cell r="R52"/>
          <cell r="S52" t="e">
            <v>#REF!</v>
          </cell>
          <cell r="T52"/>
          <cell r="U52"/>
          <cell r="V52"/>
          <cell r="W52"/>
          <cell r="X52">
            <v>0</v>
          </cell>
          <cell r="Y52"/>
          <cell r="Z52"/>
          <cell r="AA52"/>
          <cell r="AB52"/>
          <cell r="AC52"/>
          <cell r="AD52"/>
          <cell r="AE52"/>
          <cell r="AF52" t="e">
            <v>#REF!</v>
          </cell>
          <cell r="AG52"/>
          <cell r="AH52"/>
          <cell r="AI52"/>
          <cell r="AJ52"/>
          <cell r="AK52">
            <v>0</v>
          </cell>
          <cell r="AL52"/>
          <cell r="AM52"/>
          <cell r="AN52" t="e">
            <v>#REF!</v>
          </cell>
          <cell r="AO52"/>
          <cell r="AP52"/>
          <cell r="AQ52"/>
          <cell r="AR52"/>
          <cell r="AS52">
            <v>4610</v>
          </cell>
          <cell r="AT52" t="str">
            <v>Parts &amp; Access. - R.O. - Other Makes Veh.</v>
          </cell>
          <cell r="AU52"/>
          <cell r="AV52"/>
          <cell r="AW52"/>
          <cell r="AX52"/>
          <cell r="AY52"/>
          <cell r="AZ52"/>
          <cell r="BA52"/>
          <cell r="BB52"/>
          <cell r="BC52"/>
          <cell r="BD52"/>
          <cell r="BE52"/>
          <cell r="BF52"/>
          <cell r="BG52"/>
          <cell r="BH52"/>
          <cell r="BI52"/>
          <cell r="BJ52"/>
          <cell r="BK52"/>
          <cell r="BL52" t="e">
            <v>#REF!</v>
          </cell>
          <cell r="BM52"/>
          <cell r="BN52"/>
          <cell r="BO52"/>
          <cell r="BP52"/>
          <cell r="BQ52">
            <v>554</v>
          </cell>
          <cell r="BR52"/>
          <cell r="BS52"/>
          <cell r="BT52"/>
          <cell r="BU52"/>
          <cell r="BV52"/>
          <cell r="BW52"/>
          <cell r="BX52"/>
          <cell r="BY52" t="e">
            <v>#REF!</v>
          </cell>
          <cell r="BZ52"/>
          <cell r="CA52"/>
          <cell r="CB52"/>
          <cell r="CC52"/>
          <cell r="CD52">
            <v>-1395</v>
          </cell>
          <cell r="CE52"/>
          <cell r="CF52"/>
          <cell r="CG52"/>
          <cell r="CH52"/>
          <cell r="CI52"/>
          <cell r="CJ52"/>
          <cell r="CK52"/>
          <cell r="CL52" t="e">
            <v>#REF!</v>
          </cell>
          <cell r="CM52"/>
          <cell r="CN52"/>
          <cell r="CO52"/>
          <cell r="CP52"/>
          <cell r="CQ52">
            <v>-251.8</v>
          </cell>
          <cell r="CR52"/>
          <cell r="CS52"/>
          <cell r="CT52" t="e">
            <v>#REF!</v>
          </cell>
          <cell r="CU52"/>
          <cell r="CV52"/>
          <cell r="CW52"/>
          <cell r="CX52"/>
          <cell r="CY52" t="str">
            <v>48</v>
          </cell>
        </row>
        <row r="53">
          <cell r="B53" t="str">
            <v>49</v>
          </cell>
          <cell r="C53"/>
          <cell r="D53"/>
          <cell r="E53"/>
          <cell r="F53" t="e">
            <v>#REF!</v>
          </cell>
          <cell r="G53"/>
          <cell r="H53"/>
          <cell r="I53"/>
          <cell r="J53"/>
          <cell r="K53">
            <v>0</v>
          </cell>
          <cell r="L53"/>
          <cell r="M53"/>
          <cell r="N53"/>
          <cell r="O53"/>
          <cell r="P53"/>
          <cell r="Q53"/>
          <cell r="R53"/>
          <cell r="S53" t="e">
            <v>#REF!</v>
          </cell>
          <cell r="T53"/>
          <cell r="U53"/>
          <cell r="V53"/>
          <cell r="W53"/>
          <cell r="X53">
            <v>0</v>
          </cell>
          <cell r="Y53"/>
          <cell r="Z53"/>
          <cell r="AA53"/>
          <cell r="AB53"/>
          <cell r="AC53"/>
          <cell r="AD53"/>
          <cell r="AE53"/>
          <cell r="AF53" t="e">
            <v>#REF!</v>
          </cell>
          <cell r="AG53"/>
          <cell r="AH53"/>
          <cell r="AI53"/>
          <cell r="AJ53"/>
          <cell r="AK53">
            <v>0</v>
          </cell>
          <cell r="AL53"/>
          <cell r="AM53"/>
          <cell r="AN53" t="e">
            <v>#REF!</v>
          </cell>
          <cell r="AO53"/>
          <cell r="AP53"/>
          <cell r="AQ53"/>
          <cell r="AR53"/>
          <cell r="AS53">
            <v>4612</v>
          </cell>
          <cell r="AT53" t="str">
            <v>Express Service Parts - Other Makes Veh.</v>
          </cell>
          <cell r="AU53"/>
          <cell r="AV53"/>
          <cell r="AW53"/>
          <cell r="AX53"/>
          <cell r="AY53"/>
          <cell r="AZ53"/>
          <cell r="BA53"/>
          <cell r="BB53"/>
          <cell r="BC53"/>
          <cell r="BD53"/>
          <cell r="BE53"/>
          <cell r="BF53"/>
          <cell r="BG53"/>
          <cell r="BH53"/>
          <cell r="BI53"/>
          <cell r="BJ53"/>
          <cell r="BK53"/>
          <cell r="BL53" t="e">
            <v>#REF!</v>
          </cell>
          <cell r="BM53"/>
          <cell r="BN53"/>
          <cell r="BO53"/>
          <cell r="BP53"/>
          <cell r="BQ53">
            <v>0</v>
          </cell>
          <cell r="BR53"/>
          <cell r="BS53"/>
          <cell r="BT53"/>
          <cell r="BU53"/>
          <cell r="BV53"/>
          <cell r="BW53"/>
          <cell r="BX53"/>
          <cell r="BY53" t="e">
            <v>#REF!</v>
          </cell>
          <cell r="BZ53"/>
          <cell r="CA53"/>
          <cell r="CB53"/>
          <cell r="CC53"/>
          <cell r="CD53">
            <v>0</v>
          </cell>
          <cell r="CE53"/>
          <cell r="CF53"/>
          <cell r="CG53"/>
          <cell r="CH53"/>
          <cell r="CI53"/>
          <cell r="CJ53"/>
          <cell r="CK53"/>
          <cell r="CL53" t="e">
            <v>#REF!</v>
          </cell>
          <cell r="CM53"/>
          <cell r="CN53"/>
          <cell r="CO53"/>
          <cell r="CP53"/>
          <cell r="CQ53">
            <v>0</v>
          </cell>
          <cell r="CR53"/>
          <cell r="CS53"/>
          <cell r="CT53" t="e">
            <v>#REF!</v>
          </cell>
          <cell r="CU53"/>
          <cell r="CV53"/>
          <cell r="CW53"/>
          <cell r="CX53"/>
          <cell r="CY53" t="str">
            <v>49</v>
          </cell>
        </row>
        <row r="54">
          <cell r="B54" t="str">
            <v>50</v>
          </cell>
          <cell r="C54"/>
          <cell r="D54"/>
          <cell r="E54"/>
          <cell r="F54" t="e">
            <v>#REF!</v>
          </cell>
          <cell r="G54"/>
          <cell r="H54"/>
          <cell r="I54"/>
          <cell r="J54"/>
          <cell r="K54">
            <v>0</v>
          </cell>
          <cell r="L54"/>
          <cell r="M54"/>
          <cell r="N54"/>
          <cell r="O54"/>
          <cell r="P54"/>
          <cell r="Q54"/>
          <cell r="R54"/>
          <cell r="S54" t="e">
            <v>#REF!</v>
          </cell>
          <cell r="T54"/>
          <cell r="U54"/>
          <cell r="V54"/>
          <cell r="W54"/>
          <cell r="X54">
            <v>0</v>
          </cell>
          <cell r="Y54"/>
          <cell r="Z54"/>
          <cell r="AA54"/>
          <cell r="AB54"/>
          <cell r="AC54"/>
          <cell r="AD54"/>
          <cell r="AE54"/>
          <cell r="AF54" t="e">
            <v>#REF!</v>
          </cell>
          <cell r="AG54"/>
          <cell r="AH54"/>
          <cell r="AI54"/>
          <cell r="AJ54"/>
          <cell r="AK54">
            <v>0</v>
          </cell>
          <cell r="AL54"/>
          <cell r="AM54"/>
          <cell r="AN54" t="e">
            <v>#REF!</v>
          </cell>
          <cell r="AO54"/>
          <cell r="AP54"/>
          <cell r="AQ54"/>
          <cell r="AR54"/>
          <cell r="AS54">
            <v>4644</v>
          </cell>
          <cell r="AT54" t="str">
            <v>Serv. / Maint. Contract Parts - Other Makes Veh.</v>
          </cell>
          <cell r="AU54"/>
          <cell r="AV54"/>
          <cell r="AW54"/>
          <cell r="AX54"/>
          <cell r="AY54"/>
          <cell r="AZ54"/>
          <cell r="BA54"/>
          <cell r="BB54"/>
          <cell r="BC54"/>
          <cell r="BD54"/>
          <cell r="BE54"/>
          <cell r="BF54"/>
          <cell r="BG54"/>
          <cell r="BH54"/>
          <cell r="BI54"/>
          <cell r="BJ54"/>
          <cell r="BK54"/>
          <cell r="BL54" t="e">
            <v>#REF!</v>
          </cell>
          <cell r="BM54"/>
          <cell r="BN54"/>
          <cell r="BO54"/>
          <cell r="BP54"/>
          <cell r="BQ54">
            <v>0</v>
          </cell>
          <cell r="BR54"/>
          <cell r="BS54"/>
          <cell r="BT54"/>
          <cell r="BU54"/>
          <cell r="BV54"/>
          <cell r="BW54"/>
          <cell r="BX54"/>
          <cell r="BY54" t="e">
            <v>#REF!</v>
          </cell>
          <cell r="BZ54"/>
          <cell r="CA54"/>
          <cell r="CB54"/>
          <cell r="CC54"/>
          <cell r="CD54">
            <v>0</v>
          </cell>
          <cell r="CE54"/>
          <cell r="CF54"/>
          <cell r="CG54"/>
          <cell r="CH54"/>
          <cell r="CI54"/>
          <cell r="CJ54"/>
          <cell r="CK54"/>
          <cell r="CL54" t="e">
            <v>#REF!</v>
          </cell>
          <cell r="CM54"/>
          <cell r="CN54"/>
          <cell r="CO54"/>
          <cell r="CP54"/>
          <cell r="CQ54">
            <v>0</v>
          </cell>
          <cell r="CR54"/>
          <cell r="CS54"/>
          <cell r="CT54" t="e">
            <v>#REF!</v>
          </cell>
          <cell r="CU54"/>
          <cell r="CV54"/>
          <cell r="CW54"/>
          <cell r="CX54"/>
          <cell r="CY54" t="str">
            <v>50</v>
          </cell>
        </row>
        <row r="55">
          <cell r="B55" t="str">
            <v>51</v>
          </cell>
          <cell r="C55"/>
          <cell r="D55"/>
          <cell r="E55"/>
          <cell r="F55" t="e">
            <v>#REF!</v>
          </cell>
          <cell r="G55"/>
          <cell r="H55"/>
          <cell r="I55"/>
          <cell r="J55"/>
          <cell r="K55">
            <v>0</v>
          </cell>
          <cell r="L55"/>
          <cell r="M55"/>
          <cell r="N55"/>
          <cell r="O55"/>
          <cell r="P55"/>
          <cell r="Q55"/>
          <cell r="R55"/>
          <cell r="S55" t="e">
            <v>#REF!</v>
          </cell>
          <cell r="T55"/>
          <cell r="U55"/>
          <cell r="V55"/>
          <cell r="W55"/>
          <cell r="X55">
            <v>0</v>
          </cell>
          <cell r="Y55"/>
          <cell r="Z55"/>
          <cell r="AA55"/>
          <cell r="AB55"/>
          <cell r="AC55"/>
          <cell r="AD55"/>
          <cell r="AE55"/>
          <cell r="AF55" t="e">
            <v>#REF!</v>
          </cell>
          <cell r="AG55"/>
          <cell r="AH55"/>
          <cell r="AI55"/>
          <cell r="AJ55"/>
          <cell r="AK55">
            <v>0</v>
          </cell>
          <cell r="AL55"/>
          <cell r="AM55"/>
          <cell r="AN55" t="e">
            <v>#REF!</v>
          </cell>
          <cell r="AO55"/>
          <cell r="AP55"/>
          <cell r="AQ55"/>
          <cell r="AR55"/>
          <cell r="AS55">
            <v>4645</v>
          </cell>
          <cell r="AT55" t="str">
            <v>Parts &amp; Access. - Warranty Claims - Other Makes Veh.</v>
          </cell>
          <cell r="AU55"/>
          <cell r="AV55"/>
          <cell r="AW55"/>
          <cell r="AX55"/>
          <cell r="AY55"/>
          <cell r="AZ55"/>
          <cell r="BA55"/>
          <cell r="BB55"/>
          <cell r="BC55"/>
          <cell r="BD55"/>
          <cell r="BE55"/>
          <cell r="BF55"/>
          <cell r="BG55"/>
          <cell r="BH55"/>
          <cell r="BI55"/>
          <cell r="BJ55"/>
          <cell r="BK55"/>
          <cell r="BL55" t="e">
            <v>#REF!</v>
          </cell>
          <cell r="BM55"/>
          <cell r="BN55"/>
          <cell r="BO55"/>
          <cell r="BP55"/>
          <cell r="BQ55">
            <v>0</v>
          </cell>
          <cell r="BR55"/>
          <cell r="BS55"/>
          <cell r="BT55"/>
          <cell r="BU55"/>
          <cell r="BV55"/>
          <cell r="BW55"/>
          <cell r="BX55"/>
          <cell r="BY55" t="e">
            <v>#REF!</v>
          </cell>
          <cell r="BZ55"/>
          <cell r="CA55"/>
          <cell r="CB55"/>
          <cell r="CC55"/>
          <cell r="CD55">
            <v>0</v>
          </cell>
          <cell r="CE55"/>
          <cell r="CF55"/>
          <cell r="CG55"/>
          <cell r="CH55"/>
          <cell r="CI55"/>
          <cell r="CJ55"/>
          <cell r="CK55"/>
          <cell r="CL55" t="e">
            <v>#REF!</v>
          </cell>
          <cell r="CM55"/>
          <cell r="CN55"/>
          <cell r="CO55"/>
          <cell r="CP55"/>
          <cell r="CQ55">
            <v>0</v>
          </cell>
          <cell r="CR55"/>
          <cell r="CS55"/>
          <cell r="CT55" t="e">
            <v>#REF!</v>
          </cell>
          <cell r="CU55"/>
          <cell r="CV55"/>
          <cell r="CW55"/>
          <cell r="CX55"/>
          <cell r="CY55" t="str">
            <v>51</v>
          </cell>
        </row>
        <row r="56">
          <cell r="B56" t="str">
            <v>52</v>
          </cell>
          <cell r="C56"/>
          <cell r="D56"/>
          <cell r="E56"/>
          <cell r="F56" t="e">
            <v>#REF!</v>
          </cell>
          <cell r="G56"/>
          <cell r="H56"/>
          <cell r="I56"/>
          <cell r="J56"/>
          <cell r="K56">
            <v>1204</v>
          </cell>
          <cell r="L56"/>
          <cell r="M56"/>
          <cell r="N56"/>
          <cell r="O56"/>
          <cell r="P56"/>
          <cell r="Q56"/>
          <cell r="R56"/>
          <cell r="S56" t="e">
            <v>#REF!</v>
          </cell>
          <cell r="T56"/>
          <cell r="U56"/>
          <cell r="V56"/>
          <cell r="W56"/>
          <cell r="X56">
            <v>455</v>
          </cell>
          <cell r="Y56"/>
          <cell r="Z56"/>
          <cell r="AA56"/>
          <cell r="AB56"/>
          <cell r="AC56"/>
          <cell r="AD56"/>
          <cell r="AE56"/>
          <cell r="AF56" t="e">
            <v>#REF!</v>
          </cell>
          <cell r="AG56"/>
          <cell r="AH56"/>
          <cell r="AI56"/>
          <cell r="AJ56"/>
          <cell r="AK56">
            <v>37.799999999999997</v>
          </cell>
          <cell r="AL56"/>
          <cell r="AM56"/>
          <cell r="AN56" t="e">
            <v>#REF!</v>
          </cell>
          <cell r="AO56"/>
          <cell r="AP56"/>
          <cell r="AQ56"/>
          <cell r="AR56"/>
          <cell r="AS56">
            <v>4655</v>
          </cell>
          <cell r="AT56" t="str">
            <v>Parts &amp; Access. - Internal - Other Makes Veh.</v>
          </cell>
          <cell r="AU56"/>
          <cell r="AV56"/>
          <cell r="AW56"/>
          <cell r="AX56"/>
          <cell r="AY56"/>
          <cell r="AZ56"/>
          <cell r="BA56"/>
          <cell r="BB56"/>
          <cell r="BC56"/>
          <cell r="BD56"/>
          <cell r="BE56"/>
          <cell r="BF56"/>
          <cell r="BG56"/>
          <cell r="BH56"/>
          <cell r="BI56"/>
          <cell r="BJ56"/>
          <cell r="BK56"/>
          <cell r="BL56" t="e">
            <v>#REF!</v>
          </cell>
          <cell r="BM56"/>
          <cell r="BN56"/>
          <cell r="BO56"/>
          <cell r="BP56"/>
          <cell r="BQ56">
            <v>23525</v>
          </cell>
          <cell r="BR56"/>
          <cell r="BS56"/>
          <cell r="BT56"/>
          <cell r="BU56"/>
          <cell r="BV56"/>
          <cell r="BW56"/>
          <cell r="BX56"/>
          <cell r="BY56" t="e">
            <v>#REF!</v>
          </cell>
          <cell r="BZ56"/>
          <cell r="CA56"/>
          <cell r="CB56"/>
          <cell r="CC56"/>
          <cell r="CD56">
            <v>8181</v>
          </cell>
          <cell r="CE56"/>
          <cell r="CF56"/>
          <cell r="CG56"/>
          <cell r="CH56"/>
          <cell r="CI56"/>
          <cell r="CJ56"/>
          <cell r="CK56"/>
          <cell r="CL56" t="e">
            <v>#REF!</v>
          </cell>
          <cell r="CM56"/>
          <cell r="CN56"/>
          <cell r="CO56"/>
          <cell r="CP56"/>
          <cell r="CQ56">
            <v>34.799999999999997</v>
          </cell>
          <cell r="CR56"/>
          <cell r="CS56"/>
          <cell r="CT56" t="e">
            <v>#REF!</v>
          </cell>
          <cell r="CU56"/>
          <cell r="CV56"/>
          <cell r="CW56"/>
          <cell r="CX56"/>
          <cell r="CY56" t="str">
            <v>52</v>
          </cell>
        </row>
        <row r="57">
          <cell r="B57" t="str">
            <v>53</v>
          </cell>
          <cell r="C57"/>
          <cell r="D57"/>
          <cell r="E57"/>
          <cell r="F57" t="e">
            <v>#REF!</v>
          </cell>
          <cell r="G57"/>
          <cell r="H57"/>
          <cell r="I57"/>
          <cell r="J57"/>
          <cell r="K57">
            <v>0</v>
          </cell>
          <cell r="L57"/>
          <cell r="M57"/>
          <cell r="N57"/>
          <cell r="O57"/>
          <cell r="P57"/>
          <cell r="Q57"/>
          <cell r="R57"/>
          <cell r="S57" t="e">
            <v>#REF!</v>
          </cell>
          <cell r="T57"/>
          <cell r="U57"/>
          <cell r="V57"/>
          <cell r="W57"/>
          <cell r="X57">
            <v>0</v>
          </cell>
          <cell r="Y57"/>
          <cell r="Z57"/>
          <cell r="AA57"/>
          <cell r="AB57"/>
          <cell r="AC57"/>
          <cell r="AD57"/>
          <cell r="AE57"/>
          <cell r="AF57" t="e">
            <v>#REF!</v>
          </cell>
          <cell r="AG57"/>
          <cell r="AH57"/>
          <cell r="AI57"/>
          <cell r="AJ57"/>
          <cell r="AK57">
            <v>0</v>
          </cell>
          <cell r="AL57"/>
          <cell r="AM57"/>
          <cell r="AN57" t="e">
            <v>#REF!</v>
          </cell>
          <cell r="AO57"/>
          <cell r="AP57"/>
          <cell r="AQ57"/>
          <cell r="AR57"/>
          <cell r="AS57">
            <v>4625</v>
          </cell>
          <cell r="AT57" t="str">
            <v>Parts &amp; Access. - R.O. Body Shop - Other Makes Veh.</v>
          </cell>
          <cell r="AU57"/>
          <cell r="AV57"/>
          <cell r="AW57"/>
          <cell r="AX57"/>
          <cell r="AY57"/>
          <cell r="AZ57"/>
          <cell r="BA57"/>
          <cell r="BB57"/>
          <cell r="BC57"/>
          <cell r="BD57"/>
          <cell r="BE57"/>
          <cell r="BF57"/>
          <cell r="BG57"/>
          <cell r="BH57"/>
          <cell r="BI57"/>
          <cell r="BJ57"/>
          <cell r="BK57"/>
          <cell r="BL57" t="e">
            <v>#REF!</v>
          </cell>
          <cell r="BM57"/>
          <cell r="BN57"/>
          <cell r="BO57"/>
          <cell r="BP57"/>
          <cell r="BQ57">
            <v>0</v>
          </cell>
          <cell r="BR57"/>
          <cell r="BS57"/>
          <cell r="BT57"/>
          <cell r="BU57"/>
          <cell r="BV57"/>
          <cell r="BW57"/>
          <cell r="BX57"/>
          <cell r="BY57" t="e">
            <v>#REF!</v>
          </cell>
          <cell r="BZ57"/>
          <cell r="CA57"/>
          <cell r="CB57"/>
          <cell r="CC57"/>
          <cell r="CD57">
            <v>0</v>
          </cell>
          <cell r="CE57"/>
          <cell r="CF57"/>
          <cell r="CG57"/>
          <cell r="CH57"/>
          <cell r="CI57"/>
          <cell r="CJ57"/>
          <cell r="CK57"/>
          <cell r="CL57" t="e">
            <v>#REF!</v>
          </cell>
          <cell r="CM57"/>
          <cell r="CN57"/>
          <cell r="CO57"/>
          <cell r="CP57"/>
          <cell r="CQ57">
            <v>0</v>
          </cell>
          <cell r="CR57"/>
          <cell r="CS57"/>
          <cell r="CT57" t="e">
            <v>#REF!</v>
          </cell>
          <cell r="CU57"/>
          <cell r="CV57"/>
          <cell r="CW57"/>
          <cell r="CX57"/>
          <cell r="CY57" t="str">
            <v>53</v>
          </cell>
        </row>
        <row r="58">
          <cell r="B58" t="str">
            <v>54</v>
          </cell>
          <cell r="C58">
            <v>0</v>
          </cell>
          <cell r="D58"/>
          <cell r="E58"/>
          <cell r="F58" t="e">
            <v>#REF!</v>
          </cell>
          <cell r="G58"/>
          <cell r="H58"/>
          <cell r="I58"/>
          <cell r="J58"/>
          <cell r="K58">
            <v>0</v>
          </cell>
          <cell r="L58"/>
          <cell r="M58"/>
          <cell r="N58"/>
          <cell r="O58"/>
          <cell r="P58"/>
          <cell r="Q58"/>
          <cell r="R58"/>
          <cell r="S58" t="e">
            <v>#REF!</v>
          </cell>
          <cell r="T58"/>
          <cell r="U58"/>
          <cell r="V58"/>
          <cell r="W58"/>
          <cell r="X58">
            <v>0</v>
          </cell>
          <cell r="Y58"/>
          <cell r="Z58"/>
          <cell r="AA58"/>
          <cell r="AB58"/>
          <cell r="AC58"/>
          <cell r="AD58"/>
          <cell r="AE58"/>
          <cell r="AF58" t="e">
            <v>#REF!</v>
          </cell>
          <cell r="AG58"/>
          <cell r="AH58"/>
          <cell r="AI58"/>
          <cell r="AJ58"/>
          <cell r="AK58">
            <v>0</v>
          </cell>
          <cell r="AL58"/>
          <cell r="AM58"/>
          <cell r="AN58" t="e">
            <v>#REF!</v>
          </cell>
          <cell r="AO58"/>
          <cell r="AP58"/>
          <cell r="AQ58"/>
          <cell r="AR58"/>
          <cell r="AS58">
            <v>4665</v>
          </cell>
          <cell r="AT58" t="str">
            <v>Parts &amp; Access. - Counter Retail - Other Makes Veh.</v>
          </cell>
          <cell r="AU58"/>
          <cell r="AV58"/>
          <cell r="AW58"/>
          <cell r="AX58"/>
          <cell r="AY58"/>
          <cell r="AZ58"/>
          <cell r="BA58"/>
          <cell r="BB58"/>
          <cell r="BC58"/>
          <cell r="BD58"/>
          <cell r="BE58"/>
          <cell r="BF58"/>
          <cell r="BG58"/>
          <cell r="BH58"/>
          <cell r="BI58">
            <v>242</v>
          </cell>
          <cell r="BJ58"/>
          <cell r="BK58"/>
          <cell r="BL58" t="e">
            <v>#REF!</v>
          </cell>
          <cell r="BM58"/>
          <cell r="BN58"/>
          <cell r="BO58"/>
          <cell r="BP58"/>
          <cell r="BQ58">
            <v>2002</v>
          </cell>
          <cell r="BR58"/>
          <cell r="BS58"/>
          <cell r="BT58"/>
          <cell r="BU58"/>
          <cell r="BV58"/>
          <cell r="BW58"/>
          <cell r="BX58"/>
          <cell r="BY58" t="e">
            <v>#REF!</v>
          </cell>
          <cell r="BZ58"/>
          <cell r="CA58"/>
          <cell r="CB58"/>
          <cell r="CC58"/>
          <cell r="CD58">
            <v>1342</v>
          </cell>
          <cell r="CE58"/>
          <cell r="CF58"/>
          <cell r="CG58"/>
          <cell r="CH58"/>
          <cell r="CI58"/>
          <cell r="CJ58"/>
          <cell r="CK58"/>
          <cell r="CL58" t="e">
            <v>#REF!</v>
          </cell>
          <cell r="CM58"/>
          <cell r="CN58"/>
          <cell r="CO58"/>
          <cell r="CP58"/>
          <cell r="CQ58">
            <v>67</v>
          </cell>
          <cell r="CR58"/>
          <cell r="CS58"/>
          <cell r="CT58" t="e">
            <v>#REF!</v>
          </cell>
          <cell r="CU58"/>
          <cell r="CV58"/>
          <cell r="CW58"/>
          <cell r="CX58"/>
          <cell r="CY58" t="str">
            <v>54</v>
          </cell>
        </row>
        <row r="59">
          <cell r="B59" t="str">
            <v>55</v>
          </cell>
          <cell r="C59">
            <v>0</v>
          </cell>
          <cell r="D59"/>
          <cell r="E59"/>
          <cell r="F59" t="e">
            <v>#REF!</v>
          </cell>
          <cell r="G59"/>
          <cell r="H59"/>
          <cell r="I59"/>
          <cell r="J59"/>
          <cell r="K59">
            <v>0</v>
          </cell>
          <cell r="L59"/>
          <cell r="M59"/>
          <cell r="N59"/>
          <cell r="O59"/>
          <cell r="P59"/>
          <cell r="Q59"/>
          <cell r="R59"/>
          <cell r="S59" t="e">
            <v>#REF!</v>
          </cell>
          <cell r="T59"/>
          <cell r="U59"/>
          <cell r="V59"/>
          <cell r="W59"/>
          <cell r="X59">
            <v>0</v>
          </cell>
          <cell r="Y59"/>
          <cell r="Z59"/>
          <cell r="AA59"/>
          <cell r="AB59"/>
          <cell r="AC59"/>
          <cell r="AD59"/>
          <cell r="AE59"/>
          <cell r="AF59" t="e">
            <v>#REF!</v>
          </cell>
          <cell r="AG59"/>
          <cell r="AH59"/>
          <cell r="AI59"/>
          <cell r="AJ59"/>
          <cell r="AK59">
            <v>0</v>
          </cell>
          <cell r="AL59"/>
          <cell r="AM59"/>
          <cell r="AN59" t="e">
            <v>#REF!</v>
          </cell>
          <cell r="AO59"/>
          <cell r="AP59"/>
          <cell r="AQ59"/>
          <cell r="AR59"/>
          <cell r="AS59">
            <v>4675</v>
          </cell>
          <cell r="AT59" t="str">
            <v>Parts &amp; Access. - Wholesale - Other Makes Veh.</v>
          </cell>
          <cell r="AU59"/>
          <cell r="AV59"/>
          <cell r="AW59"/>
          <cell r="AX59"/>
          <cell r="AY59"/>
          <cell r="AZ59"/>
          <cell r="BA59"/>
          <cell r="BB59"/>
          <cell r="BC59"/>
          <cell r="BD59"/>
          <cell r="BE59"/>
          <cell r="BF59"/>
          <cell r="BG59"/>
          <cell r="BH59"/>
          <cell r="BI59">
            <v>7</v>
          </cell>
          <cell r="BJ59"/>
          <cell r="BK59"/>
          <cell r="BL59" t="e">
            <v>#REF!</v>
          </cell>
          <cell r="BM59"/>
          <cell r="BN59"/>
          <cell r="BO59"/>
          <cell r="BP59"/>
          <cell r="BQ59">
            <v>86</v>
          </cell>
          <cell r="BR59"/>
          <cell r="BS59"/>
          <cell r="BT59"/>
          <cell r="BU59"/>
          <cell r="BV59"/>
          <cell r="BW59"/>
          <cell r="BX59"/>
          <cell r="BY59" t="e">
            <v>#REF!</v>
          </cell>
          <cell r="BZ59"/>
          <cell r="CA59"/>
          <cell r="CB59"/>
          <cell r="CC59"/>
          <cell r="CD59">
            <v>31</v>
          </cell>
          <cell r="CE59"/>
          <cell r="CF59"/>
          <cell r="CG59"/>
          <cell r="CH59"/>
          <cell r="CI59"/>
          <cell r="CJ59"/>
          <cell r="CK59"/>
          <cell r="CL59" t="e">
            <v>#REF!</v>
          </cell>
          <cell r="CM59"/>
          <cell r="CN59"/>
          <cell r="CO59"/>
          <cell r="CP59"/>
          <cell r="CQ59">
            <v>36</v>
          </cell>
          <cell r="CR59"/>
          <cell r="CS59"/>
          <cell r="CT59" t="e">
            <v>#REF!</v>
          </cell>
          <cell r="CU59"/>
          <cell r="CV59"/>
          <cell r="CW59"/>
          <cell r="CX59"/>
          <cell r="CY59" t="str">
            <v>55</v>
          </cell>
        </row>
        <row r="60">
          <cell r="B60" t="str">
            <v>56</v>
          </cell>
          <cell r="C60">
            <v>0</v>
          </cell>
          <cell r="D60"/>
          <cell r="E60"/>
          <cell r="F60" t="e">
            <v>#REF!</v>
          </cell>
          <cell r="G60"/>
          <cell r="H60"/>
          <cell r="I60"/>
          <cell r="J60"/>
          <cell r="K60">
            <v>1204</v>
          </cell>
          <cell r="L60"/>
          <cell r="M60"/>
          <cell r="N60"/>
          <cell r="O60"/>
          <cell r="P60"/>
          <cell r="Q60"/>
          <cell r="R60"/>
          <cell r="S60" t="e">
            <v>#REF!</v>
          </cell>
          <cell r="T60"/>
          <cell r="U60"/>
          <cell r="V60"/>
          <cell r="W60"/>
          <cell r="X60">
            <v>455</v>
          </cell>
          <cell r="Y60"/>
          <cell r="Z60"/>
          <cell r="AA60"/>
          <cell r="AB60"/>
          <cell r="AC60"/>
          <cell r="AD60"/>
          <cell r="AE60"/>
          <cell r="AF60" t="e">
            <v>#REF!</v>
          </cell>
          <cell r="AG60"/>
          <cell r="AH60"/>
          <cell r="AI60"/>
          <cell r="AJ60"/>
          <cell r="AK60">
            <v>37.799999999999997</v>
          </cell>
          <cell r="AL60"/>
          <cell r="AM60"/>
          <cell r="AN60" t="e">
            <v>#REF!</v>
          </cell>
          <cell r="AO60"/>
          <cell r="AP60"/>
          <cell r="AQ60"/>
          <cell r="AR60"/>
          <cell r="AS60"/>
          <cell r="AT60" t="str">
            <v>SUBTOTAL - P &amp; A OTHER MAKES</v>
          </cell>
          <cell r="AU60"/>
          <cell r="AV60"/>
          <cell r="AW60"/>
          <cell r="AX60"/>
          <cell r="AY60"/>
          <cell r="AZ60"/>
          <cell r="BA60"/>
          <cell r="BB60"/>
          <cell r="BC60"/>
          <cell r="BD60"/>
          <cell r="BE60"/>
          <cell r="BF60"/>
          <cell r="BG60"/>
          <cell r="BH60" t="str">
            <v xml:space="preserve">(Lines 48 to 55) </v>
          </cell>
          <cell r="BI60">
            <v>249</v>
          </cell>
          <cell r="BJ60"/>
          <cell r="BK60"/>
          <cell r="BL60" t="e">
            <v>#REF!</v>
          </cell>
          <cell r="BM60"/>
          <cell r="BN60"/>
          <cell r="BO60"/>
          <cell r="BP60"/>
          <cell r="BQ60">
            <v>26167</v>
          </cell>
          <cell r="BR60"/>
          <cell r="BS60"/>
          <cell r="BT60"/>
          <cell r="BU60"/>
          <cell r="BV60"/>
          <cell r="BW60"/>
          <cell r="BX60"/>
          <cell r="BY60" t="e">
            <v>#REF!</v>
          </cell>
          <cell r="BZ60"/>
          <cell r="CA60"/>
          <cell r="CB60"/>
          <cell r="CC60"/>
          <cell r="CD60">
            <v>8159</v>
          </cell>
          <cell r="CE60"/>
          <cell r="CF60"/>
          <cell r="CG60"/>
          <cell r="CH60"/>
          <cell r="CI60"/>
          <cell r="CJ60"/>
          <cell r="CK60"/>
          <cell r="CL60" t="e">
            <v>#REF!</v>
          </cell>
          <cell r="CM60"/>
          <cell r="CN60"/>
          <cell r="CO60"/>
          <cell r="CP60"/>
          <cell r="CQ60">
            <v>31.2</v>
          </cell>
          <cell r="CR60"/>
          <cell r="CS60"/>
          <cell r="CT60" t="e">
            <v>#REF!</v>
          </cell>
          <cell r="CU60"/>
          <cell r="CV60"/>
          <cell r="CW60"/>
          <cell r="CX60"/>
          <cell r="CY60" t="str">
            <v>56</v>
          </cell>
        </row>
        <row r="61">
          <cell r="B61" t="str">
            <v>57</v>
          </cell>
          <cell r="C61"/>
          <cell r="D61"/>
          <cell r="E61"/>
          <cell r="F61" t="e">
            <v>#REF!</v>
          </cell>
          <cell r="G61"/>
          <cell r="H61"/>
          <cell r="I61"/>
          <cell r="J61"/>
          <cell r="K61">
            <v>0</v>
          </cell>
          <cell r="L61"/>
          <cell r="M61"/>
          <cell r="N61"/>
          <cell r="O61"/>
          <cell r="P61"/>
          <cell r="Q61"/>
          <cell r="R61"/>
          <cell r="S61" t="e">
            <v>#REF!</v>
          </cell>
          <cell r="T61"/>
          <cell r="U61"/>
          <cell r="V61"/>
          <cell r="W61"/>
          <cell r="X61">
            <v>0</v>
          </cell>
          <cell r="Y61"/>
          <cell r="Z61"/>
          <cell r="AA61"/>
          <cell r="AB61"/>
          <cell r="AC61"/>
          <cell r="AD61"/>
          <cell r="AE61"/>
          <cell r="AF61" t="e">
            <v>#REF!</v>
          </cell>
          <cell r="AG61"/>
          <cell r="AH61"/>
          <cell r="AI61"/>
          <cell r="AJ61"/>
          <cell r="AK61">
            <v>0</v>
          </cell>
          <cell r="AL61"/>
          <cell r="AM61"/>
          <cell r="AN61" t="e">
            <v>#REF!</v>
          </cell>
          <cell r="AO61"/>
          <cell r="AP61"/>
          <cell r="AQ61"/>
          <cell r="AR61"/>
          <cell r="AS61">
            <v>4680</v>
          </cell>
          <cell r="AT61" t="str">
            <v>Parts &amp; Access. - Miscellaneous</v>
          </cell>
          <cell r="AU61"/>
          <cell r="AV61"/>
          <cell r="AW61"/>
          <cell r="AX61"/>
          <cell r="AY61"/>
          <cell r="AZ61"/>
          <cell r="BA61"/>
          <cell r="BB61"/>
          <cell r="BC61"/>
          <cell r="BD61"/>
          <cell r="BE61"/>
          <cell r="BF61"/>
          <cell r="BG61"/>
          <cell r="BH61"/>
          <cell r="BI61"/>
          <cell r="BJ61"/>
          <cell r="BK61"/>
          <cell r="BL61" t="e">
            <v>#REF!</v>
          </cell>
          <cell r="BM61"/>
          <cell r="BN61"/>
          <cell r="BO61"/>
          <cell r="BP61"/>
          <cell r="BQ61">
            <v>0</v>
          </cell>
          <cell r="BR61"/>
          <cell r="BS61"/>
          <cell r="BT61"/>
          <cell r="BU61"/>
          <cell r="BV61"/>
          <cell r="BW61"/>
          <cell r="BX61"/>
          <cell r="BY61" t="e">
            <v>#REF!</v>
          </cell>
          <cell r="BZ61"/>
          <cell r="CA61"/>
          <cell r="CB61"/>
          <cell r="CC61"/>
          <cell r="CD61">
            <v>0</v>
          </cell>
          <cell r="CE61"/>
          <cell r="CF61"/>
          <cell r="CG61"/>
          <cell r="CH61"/>
          <cell r="CI61"/>
          <cell r="CJ61"/>
          <cell r="CK61"/>
          <cell r="CL61" t="e">
            <v>#REF!</v>
          </cell>
          <cell r="CM61"/>
          <cell r="CN61"/>
          <cell r="CO61"/>
          <cell r="CP61"/>
          <cell r="CQ61">
            <v>0</v>
          </cell>
          <cell r="CR61"/>
          <cell r="CS61"/>
          <cell r="CT61" t="e">
            <v>#REF!</v>
          </cell>
          <cell r="CU61"/>
          <cell r="CV61"/>
          <cell r="CW61"/>
          <cell r="CX61"/>
          <cell r="CY61" t="str">
            <v>57</v>
          </cell>
        </row>
        <row r="62">
          <cell r="B62" t="str">
            <v>58</v>
          </cell>
          <cell r="C62"/>
          <cell r="D62"/>
          <cell r="E62"/>
          <cell r="F62" t="e">
            <v>#REF!</v>
          </cell>
          <cell r="G62"/>
          <cell r="H62"/>
          <cell r="I62"/>
          <cell r="J62"/>
          <cell r="K62">
            <v>10119</v>
          </cell>
          <cell r="L62"/>
          <cell r="M62"/>
          <cell r="N62"/>
          <cell r="O62"/>
          <cell r="P62"/>
          <cell r="Q62"/>
          <cell r="R62"/>
          <cell r="S62" t="e">
            <v>#REF!</v>
          </cell>
          <cell r="T62"/>
          <cell r="U62"/>
          <cell r="V62"/>
          <cell r="W62"/>
          <cell r="X62">
            <v>2649</v>
          </cell>
          <cell r="Y62"/>
          <cell r="Z62"/>
          <cell r="AA62"/>
          <cell r="AB62"/>
          <cell r="AC62"/>
          <cell r="AD62"/>
          <cell r="AE62"/>
          <cell r="AF62" t="e">
            <v>#REF!</v>
          </cell>
          <cell r="AG62"/>
          <cell r="AH62"/>
          <cell r="AI62"/>
          <cell r="AJ62"/>
          <cell r="AK62">
            <v>26.2</v>
          </cell>
          <cell r="AL62"/>
          <cell r="AM62"/>
          <cell r="AN62" t="e">
            <v>#REF!</v>
          </cell>
          <cell r="AO62"/>
          <cell r="AP62"/>
          <cell r="AQ62"/>
          <cell r="AR62"/>
          <cell r="AS62">
            <v>4700</v>
          </cell>
          <cell r="AT62" t="str">
            <v>Gas, Oil, &amp; Grease</v>
          </cell>
          <cell r="AU62"/>
          <cell r="AV62"/>
          <cell r="AW62"/>
          <cell r="AX62"/>
          <cell r="AY62"/>
          <cell r="AZ62"/>
          <cell r="BA62"/>
          <cell r="BB62"/>
          <cell r="BC62"/>
          <cell r="BD62"/>
          <cell r="BE62"/>
          <cell r="BF62"/>
          <cell r="BG62"/>
          <cell r="BH62"/>
          <cell r="BI62"/>
          <cell r="BJ62"/>
          <cell r="BK62"/>
          <cell r="BL62" t="e">
            <v>#REF!</v>
          </cell>
          <cell r="BM62"/>
          <cell r="BN62"/>
          <cell r="BO62"/>
          <cell r="BP62"/>
          <cell r="BQ62">
            <v>107743</v>
          </cell>
          <cell r="BR62"/>
          <cell r="BS62"/>
          <cell r="BT62"/>
          <cell r="BU62"/>
          <cell r="BV62"/>
          <cell r="BW62"/>
          <cell r="BX62"/>
          <cell r="BY62" t="e">
            <v>#REF!</v>
          </cell>
          <cell r="BZ62"/>
          <cell r="CA62"/>
          <cell r="CB62"/>
          <cell r="CC62"/>
          <cell r="CD62">
            <v>33387</v>
          </cell>
          <cell r="CE62"/>
          <cell r="CF62"/>
          <cell r="CG62"/>
          <cell r="CH62"/>
          <cell r="CI62"/>
          <cell r="CJ62"/>
          <cell r="CK62"/>
          <cell r="CL62" t="e">
            <v>#REF!</v>
          </cell>
          <cell r="CM62"/>
          <cell r="CN62"/>
          <cell r="CO62"/>
          <cell r="CP62"/>
          <cell r="CQ62">
            <v>31</v>
          </cell>
          <cell r="CR62"/>
          <cell r="CS62"/>
          <cell r="CT62" t="e">
            <v>#REF!</v>
          </cell>
          <cell r="CU62"/>
          <cell r="CV62"/>
          <cell r="CW62"/>
          <cell r="CX62"/>
          <cell r="CY62" t="str">
            <v>58</v>
          </cell>
        </row>
        <row r="63">
          <cell r="B63" t="str">
            <v>59</v>
          </cell>
          <cell r="C63"/>
          <cell r="D63"/>
          <cell r="E63"/>
          <cell r="F63" t="e">
            <v>#REF!</v>
          </cell>
          <cell r="G63"/>
          <cell r="H63"/>
          <cell r="I63"/>
          <cell r="J63"/>
          <cell r="K63"/>
          <cell r="L63"/>
          <cell r="M63"/>
          <cell r="N63"/>
          <cell r="O63"/>
          <cell r="P63"/>
          <cell r="Q63"/>
          <cell r="R63"/>
          <cell r="S63" t="e">
            <v>#REF!</v>
          </cell>
          <cell r="T63"/>
          <cell r="U63"/>
          <cell r="V63"/>
          <cell r="W63"/>
          <cell r="X63">
            <v>-118</v>
          </cell>
          <cell r="Y63"/>
          <cell r="Z63"/>
          <cell r="AA63"/>
          <cell r="AB63"/>
          <cell r="AC63"/>
          <cell r="AD63"/>
          <cell r="AE63"/>
          <cell r="AF63" t="e">
            <v>#REF!</v>
          </cell>
          <cell r="AG63"/>
          <cell r="AH63"/>
          <cell r="AI63"/>
          <cell r="AJ63"/>
          <cell r="AK63"/>
          <cell r="AL63"/>
          <cell r="AM63"/>
          <cell r="AN63" t="e">
            <v>#REF!</v>
          </cell>
          <cell r="AO63"/>
          <cell r="AP63"/>
          <cell r="AQ63"/>
          <cell r="AR63"/>
          <cell r="AS63">
            <v>6695</v>
          </cell>
          <cell r="AT63" t="str">
            <v>Purchase Discounts Taken</v>
          </cell>
          <cell r="AU63"/>
          <cell r="AV63"/>
          <cell r="AW63"/>
          <cell r="AX63"/>
          <cell r="AY63"/>
          <cell r="AZ63"/>
          <cell r="BA63"/>
          <cell r="BB63"/>
          <cell r="BC63"/>
          <cell r="BD63"/>
          <cell r="BE63"/>
          <cell r="BF63"/>
          <cell r="BG63"/>
          <cell r="BH63"/>
          <cell r="BI63"/>
          <cell r="BJ63"/>
          <cell r="BK63"/>
          <cell r="BL63" t="e">
            <v>#REF!</v>
          </cell>
          <cell r="BM63"/>
          <cell r="BN63"/>
          <cell r="BO63"/>
          <cell r="BP63"/>
          <cell r="BQ63"/>
          <cell r="BR63"/>
          <cell r="BS63"/>
          <cell r="BT63"/>
          <cell r="BU63"/>
          <cell r="BV63"/>
          <cell r="BW63"/>
          <cell r="BX63"/>
          <cell r="BY63" t="e">
            <v>#REF!</v>
          </cell>
          <cell r="BZ63"/>
          <cell r="CA63"/>
          <cell r="CB63"/>
          <cell r="CC63"/>
          <cell r="CD63">
            <v>-3073</v>
          </cell>
          <cell r="CE63"/>
          <cell r="CF63"/>
          <cell r="CG63"/>
          <cell r="CH63"/>
          <cell r="CI63"/>
          <cell r="CJ63"/>
          <cell r="CK63"/>
          <cell r="CL63" t="e">
            <v>#REF!</v>
          </cell>
          <cell r="CM63"/>
          <cell r="CN63"/>
          <cell r="CO63"/>
          <cell r="CP63"/>
          <cell r="CQ63"/>
          <cell r="CR63"/>
          <cell r="CS63"/>
          <cell r="CT63" t="e">
            <v>#REF!</v>
          </cell>
          <cell r="CU63"/>
          <cell r="CV63"/>
          <cell r="CW63"/>
          <cell r="CX63"/>
          <cell r="CY63" t="str">
            <v>59</v>
          </cell>
        </row>
        <row r="64">
          <cell r="B64" t="str">
            <v>60</v>
          </cell>
          <cell r="C64"/>
          <cell r="D64"/>
          <cell r="E64"/>
          <cell r="F64" t="e">
            <v>#REF!</v>
          </cell>
          <cell r="G64"/>
          <cell r="H64"/>
          <cell r="I64"/>
          <cell r="J64"/>
          <cell r="K64"/>
          <cell r="L64"/>
          <cell r="M64"/>
          <cell r="N64"/>
          <cell r="O64"/>
          <cell r="P64"/>
          <cell r="Q64"/>
          <cell r="R64"/>
          <cell r="S64" t="e">
            <v>#REF!</v>
          </cell>
          <cell r="T64"/>
          <cell r="U64"/>
          <cell r="V64"/>
          <cell r="W64"/>
          <cell r="X64">
            <v>-5261</v>
          </cell>
          <cell r="Y64"/>
          <cell r="Z64"/>
          <cell r="AA64"/>
          <cell r="AB64"/>
          <cell r="AC64"/>
          <cell r="AD64"/>
          <cell r="AE64"/>
          <cell r="AF64" t="e">
            <v>#REF!</v>
          </cell>
          <cell r="AG64"/>
          <cell r="AH64"/>
          <cell r="AI64"/>
          <cell r="AJ64"/>
          <cell r="AK64"/>
          <cell r="AL64"/>
          <cell r="AM64"/>
          <cell r="AN64" t="e">
            <v>#REF!</v>
          </cell>
          <cell r="AO64"/>
          <cell r="AP64"/>
          <cell r="AQ64"/>
          <cell r="AR64"/>
          <cell r="AS64">
            <v>6690</v>
          </cell>
          <cell r="AT64" t="str">
            <v>Parts &amp; Accessories - Inventory Adjustment</v>
          </cell>
          <cell r="AU64"/>
          <cell r="AV64"/>
          <cell r="AW64"/>
          <cell r="AX64"/>
          <cell r="AY64"/>
          <cell r="AZ64"/>
          <cell r="BA64"/>
          <cell r="BB64"/>
          <cell r="BC64"/>
          <cell r="BD64"/>
          <cell r="BE64"/>
          <cell r="BF64"/>
          <cell r="BG64"/>
          <cell r="BH64"/>
          <cell r="BI64"/>
          <cell r="BJ64"/>
          <cell r="BK64"/>
          <cell r="BL64" t="e">
            <v>#REF!</v>
          </cell>
          <cell r="BM64"/>
          <cell r="BN64"/>
          <cell r="BO64"/>
          <cell r="BP64"/>
          <cell r="BQ64"/>
          <cell r="BR64"/>
          <cell r="BS64"/>
          <cell r="BT64"/>
          <cell r="BU64"/>
          <cell r="BV64"/>
          <cell r="BW64"/>
          <cell r="BX64"/>
          <cell r="BY64" t="e">
            <v>#REF!</v>
          </cell>
          <cell r="BZ64"/>
          <cell r="CA64"/>
          <cell r="CB64"/>
          <cell r="CC64"/>
          <cell r="CD64">
            <v>-17406</v>
          </cell>
          <cell r="CE64"/>
          <cell r="CF64"/>
          <cell r="CG64"/>
          <cell r="CH64"/>
          <cell r="CI64"/>
          <cell r="CJ64"/>
          <cell r="CK64"/>
          <cell r="CL64" t="e">
            <v>#REF!</v>
          </cell>
          <cell r="CM64"/>
          <cell r="CN64"/>
          <cell r="CO64"/>
          <cell r="CP64"/>
          <cell r="CQ64"/>
          <cell r="CR64"/>
          <cell r="CS64"/>
          <cell r="CT64" t="e">
            <v>#REF!</v>
          </cell>
          <cell r="CU64"/>
          <cell r="CV64"/>
          <cell r="CW64"/>
          <cell r="CX64"/>
          <cell r="CY64" t="str">
            <v>60</v>
          </cell>
        </row>
        <row r="65">
          <cell r="B65" t="str">
            <v>61</v>
          </cell>
          <cell r="C65">
            <v>754</v>
          </cell>
          <cell r="D65"/>
          <cell r="E65"/>
          <cell r="F65" t="e">
            <v>#REF!</v>
          </cell>
          <cell r="G65"/>
          <cell r="H65"/>
          <cell r="I65"/>
          <cell r="J65"/>
          <cell r="K65">
            <v>452118</v>
          </cell>
          <cell r="L65"/>
          <cell r="M65"/>
          <cell r="N65"/>
          <cell r="O65"/>
          <cell r="P65"/>
          <cell r="Q65"/>
          <cell r="R65"/>
          <cell r="S65" t="e">
            <v>#REF!</v>
          </cell>
          <cell r="T65"/>
          <cell r="U65"/>
          <cell r="V65"/>
          <cell r="W65"/>
          <cell r="X65">
            <v>125981</v>
          </cell>
          <cell r="Y65"/>
          <cell r="Z65"/>
          <cell r="AA65"/>
          <cell r="AB65"/>
          <cell r="AC65"/>
          <cell r="AD65"/>
          <cell r="AE65"/>
          <cell r="AF65" t="e">
            <v>#REF!</v>
          </cell>
          <cell r="AG65"/>
          <cell r="AH65"/>
          <cell r="AI65"/>
          <cell r="AJ65"/>
          <cell r="AK65">
            <v>27.9</v>
          </cell>
          <cell r="AL65"/>
          <cell r="AM65"/>
          <cell r="AN65" t="e">
            <v>#REF!</v>
          </cell>
          <cell r="AO65"/>
          <cell r="AP65"/>
          <cell r="AQ65"/>
          <cell r="AR65"/>
          <cell r="AS65" t="str">
            <v>TT45</v>
          </cell>
          <cell r="AT65" t="str">
            <v>TOTAL - P &amp; A DEPT.</v>
          </cell>
          <cell r="AU65"/>
          <cell r="AV65"/>
          <cell r="AW65"/>
          <cell r="AX65"/>
          <cell r="AY65"/>
          <cell r="AZ65"/>
          <cell r="BA65"/>
          <cell r="BB65"/>
          <cell r="BC65"/>
          <cell r="BD65"/>
          <cell r="BE65"/>
          <cell r="BF65"/>
          <cell r="BG65"/>
          <cell r="BH65" t="str">
            <v>(Lines 29, 35, 47, 56 to 60)</v>
          </cell>
          <cell r="BI65">
            <v>9121</v>
          </cell>
          <cell r="BJ65"/>
          <cell r="BK65"/>
          <cell r="BL65" t="e">
            <v>#REF!</v>
          </cell>
          <cell r="BM65"/>
          <cell r="BN65"/>
          <cell r="BO65"/>
          <cell r="BP65"/>
          <cell r="BQ65">
            <v>5070231</v>
          </cell>
          <cell r="BR65"/>
          <cell r="BS65"/>
          <cell r="BT65"/>
          <cell r="BU65"/>
          <cell r="BV65"/>
          <cell r="BW65"/>
          <cell r="BX65"/>
          <cell r="BY65" t="e">
            <v>#REF!</v>
          </cell>
          <cell r="BZ65"/>
          <cell r="CA65"/>
          <cell r="CB65"/>
          <cell r="CC65"/>
          <cell r="CD65">
            <v>1504282</v>
          </cell>
          <cell r="CE65"/>
          <cell r="CF65"/>
          <cell r="CG65"/>
          <cell r="CH65"/>
          <cell r="CI65"/>
          <cell r="CJ65"/>
          <cell r="CK65"/>
          <cell r="CL65" t="e">
            <v>#REF!</v>
          </cell>
          <cell r="CM65"/>
          <cell r="CN65"/>
          <cell r="CO65"/>
          <cell r="CP65"/>
          <cell r="CQ65">
            <v>29.7</v>
          </cell>
          <cell r="CR65"/>
          <cell r="CS65"/>
          <cell r="CT65" t="e">
            <v>#REF!</v>
          </cell>
          <cell r="CU65"/>
          <cell r="CV65"/>
          <cell r="CW65"/>
          <cell r="CX65"/>
          <cell r="CY65" t="str">
            <v>61</v>
          </cell>
        </row>
        <row r="66">
          <cell r="B66" t="str">
            <v>62</v>
          </cell>
          <cell r="C66" t="str">
            <v># RO's</v>
          </cell>
          <cell r="D66"/>
          <cell r="E66"/>
          <cell r="F66" t="e">
            <v>#REF!</v>
          </cell>
          <cell r="G66"/>
          <cell r="H66"/>
          <cell r="I66"/>
          <cell r="J66"/>
          <cell r="K66"/>
          <cell r="L66"/>
          <cell r="M66"/>
          <cell r="N66"/>
          <cell r="O66"/>
          <cell r="P66"/>
          <cell r="Q66"/>
          <cell r="R66"/>
          <cell r="S66" t="e">
            <v>#REF!</v>
          </cell>
          <cell r="T66"/>
          <cell r="U66"/>
          <cell r="V66"/>
          <cell r="W66"/>
          <cell r="X66"/>
          <cell r="Y66"/>
          <cell r="Z66"/>
          <cell r="AA66"/>
          <cell r="AB66"/>
          <cell r="AC66"/>
          <cell r="AD66"/>
          <cell r="AE66"/>
          <cell r="AF66" t="e">
            <v>#REF!</v>
          </cell>
          <cell r="AG66"/>
          <cell r="AH66"/>
          <cell r="AI66"/>
          <cell r="AJ66"/>
          <cell r="AK66"/>
          <cell r="AL66"/>
          <cell r="AM66"/>
          <cell r="AN66" t="e">
            <v>#REF!</v>
          </cell>
          <cell r="AO66"/>
          <cell r="AP66"/>
          <cell r="AQ66"/>
          <cell r="AR66"/>
          <cell r="AS66"/>
          <cell r="AT66" t="str">
            <v>BODY SHOP DEPARTMENT (E)</v>
          </cell>
          <cell r="AU66"/>
          <cell r="AV66"/>
          <cell r="AW66"/>
          <cell r="AX66"/>
          <cell r="AY66"/>
          <cell r="AZ66"/>
          <cell r="BA66"/>
          <cell r="BB66"/>
          <cell r="BC66"/>
          <cell r="BD66"/>
          <cell r="BE66"/>
          <cell r="BF66"/>
          <cell r="BG66"/>
          <cell r="BH66"/>
          <cell r="BI66" t="str">
            <v># RO's</v>
          </cell>
          <cell r="BJ66"/>
          <cell r="BK66"/>
          <cell r="BL66" t="e">
            <v>#REF!</v>
          </cell>
          <cell r="BM66"/>
          <cell r="BN66"/>
          <cell r="BO66"/>
          <cell r="BP66"/>
          <cell r="BQ66"/>
          <cell r="BR66"/>
          <cell r="BS66"/>
          <cell r="BT66"/>
          <cell r="BU66"/>
          <cell r="BV66"/>
          <cell r="BW66"/>
          <cell r="BX66"/>
          <cell r="BY66" t="e">
            <v>#REF!</v>
          </cell>
          <cell r="BZ66"/>
          <cell r="CA66"/>
          <cell r="CB66"/>
          <cell r="CC66"/>
          <cell r="CD66"/>
          <cell r="CE66"/>
          <cell r="CF66"/>
          <cell r="CG66"/>
          <cell r="CH66"/>
          <cell r="CI66"/>
          <cell r="CJ66"/>
          <cell r="CK66"/>
          <cell r="CL66" t="e">
            <v>#REF!</v>
          </cell>
          <cell r="CM66"/>
          <cell r="CN66"/>
          <cell r="CO66"/>
          <cell r="CP66"/>
          <cell r="CQ66"/>
          <cell r="CR66"/>
          <cell r="CS66"/>
          <cell r="CT66" t="e">
            <v>#REF!</v>
          </cell>
          <cell r="CU66"/>
          <cell r="CV66"/>
          <cell r="CW66"/>
          <cell r="CX66"/>
          <cell r="CY66" t="str">
            <v>62</v>
          </cell>
        </row>
        <row r="67">
          <cell r="B67" t="str">
            <v>63</v>
          </cell>
          <cell r="C67">
            <v>41</v>
          </cell>
          <cell r="D67"/>
          <cell r="E67"/>
          <cell r="F67" t="e">
            <v>#REF!</v>
          </cell>
          <cell r="G67"/>
          <cell r="H67"/>
          <cell r="I67"/>
          <cell r="J67"/>
          <cell r="K67">
            <v>35899</v>
          </cell>
          <cell r="L67"/>
          <cell r="M67"/>
          <cell r="N67"/>
          <cell r="O67"/>
          <cell r="P67"/>
          <cell r="Q67"/>
          <cell r="R67"/>
          <cell r="S67" t="e">
            <v>#REF!</v>
          </cell>
          <cell r="T67"/>
          <cell r="U67"/>
          <cell r="V67"/>
          <cell r="W67"/>
          <cell r="X67">
            <v>21359</v>
          </cell>
          <cell r="Y67"/>
          <cell r="Z67"/>
          <cell r="AA67"/>
          <cell r="AB67"/>
          <cell r="AC67"/>
          <cell r="AD67"/>
          <cell r="AE67"/>
          <cell r="AF67" t="e">
            <v>#REF!</v>
          </cell>
          <cell r="AG67"/>
          <cell r="AH67"/>
          <cell r="AI67"/>
          <cell r="AJ67"/>
          <cell r="AK67">
            <v>59.5</v>
          </cell>
          <cell r="AL67"/>
          <cell r="AM67"/>
          <cell r="AN67" t="e">
            <v>#REF!</v>
          </cell>
          <cell r="AO67"/>
          <cell r="AP67"/>
          <cell r="AQ67"/>
          <cell r="AR67"/>
          <cell r="AS67">
            <v>4900</v>
          </cell>
          <cell r="AT67" t="str">
            <v>Customer Body Shop Labor - Vehicles</v>
          </cell>
          <cell r="AU67"/>
          <cell r="AV67"/>
          <cell r="AW67"/>
          <cell r="AX67"/>
          <cell r="AY67"/>
          <cell r="AZ67"/>
          <cell r="BA67"/>
          <cell r="BB67"/>
          <cell r="BC67"/>
          <cell r="BD67"/>
          <cell r="BE67"/>
          <cell r="BF67"/>
          <cell r="BG67"/>
          <cell r="BH67"/>
          <cell r="BI67">
            <v>564</v>
          </cell>
          <cell r="BJ67"/>
          <cell r="BK67"/>
          <cell r="BL67" t="e">
            <v>#REF!</v>
          </cell>
          <cell r="BM67"/>
          <cell r="BN67"/>
          <cell r="BO67"/>
          <cell r="BP67"/>
          <cell r="BQ67">
            <v>476245</v>
          </cell>
          <cell r="BR67"/>
          <cell r="BS67"/>
          <cell r="BT67"/>
          <cell r="BU67"/>
          <cell r="BV67"/>
          <cell r="BW67"/>
          <cell r="BX67"/>
          <cell r="BY67" t="e">
            <v>#REF!</v>
          </cell>
          <cell r="BZ67"/>
          <cell r="CA67"/>
          <cell r="CB67"/>
          <cell r="CC67"/>
          <cell r="CD67">
            <v>277163</v>
          </cell>
          <cell r="CE67"/>
          <cell r="CF67"/>
          <cell r="CG67"/>
          <cell r="CH67"/>
          <cell r="CI67"/>
          <cell r="CJ67"/>
          <cell r="CK67"/>
          <cell r="CL67" t="e">
            <v>#REF!</v>
          </cell>
          <cell r="CM67"/>
          <cell r="CN67"/>
          <cell r="CO67"/>
          <cell r="CP67"/>
          <cell r="CQ67">
            <v>58.2</v>
          </cell>
          <cell r="CR67"/>
          <cell r="CS67"/>
          <cell r="CT67" t="e">
            <v>#REF!</v>
          </cell>
          <cell r="CU67"/>
          <cell r="CV67"/>
          <cell r="CW67"/>
          <cell r="CX67"/>
          <cell r="CY67" t="str">
            <v>63</v>
          </cell>
        </row>
        <row r="68">
          <cell r="B68" t="str">
            <v>64</v>
          </cell>
          <cell r="C68">
            <v>0</v>
          </cell>
          <cell r="D68"/>
          <cell r="E68"/>
          <cell r="F68" t="e">
            <v>#REF!</v>
          </cell>
          <cell r="G68"/>
          <cell r="H68"/>
          <cell r="I68"/>
          <cell r="J68"/>
          <cell r="K68">
            <v>0</v>
          </cell>
          <cell r="L68"/>
          <cell r="M68"/>
          <cell r="N68"/>
          <cell r="O68"/>
          <cell r="P68"/>
          <cell r="Q68"/>
          <cell r="R68"/>
          <cell r="S68" t="e">
            <v>#REF!</v>
          </cell>
          <cell r="T68"/>
          <cell r="U68"/>
          <cell r="V68"/>
          <cell r="W68"/>
          <cell r="X68">
            <v>0</v>
          </cell>
          <cell r="Y68"/>
          <cell r="Z68"/>
          <cell r="AA68"/>
          <cell r="AB68"/>
          <cell r="AC68"/>
          <cell r="AD68"/>
          <cell r="AE68"/>
          <cell r="AF68" t="e">
            <v>#REF!</v>
          </cell>
          <cell r="AG68"/>
          <cell r="AH68"/>
          <cell r="AI68"/>
          <cell r="AJ68"/>
          <cell r="AK68">
            <v>0</v>
          </cell>
          <cell r="AL68"/>
          <cell r="AM68"/>
          <cell r="AN68" t="e">
            <v>#REF!</v>
          </cell>
          <cell r="AO68"/>
          <cell r="AP68"/>
          <cell r="AQ68"/>
          <cell r="AR68"/>
          <cell r="AS68">
            <v>4940</v>
          </cell>
          <cell r="AT68" t="str">
            <v>Warranty Claims Body Shop Labor</v>
          </cell>
          <cell r="AU68"/>
          <cell r="AV68"/>
          <cell r="AW68"/>
          <cell r="AX68"/>
          <cell r="AY68"/>
          <cell r="AZ68"/>
          <cell r="BA68"/>
          <cell r="BB68"/>
          <cell r="BC68"/>
          <cell r="BD68"/>
          <cell r="BE68"/>
          <cell r="BF68"/>
          <cell r="BG68"/>
          <cell r="BH68"/>
          <cell r="BI68">
            <v>3</v>
          </cell>
          <cell r="BJ68"/>
          <cell r="BK68"/>
          <cell r="BL68" t="e">
            <v>#REF!</v>
          </cell>
          <cell r="BM68"/>
          <cell r="BN68"/>
          <cell r="BO68"/>
          <cell r="BP68"/>
          <cell r="BQ68">
            <v>7161</v>
          </cell>
          <cell r="BR68"/>
          <cell r="BS68"/>
          <cell r="BT68"/>
          <cell r="BU68"/>
          <cell r="BV68"/>
          <cell r="BW68"/>
          <cell r="BX68"/>
          <cell r="BY68" t="e">
            <v>#REF!</v>
          </cell>
          <cell r="BZ68"/>
          <cell r="CA68"/>
          <cell r="CB68"/>
          <cell r="CC68"/>
          <cell r="CD68">
            <v>6108</v>
          </cell>
          <cell r="CE68"/>
          <cell r="CF68"/>
          <cell r="CG68"/>
          <cell r="CH68"/>
          <cell r="CI68"/>
          <cell r="CJ68"/>
          <cell r="CK68"/>
          <cell r="CL68" t="e">
            <v>#REF!</v>
          </cell>
          <cell r="CM68"/>
          <cell r="CN68"/>
          <cell r="CO68"/>
          <cell r="CP68"/>
          <cell r="CQ68">
            <v>85.3</v>
          </cell>
          <cell r="CR68"/>
          <cell r="CS68"/>
          <cell r="CT68" t="e">
            <v>#REF!</v>
          </cell>
          <cell r="CU68"/>
          <cell r="CV68"/>
          <cell r="CW68"/>
          <cell r="CX68"/>
          <cell r="CY68" t="str">
            <v>64</v>
          </cell>
        </row>
        <row r="69">
          <cell r="B69" t="str">
            <v>65</v>
          </cell>
          <cell r="C69">
            <v>0</v>
          </cell>
          <cell r="D69"/>
          <cell r="E69"/>
          <cell r="F69" t="e">
            <v>#REF!</v>
          </cell>
          <cell r="G69"/>
          <cell r="H69"/>
          <cell r="I69"/>
          <cell r="J69"/>
          <cell r="K69">
            <v>0</v>
          </cell>
          <cell r="L69"/>
          <cell r="M69"/>
          <cell r="N69"/>
          <cell r="O69"/>
          <cell r="P69"/>
          <cell r="Q69"/>
          <cell r="R69"/>
          <cell r="S69" t="e">
            <v>#REF!</v>
          </cell>
          <cell r="T69"/>
          <cell r="U69"/>
          <cell r="V69"/>
          <cell r="W69"/>
          <cell r="X69">
            <v>0</v>
          </cell>
          <cell r="Y69"/>
          <cell r="Z69"/>
          <cell r="AA69"/>
          <cell r="AB69"/>
          <cell r="AC69"/>
          <cell r="AD69"/>
          <cell r="AE69"/>
          <cell r="AF69" t="e">
            <v>#REF!</v>
          </cell>
          <cell r="AG69"/>
          <cell r="AH69"/>
          <cell r="AI69"/>
          <cell r="AJ69"/>
          <cell r="AK69">
            <v>0</v>
          </cell>
          <cell r="AL69"/>
          <cell r="AM69"/>
          <cell r="AN69" t="e">
            <v>#REF!</v>
          </cell>
          <cell r="AO69"/>
          <cell r="AP69"/>
          <cell r="AQ69"/>
          <cell r="AR69"/>
          <cell r="AS69">
            <v>4950</v>
          </cell>
          <cell r="AT69" t="str">
            <v>Internal Body Shop Labor</v>
          </cell>
          <cell r="AU69"/>
          <cell r="AV69"/>
          <cell r="AW69"/>
          <cell r="AX69"/>
          <cell r="AY69"/>
          <cell r="AZ69"/>
          <cell r="BA69"/>
          <cell r="BB69"/>
          <cell r="BC69"/>
          <cell r="BD69"/>
          <cell r="BE69"/>
          <cell r="BF69"/>
          <cell r="BG69"/>
          <cell r="BH69"/>
          <cell r="BI69">
            <v>101</v>
          </cell>
          <cell r="BJ69"/>
          <cell r="BK69"/>
          <cell r="BL69" t="e">
            <v>#REF!</v>
          </cell>
          <cell r="BM69"/>
          <cell r="BN69"/>
          <cell r="BO69"/>
          <cell r="BP69"/>
          <cell r="BQ69">
            <v>43159</v>
          </cell>
          <cell r="BR69"/>
          <cell r="BS69"/>
          <cell r="BT69"/>
          <cell r="BU69"/>
          <cell r="BV69"/>
          <cell r="BW69"/>
          <cell r="BX69"/>
          <cell r="BY69" t="e">
            <v>#REF!</v>
          </cell>
          <cell r="BZ69"/>
          <cell r="CA69"/>
          <cell r="CB69"/>
          <cell r="CC69"/>
          <cell r="CD69">
            <v>20785</v>
          </cell>
          <cell r="CE69"/>
          <cell r="CF69"/>
          <cell r="CG69"/>
          <cell r="CH69"/>
          <cell r="CI69"/>
          <cell r="CJ69"/>
          <cell r="CK69"/>
          <cell r="CL69" t="e">
            <v>#REF!</v>
          </cell>
          <cell r="CM69"/>
          <cell r="CN69"/>
          <cell r="CO69"/>
          <cell r="CP69"/>
          <cell r="CQ69">
            <v>48.2</v>
          </cell>
          <cell r="CR69"/>
          <cell r="CS69"/>
          <cell r="CT69" t="e">
            <v>#REF!</v>
          </cell>
          <cell r="CU69"/>
          <cell r="CV69"/>
          <cell r="CW69"/>
          <cell r="CX69"/>
          <cell r="CY69" t="str">
            <v>65</v>
          </cell>
        </row>
        <row r="70">
          <cell r="B70" t="str">
            <v>66</v>
          </cell>
          <cell r="C70"/>
          <cell r="D70"/>
          <cell r="E70"/>
          <cell r="F70" t="e">
            <v>#REF!</v>
          </cell>
          <cell r="G70"/>
          <cell r="H70"/>
          <cell r="I70"/>
          <cell r="J70"/>
          <cell r="K70">
            <v>1035</v>
          </cell>
          <cell r="L70"/>
          <cell r="M70"/>
          <cell r="N70"/>
          <cell r="O70"/>
          <cell r="P70"/>
          <cell r="Q70"/>
          <cell r="R70"/>
          <cell r="S70" t="e">
            <v>#REF!</v>
          </cell>
          <cell r="T70"/>
          <cell r="U70"/>
          <cell r="V70"/>
          <cell r="W70"/>
          <cell r="X70">
            <v>-30</v>
          </cell>
          <cell r="Y70"/>
          <cell r="Z70"/>
          <cell r="AA70"/>
          <cell r="AB70"/>
          <cell r="AC70"/>
          <cell r="AD70"/>
          <cell r="AE70"/>
          <cell r="AF70" t="e">
            <v>#REF!</v>
          </cell>
          <cell r="AG70"/>
          <cell r="AH70"/>
          <cell r="AI70"/>
          <cell r="AJ70"/>
          <cell r="AK70">
            <v>-2.9</v>
          </cell>
          <cell r="AL70"/>
          <cell r="AM70"/>
          <cell r="AN70" t="e">
            <v>#REF!</v>
          </cell>
          <cell r="AO70"/>
          <cell r="AP70"/>
          <cell r="AQ70"/>
          <cell r="AR70"/>
          <cell r="AS70">
            <v>4960</v>
          </cell>
          <cell r="AT70" t="str">
            <v>Sublet Repairs Body Shop</v>
          </cell>
          <cell r="AU70"/>
          <cell r="AV70"/>
          <cell r="AW70"/>
          <cell r="AX70"/>
          <cell r="AY70"/>
          <cell r="AZ70"/>
          <cell r="BA70"/>
          <cell r="BB70"/>
          <cell r="BC70"/>
          <cell r="BD70"/>
          <cell r="BE70"/>
          <cell r="BF70"/>
          <cell r="BG70"/>
          <cell r="BH70"/>
          <cell r="BI70"/>
          <cell r="BJ70"/>
          <cell r="BK70"/>
          <cell r="BL70" t="e">
            <v>#REF!</v>
          </cell>
          <cell r="BM70"/>
          <cell r="BN70"/>
          <cell r="BO70"/>
          <cell r="BP70"/>
          <cell r="BQ70">
            <v>23792</v>
          </cell>
          <cell r="BR70"/>
          <cell r="BS70"/>
          <cell r="BT70"/>
          <cell r="BU70"/>
          <cell r="BV70"/>
          <cell r="BW70"/>
          <cell r="BX70"/>
          <cell r="BY70" t="e">
            <v>#REF!</v>
          </cell>
          <cell r="BZ70"/>
          <cell r="CA70"/>
          <cell r="CB70"/>
          <cell r="CC70"/>
          <cell r="CD70">
            <v>533</v>
          </cell>
          <cell r="CE70"/>
          <cell r="CF70"/>
          <cell r="CG70"/>
          <cell r="CH70"/>
          <cell r="CI70"/>
          <cell r="CJ70"/>
          <cell r="CK70"/>
          <cell r="CL70" t="e">
            <v>#REF!</v>
          </cell>
          <cell r="CM70"/>
          <cell r="CN70"/>
          <cell r="CO70"/>
          <cell r="CP70"/>
          <cell r="CQ70">
            <v>2.2000000000000002</v>
          </cell>
          <cell r="CR70"/>
          <cell r="CS70"/>
          <cell r="CT70" t="e">
            <v>#REF!</v>
          </cell>
          <cell r="CU70"/>
          <cell r="CV70"/>
          <cell r="CW70"/>
          <cell r="CX70"/>
          <cell r="CY70" t="str">
            <v>66</v>
          </cell>
        </row>
        <row r="71">
          <cell r="B71" t="str">
            <v>67</v>
          </cell>
          <cell r="C71"/>
          <cell r="D71"/>
          <cell r="E71"/>
          <cell r="F71" t="e">
            <v>#REF!</v>
          </cell>
          <cell r="G71"/>
          <cell r="H71"/>
          <cell r="I71"/>
          <cell r="J71"/>
          <cell r="K71">
            <v>8106</v>
          </cell>
          <cell r="L71"/>
          <cell r="M71"/>
          <cell r="N71"/>
          <cell r="O71"/>
          <cell r="P71"/>
          <cell r="Q71"/>
          <cell r="R71"/>
          <cell r="S71" t="e">
            <v>#REF!</v>
          </cell>
          <cell r="T71"/>
          <cell r="U71"/>
          <cell r="V71"/>
          <cell r="W71"/>
          <cell r="X71">
            <v>-280</v>
          </cell>
          <cell r="Y71"/>
          <cell r="Z71"/>
          <cell r="AA71"/>
          <cell r="AB71"/>
          <cell r="AC71"/>
          <cell r="AD71"/>
          <cell r="AE71"/>
          <cell r="AF71" t="e">
            <v>#REF!</v>
          </cell>
          <cell r="AG71"/>
          <cell r="AH71"/>
          <cell r="AI71"/>
          <cell r="AJ71"/>
          <cell r="AK71">
            <v>-3.5</v>
          </cell>
          <cell r="AL71"/>
          <cell r="AM71"/>
          <cell r="AN71" t="e">
            <v>#REF!</v>
          </cell>
          <cell r="AO71"/>
          <cell r="AP71"/>
          <cell r="AQ71"/>
          <cell r="AR71"/>
          <cell r="AS71">
            <v>4970</v>
          </cell>
          <cell r="AT71" t="str">
            <v>Body Shop Materials</v>
          </cell>
          <cell r="AU71"/>
          <cell r="AV71"/>
          <cell r="AW71"/>
          <cell r="AX71"/>
          <cell r="AY71"/>
          <cell r="AZ71"/>
          <cell r="BA71"/>
          <cell r="BB71"/>
          <cell r="BC71"/>
          <cell r="BD71"/>
          <cell r="BE71"/>
          <cell r="BF71"/>
          <cell r="BG71"/>
          <cell r="BH71"/>
          <cell r="BI71"/>
          <cell r="BJ71"/>
          <cell r="BK71"/>
          <cell r="BL71" t="e">
            <v>#REF!</v>
          </cell>
          <cell r="BM71"/>
          <cell r="BN71"/>
          <cell r="BO71"/>
          <cell r="BP71"/>
          <cell r="BQ71">
            <v>131734</v>
          </cell>
          <cell r="BR71"/>
          <cell r="BS71"/>
          <cell r="BT71"/>
          <cell r="BU71"/>
          <cell r="BV71"/>
          <cell r="BW71"/>
          <cell r="BX71"/>
          <cell r="BY71" t="e">
            <v>#REF!</v>
          </cell>
          <cell r="BZ71"/>
          <cell r="CA71"/>
          <cell r="CB71"/>
          <cell r="CC71"/>
          <cell r="CD71">
            <v>41554</v>
          </cell>
          <cell r="CE71"/>
          <cell r="CF71"/>
          <cell r="CG71"/>
          <cell r="CH71"/>
          <cell r="CI71"/>
          <cell r="CJ71"/>
          <cell r="CK71"/>
          <cell r="CL71" t="e">
            <v>#REF!</v>
          </cell>
          <cell r="CM71"/>
          <cell r="CN71"/>
          <cell r="CO71"/>
          <cell r="CP71"/>
          <cell r="CQ71">
            <v>31.5</v>
          </cell>
          <cell r="CR71"/>
          <cell r="CS71"/>
          <cell r="CT71" t="e">
            <v>#REF!</v>
          </cell>
          <cell r="CU71"/>
          <cell r="CV71"/>
          <cell r="CW71"/>
          <cell r="CX71"/>
          <cell r="CY71" t="str">
            <v>67</v>
          </cell>
        </row>
        <row r="72">
          <cell r="B72" t="str">
            <v>68</v>
          </cell>
          <cell r="C72"/>
          <cell r="D72"/>
          <cell r="E72"/>
          <cell r="F72" t="e">
            <v>#REF!</v>
          </cell>
          <cell r="G72"/>
          <cell r="H72"/>
          <cell r="I72"/>
          <cell r="J72"/>
          <cell r="K72">
            <v>0</v>
          </cell>
          <cell r="L72"/>
          <cell r="M72"/>
          <cell r="N72"/>
          <cell r="O72"/>
          <cell r="P72"/>
          <cell r="Q72"/>
          <cell r="R72"/>
          <cell r="S72" t="e">
            <v>#REF!</v>
          </cell>
          <cell r="T72"/>
          <cell r="U72"/>
          <cell r="V72"/>
          <cell r="W72"/>
          <cell r="X72">
            <v>0</v>
          </cell>
          <cell r="Y72"/>
          <cell r="Z72"/>
          <cell r="AA72"/>
          <cell r="AB72"/>
          <cell r="AC72"/>
          <cell r="AD72"/>
          <cell r="AE72"/>
          <cell r="AF72" t="e">
            <v>#REF!</v>
          </cell>
          <cell r="AG72"/>
          <cell r="AH72"/>
          <cell r="AI72"/>
          <cell r="AJ72"/>
          <cell r="AK72">
            <v>0</v>
          </cell>
          <cell r="AL72"/>
          <cell r="AM72"/>
          <cell r="AN72" t="e">
            <v>#REF!</v>
          </cell>
          <cell r="AO72"/>
          <cell r="AP72"/>
          <cell r="AQ72"/>
          <cell r="AR72"/>
          <cell r="AS72">
            <v>4980</v>
          </cell>
          <cell r="AT72" t="str">
            <v>Miscellaneous Body Shop</v>
          </cell>
          <cell r="AU72"/>
          <cell r="AV72"/>
          <cell r="AW72"/>
          <cell r="AX72"/>
          <cell r="AY72"/>
          <cell r="AZ72"/>
          <cell r="BA72"/>
          <cell r="BB72"/>
          <cell r="BC72"/>
          <cell r="BD72"/>
          <cell r="BE72"/>
          <cell r="BF72"/>
          <cell r="BG72"/>
          <cell r="BH72"/>
          <cell r="BI72"/>
          <cell r="BJ72"/>
          <cell r="BK72"/>
          <cell r="BL72" t="e">
            <v>#REF!</v>
          </cell>
          <cell r="BM72"/>
          <cell r="BN72"/>
          <cell r="BO72"/>
          <cell r="BP72"/>
          <cell r="BQ72">
            <v>0</v>
          </cell>
          <cell r="BR72"/>
          <cell r="BS72"/>
          <cell r="BT72"/>
          <cell r="BU72"/>
          <cell r="BV72"/>
          <cell r="BW72"/>
          <cell r="BX72"/>
          <cell r="BY72" t="e">
            <v>#REF!</v>
          </cell>
          <cell r="BZ72"/>
          <cell r="CA72"/>
          <cell r="CB72"/>
          <cell r="CC72"/>
          <cell r="CD72">
            <v>0</v>
          </cell>
          <cell r="CE72"/>
          <cell r="CF72"/>
          <cell r="CG72"/>
          <cell r="CH72"/>
          <cell r="CI72"/>
          <cell r="CJ72"/>
          <cell r="CK72"/>
          <cell r="CL72" t="e">
            <v>#REF!</v>
          </cell>
          <cell r="CM72"/>
          <cell r="CN72"/>
          <cell r="CO72"/>
          <cell r="CP72"/>
          <cell r="CQ72">
            <v>0</v>
          </cell>
          <cell r="CR72"/>
          <cell r="CS72"/>
          <cell r="CT72" t="e">
            <v>#REF!</v>
          </cell>
          <cell r="CU72"/>
          <cell r="CV72"/>
          <cell r="CW72"/>
          <cell r="CX72"/>
          <cell r="CY72" t="str">
            <v>68</v>
          </cell>
        </row>
        <row r="73">
          <cell r="B73" t="str">
            <v>69</v>
          </cell>
          <cell r="C73"/>
          <cell r="D73"/>
          <cell r="E73"/>
          <cell r="F73" t="e">
            <v>#REF!</v>
          </cell>
          <cell r="G73"/>
          <cell r="H73"/>
          <cell r="I73"/>
          <cell r="J73"/>
          <cell r="K73"/>
          <cell r="L73"/>
          <cell r="M73"/>
          <cell r="N73"/>
          <cell r="O73"/>
          <cell r="P73"/>
          <cell r="Q73"/>
          <cell r="R73"/>
          <cell r="S73" t="e">
            <v>#REF!</v>
          </cell>
          <cell r="T73"/>
          <cell r="U73"/>
          <cell r="V73"/>
          <cell r="W73"/>
          <cell r="X73">
            <v>0</v>
          </cell>
          <cell r="Y73"/>
          <cell r="Z73"/>
          <cell r="AA73"/>
          <cell r="AB73"/>
          <cell r="AC73"/>
          <cell r="AD73"/>
          <cell r="AE73"/>
          <cell r="AF73" t="e">
            <v>#REF!</v>
          </cell>
          <cell r="AG73"/>
          <cell r="AH73"/>
          <cell r="AI73"/>
          <cell r="AJ73"/>
          <cell r="AK73"/>
          <cell r="AL73"/>
          <cell r="AM73"/>
          <cell r="AN73" t="e">
            <v>#REF!</v>
          </cell>
          <cell r="AO73"/>
          <cell r="AP73"/>
          <cell r="AQ73"/>
          <cell r="AR73"/>
          <cell r="AS73">
            <v>6990</v>
          </cell>
          <cell r="AT73" t="str">
            <v>Adj. Cost of Labor Sales - Body Shop</v>
          </cell>
          <cell r="AU73"/>
          <cell r="AV73"/>
          <cell r="AW73"/>
          <cell r="AX73"/>
          <cell r="AY73"/>
          <cell r="AZ73"/>
          <cell r="BA73"/>
          <cell r="BB73"/>
          <cell r="BC73"/>
          <cell r="BD73"/>
          <cell r="BE73"/>
          <cell r="BF73"/>
          <cell r="BG73"/>
          <cell r="BH73"/>
          <cell r="BI73"/>
          <cell r="BJ73"/>
          <cell r="BK73"/>
          <cell r="BL73" t="e">
            <v>#REF!</v>
          </cell>
          <cell r="BM73"/>
          <cell r="BN73"/>
          <cell r="BO73"/>
          <cell r="BP73"/>
          <cell r="BQ73"/>
          <cell r="BR73"/>
          <cell r="BS73"/>
          <cell r="BT73"/>
          <cell r="BU73"/>
          <cell r="BV73"/>
          <cell r="BW73"/>
          <cell r="BX73"/>
          <cell r="BY73" t="e">
            <v>#REF!</v>
          </cell>
          <cell r="BZ73"/>
          <cell r="CA73"/>
          <cell r="CB73"/>
          <cell r="CC73"/>
          <cell r="CD73">
            <v>842</v>
          </cell>
          <cell r="CE73"/>
          <cell r="CF73"/>
          <cell r="CG73"/>
          <cell r="CH73"/>
          <cell r="CI73"/>
          <cell r="CJ73"/>
          <cell r="CK73"/>
          <cell r="CL73" t="e">
            <v>#REF!</v>
          </cell>
          <cell r="CM73"/>
          <cell r="CN73"/>
          <cell r="CO73"/>
          <cell r="CP73"/>
          <cell r="CQ73"/>
          <cell r="CR73"/>
          <cell r="CS73"/>
          <cell r="CT73"/>
          <cell r="CU73"/>
          <cell r="CV73"/>
          <cell r="CW73"/>
          <cell r="CX73"/>
          <cell r="CY73" t="str">
            <v>69</v>
          </cell>
        </row>
        <row r="74">
          <cell r="B74" t="str">
            <v>70</v>
          </cell>
          <cell r="C74">
            <v>41</v>
          </cell>
          <cell r="D74"/>
          <cell r="E74"/>
          <cell r="F74" t="e">
            <v>#REF!</v>
          </cell>
          <cell r="G74"/>
          <cell r="H74"/>
          <cell r="I74"/>
          <cell r="J74"/>
          <cell r="K74">
            <v>45040</v>
          </cell>
          <cell r="L74"/>
          <cell r="M74"/>
          <cell r="N74"/>
          <cell r="O74"/>
          <cell r="P74"/>
          <cell r="Q74"/>
          <cell r="R74"/>
          <cell r="S74" t="e">
            <v>#REF!</v>
          </cell>
          <cell r="T74"/>
          <cell r="U74"/>
          <cell r="V74"/>
          <cell r="W74"/>
          <cell r="X74">
            <v>21049</v>
          </cell>
          <cell r="Y74"/>
          <cell r="Z74"/>
          <cell r="AA74"/>
          <cell r="AB74"/>
          <cell r="AC74"/>
          <cell r="AD74"/>
          <cell r="AE74"/>
          <cell r="AF74" t="e">
            <v>#REF!</v>
          </cell>
          <cell r="AG74"/>
          <cell r="AH74"/>
          <cell r="AI74"/>
          <cell r="AJ74"/>
          <cell r="AK74">
            <v>46.7</v>
          </cell>
          <cell r="AL74"/>
          <cell r="AM74"/>
          <cell r="AN74" t="e">
            <v>#REF!</v>
          </cell>
          <cell r="AO74"/>
          <cell r="AP74"/>
          <cell r="AQ74"/>
          <cell r="AR74"/>
          <cell r="AS74" t="str">
            <v>TT46</v>
          </cell>
          <cell r="AT74" t="str">
            <v>TOTAL BODY SHOP DEPT.</v>
          </cell>
          <cell r="AU74"/>
          <cell r="AV74"/>
          <cell r="AW74"/>
          <cell r="AX74"/>
          <cell r="AY74"/>
          <cell r="AZ74"/>
          <cell r="BA74"/>
          <cell r="BB74"/>
          <cell r="BC74"/>
          <cell r="BD74"/>
          <cell r="BE74"/>
          <cell r="BF74"/>
          <cell r="BG74"/>
          <cell r="BH74" t="str">
            <v xml:space="preserve">(Lines 63 to 69) </v>
          </cell>
          <cell r="BI74">
            <v>668</v>
          </cell>
          <cell r="BJ74"/>
          <cell r="BK74"/>
          <cell r="BL74" t="e">
            <v>#REF!</v>
          </cell>
          <cell r="BM74"/>
          <cell r="BN74"/>
          <cell r="BO74"/>
          <cell r="BP74"/>
          <cell r="BQ74">
            <v>682091</v>
          </cell>
          <cell r="BR74"/>
          <cell r="BS74"/>
          <cell r="BT74"/>
          <cell r="BU74"/>
          <cell r="BV74"/>
          <cell r="BW74"/>
          <cell r="BX74"/>
          <cell r="BY74" t="e">
            <v>#REF!</v>
          </cell>
          <cell r="BZ74"/>
          <cell r="CA74"/>
          <cell r="CB74"/>
          <cell r="CC74"/>
          <cell r="CD74">
            <v>346985</v>
          </cell>
          <cell r="CE74"/>
          <cell r="CF74"/>
          <cell r="CG74"/>
          <cell r="CH74"/>
          <cell r="CI74"/>
          <cell r="CJ74"/>
          <cell r="CK74"/>
          <cell r="CL74" t="e">
            <v>#REF!</v>
          </cell>
          <cell r="CM74"/>
          <cell r="CN74"/>
          <cell r="CO74"/>
          <cell r="CP74"/>
          <cell r="CQ74">
            <v>50.9</v>
          </cell>
          <cell r="CR74"/>
          <cell r="CS74"/>
          <cell r="CT74"/>
          <cell r="CU74"/>
          <cell r="CV74"/>
          <cell r="CW74"/>
          <cell r="CX74"/>
          <cell r="CY74" t="str">
            <v>70</v>
          </cell>
        </row>
        <row r="75">
          <cell r="B75" t="str">
            <v>71</v>
          </cell>
          <cell r="C75"/>
          <cell r="D75"/>
          <cell r="E75"/>
          <cell r="F75"/>
          <cell r="G75"/>
          <cell r="H75"/>
          <cell r="I75"/>
          <cell r="J75"/>
          <cell r="K75">
            <v>820565</v>
          </cell>
          <cell r="L75"/>
          <cell r="M75"/>
          <cell r="N75"/>
          <cell r="O75"/>
          <cell r="P75"/>
          <cell r="Q75"/>
          <cell r="R75"/>
          <cell r="S75"/>
          <cell r="T75"/>
          <cell r="U75"/>
          <cell r="V75"/>
          <cell r="W75"/>
          <cell r="X75">
            <v>306070</v>
          </cell>
          <cell r="Y75"/>
          <cell r="Z75"/>
          <cell r="AA75"/>
          <cell r="AB75"/>
          <cell r="AC75"/>
          <cell r="AD75"/>
          <cell r="AE75"/>
          <cell r="AF75"/>
          <cell r="AG75"/>
          <cell r="AH75"/>
          <cell r="AI75"/>
          <cell r="AJ75"/>
          <cell r="AK75">
            <v>37.299999999999997</v>
          </cell>
          <cell r="AL75"/>
          <cell r="AM75"/>
          <cell r="AN75"/>
          <cell r="AO75"/>
          <cell r="AP75"/>
          <cell r="AQ75"/>
          <cell r="AR75"/>
          <cell r="AS75"/>
          <cell r="AT75" t="str">
            <v>TOTAL SERVICE, PARTS &amp; B.S.</v>
          </cell>
          <cell r="AU75"/>
          <cell r="AV75"/>
          <cell r="AW75"/>
          <cell r="AX75"/>
          <cell r="AY75"/>
          <cell r="AZ75"/>
          <cell r="BA75"/>
          <cell r="BB75"/>
          <cell r="BC75"/>
          <cell r="BD75"/>
          <cell r="BE75"/>
          <cell r="BF75"/>
          <cell r="BG75"/>
          <cell r="BH75" t="str">
            <v xml:space="preserve">(Lines 17, 61 &amp; 70) </v>
          </cell>
          <cell r="BI75"/>
          <cell r="BJ75"/>
          <cell r="BK75"/>
          <cell r="BL75"/>
          <cell r="BM75"/>
          <cell r="BN75"/>
          <cell r="BO75"/>
          <cell r="BP75"/>
          <cell r="BQ75">
            <v>9391147</v>
          </cell>
          <cell r="BR75"/>
          <cell r="BS75"/>
          <cell r="BT75"/>
          <cell r="BU75"/>
          <cell r="BV75"/>
          <cell r="BW75"/>
          <cell r="BX75"/>
          <cell r="BY75" t="e">
            <v>#REF!</v>
          </cell>
          <cell r="BZ75"/>
          <cell r="CA75"/>
          <cell r="CB75"/>
          <cell r="CC75"/>
          <cell r="CD75">
            <v>3948701</v>
          </cell>
          <cell r="CE75"/>
          <cell r="CF75"/>
          <cell r="CG75"/>
          <cell r="CH75"/>
          <cell r="CI75"/>
          <cell r="CJ75"/>
          <cell r="CK75"/>
          <cell r="CL75" t="e">
            <v>#REF!</v>
          </cell>
          <cell r="CM75"/>
          <cell r="CN75"/>
          <cell r="CO75"/>
          <cell r="CP75"/>
          <cell r="CQ75">
            <v>42</v>
          </cell>
          <cell r="CR75"/>
          <cell r="CS75"/>
          <cell r="CT75"/>
          <cell r="CU75"/>
          <cell r="CV75"/>
          <cell r="CW75"/>
          <cell r="CX75"/>
          <cell r="CY75" t="str">
            <v>71</v>
          </cell>
        </row>
        <row r="76">
          <cell r="B76" t="str">
            <v>72</v>
          </cell>
          <cell r="C76" t="str">
            <v>EEEB</v>
          </cell>
          <cell r="D76"/>
          <cell r="E76"/>
          <cell r="F76"/>
          <cell r="G76"/>
          <cell r="H76"/>
          <cell r="I76"/>
          <cell r="J76"/>
          <cell r="K76">
            <v>7206938</v>
          </cell>
          <cell r="L76"/>
          <cell r="M76"/>
          <cell r="N76"/>
          <cell r="O76"/>
          <cell r="P76"/>
          <cell r="Q76"/>
          <cell r="R76"/>
          <cell r="S76"/>
          <cell r="T76"/>
          <cell r="U76"/>
          <cell r="V76"/>
          <cell r="W76"/>
          <cell r="X76">
            <v>471829</v>
          </cell>
          <cell r="Y76"/>
          <cell r="Z76"/>
          <cell r="AA76"/>
          <cell r="AB76"/>
          <cell r="AC76"/>
          <cell r="AD76"/>
          <cell r="AE76"/>
          <cell r="AF76"/>
          <cell r="AG76"/>
          <cell r="AH76"/>
          <cell r="AI76"/>
          <cell r="AJ76"/>
          <cell r="AK76">
            <v>6.5</v>
          </cell>
          <cell r="AL76"/>
          <cell r="AM76"/>
          <cell r="AN76"/>
          <cell r="AO76"/>
          <cell r="AP76"/>
          <cell r="AQ76"/>
          <cell r="AR76"/>
          <cell r="AS76" t="str">
            <v>EEEC</v>
          </cell>
          <cell r="AT76" t="str">
            <v>TOTAL ALL DEPTS.</v>
          </cell>
          <cell r="AU76"/>
          <cell r="AV76"/>
          <cell r="AW76"/>
          <cell r="AX76"/>
          <cell r="AY76"/>
          <cell r="AZ76"/>
          <cell r="BA76"/>
          <cell r="BB76"/>
          <cell r="BC76"/>
          <cell r="BD76"/>
          <cell r="BE76"/>
          <cell r="BF76"/>
          <cell r="BG76"/>
          <cell r="BH76" t="str">
            <v xml:space="preserve">(P5, Ln 63 &amp; P6, Ln 71) </v>
          </cell>
          <cell r="BI76"/>
          <cell r="BJ76"/>
          <cell r="BK76"/>
          <cell r="BL76"/>
          <cell r="BM76"/>
          <cell r="BN76"/>
          <cell r="BO76"/>
          <cell r="BP76"/>
          <cell r="BQ76">
            <v>73883052</v>
          </cell>
          <cell r="BR76"/>
          <cell r="BS76"/>
          <cell r="BT76"/>
          <cell r="BU76"/>
          <cell r="BV76"/>
          <cell r="BW76"/>
          <cell r="BX76"/>
          <cell r="BY76" t="e">
            <v>#REF!</v>
          </cell>
          <cell r="BZ76"/>
          <cell r="CA76"/>
          <cell r="CB76"/>
          <cell r="CC76"/>
          <cell r="CD76">
            <v>6819200</v>
          </cell>
          <cell r="CE76"/>
          <cell r="CF76"/>
          <cell r="CG76"/>
          <cell r="CH76"/>
          <cell r="CI76"/>
          <cell r="CJ76"/>
          <cell r="CK76"/>
          <cell r="CL76" t="e">
            <v>#REF!</v>
          </cell>
          <cell r="CM76"/>
          <cell r="CN76"/>
          <cell r="CO76"/>
          <cell r="CP76"/>
          <cell r="CQ76">
            <v>9.1999999999999993</v>
          </cell>
          <cell r="CR76"/>
          <cell r="CS76"/>
          <cell r="CT76"/>
          <cell r="CU76"/>
          <cell r="CV76"/>
          <cell r="CW76"/>
          <cell r="CX76"/>
          <cell r="CY76" t="str">
            <v>72</v>
          </cell>
        </row>
        <row r="77">
          <cell r="B77" t="str">
            <v>73</v>
          </cell>
          <cell r="C77"/>
          <cell r="D77"/>
          <cell r="E77"/>
          <cell r="F77"/>
          <cell r="G77"/>
          <cell r="H77"/>
          <cell r="I77"/>
          <cell r="J77"/>
          <cell r="K77" t="str">
            <v>Labor Rates</v>
          </cell>
          <cell r="L77"/>
          <cell r="M77"/>
          <cell r="N77"/>
          <cell r="O77"/>
          <cell r="P77"/>
          <cell r="Q77"/>
          <cell r="R77"/>
          <cell r="S77"/>
          <cell r="T77"/>
          <cell r="U77"/>
          <cell r="V77"/>
          <cell r="W77"/>
          <cell r="X77"/>
          <cell r="Y77"/>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cell r="BD77"/>
          <cell r="BE77"/>
          <cell r="BF77"/>
          <cell r="BG77"/>
          <cell r="BH77"/>
          <cell r="BI77" t="str">
            <v>Total Number of Service Bays</v>
          </cell>
          <cell r="BJ77"/>
          <cell r="BK77"/>
          <cell r="BL77"/>
          <cell r="BM77"/>
          <cell r="BN77"/>
          <cell r="BO77"/>
          <cell r="BP77"/>
          <cell r="BQ77"/>
          <cell r="BR77"/>
          <cell r="BS77"/>
          <cell r="BT77"/>
          <cell r="BU77"/>
          <cell r="BV77"/>
          <cell r="BW77"/>
          <cell r="BX77"/>
          <cell r="BY77"/>
          <cell r="BZ77"/>
          <cell r="CA77"/>
          <cell r="CB77"/>
          <cell r="CC77"/>
          <cell r="CD77"/>
          <cell r="CE77"/>
          <cell r="CF77" t="str">
            <v>890A</v>
          </cell>
          <cell r="CG77"/>
          <cell r="CH77"/>
          <cell r="CI77">
            <v>10</v>
          </cell>
          <cell r="CJ77"/>
          <cell r="CK77"/>
          <cell r="CL77"/>
          <cell r="CM77"/>
          <cell r="CN77"/>
          <cell r="CO77"/>
          <cell r="CP77"/>
          <cell r="CQ77"/>
          <cell r="CR77"/>
          <cell r="CS77"/>
          <cell r="CT77"/>
          <cell r="CU77"/>
          <cell r="CV77"/>
          <cell r="CW77"/>
          <cell r="CX77"/>
          <cell r="CY77" t="str">
            <v>73</v>
          </cell>
        </row>
        <row r="78">
          <cell r="B78" t="str">
            <v>74</v>
          </cell>
          <cell r="C78" t="str">
            <v>Nissan</v>
          </cell>
          <cell r="D78"/>
          <cell r="E78"/>
          <cell r="F78"/>
          <cell r="G78"/>
          <cell r="H78"/>
          <cell r="I78"/>
          <cell r="J78"/>
          <cell r="K78" t="str">
            <v>Customer</v>
          </cell>
          <cell r="L78"/>
          <cell r="M78"/>
          <cell r="N78" t="str">
            <v>875A</v>
          </cell>
          <cell r="O78"/>
          <cell r="P78">
            <v>127.95</v>
          </cell>
          <cell r="Q78"/>
          <cell r="R78"/>
          <cell r="S78"/>
          <cell r="T78"/>
          <cell r="U78"/>
          <cell r="V78"/>
          <cell r="W78"/>
          <cell r="X78" t="str">
            <v>Warranty</v>
          </cell>
          <cell r="Y78"/>
          <cell r="Z78"/>
          <cell r="AA78"/>
          <cell r="AB78" t="str">
            <v>877A</v>
          </cell>
          <cell r="AC78"/>
          <cell r="AD78">
            <v>108</v>
          </cell>
          <cell r="AE78"/>
          <cell r="AF78"/>
          <cell r="AG78"/>
          <cell r="AH78"/>
          <cell r="AI78"/>
          <cell r="AJ78"/>
          <cell r="AK78"/>
          <cell r="AL78"/>
          <cell r="AM78" t="str">
            <v>Internal</v>
          </cell>
          <cell r="AN78"/>
          <cell r="AO78"/>
          <cell r="AP78"/>
          <cell r="AQ78"/>
          <cell r="AR78"/>
          <cell r="AS78"/>
          <cell r="AT78"/>
          <cell r="AU78" t="str">
            <v>878A</v>
          </cell>
          <cell r="AV78"/>
          <cell r="AW78">
            <v>119.95</v>
          </cell>
          <cell r="AX78"/>
          <cell r="AY78"/>
          <cell r="AZ78"/>
          <cell r="BA78" t="str">
            <v>Body Shop</v>
          </cell>
          <cell r="BB78"/>
          <cell r="BC78"/>
          <cell r="BD78"/>
          <cell r="BE78"/>
          <cell r="BF78" t="str">
            <v>876A</v>
          </cell>
          <cell r="BG78">
            <v>44</v>
          </cell>
          <cell r="BH78"/>
          <cell r="BI78" t="str">
            <v>Number of NCV Svc Bays (memo)</v>
          </cell>
          <cell r="BJ78"/>
          <cell r="BK78"/>
          <cell r="BL78"/>
          <cell r="BM78"/>
          <cell r="BN78"/>
          <cell r="BO78"/>
          <cell r="BP78"/>
          <cell r="BQ78"/>
          <cell r="BR78"/>
          <cell r="BS78"/>
          <cell r="BT78"/>
          <cell r="BU78"/>
          <cell r="BV78"/>
          <cell r="BW78"/>
          <cell r="BX78"/>
          <cell r="BY78"/>
          <cell r="BZ78"/>
          <cell r="CA78"/>
          <cell r="CB78"/>
          <cell r="CC78"/>
          <cell r="CD78"/>
          <cell r="CE78"/>
          <cell r="CF78" t="str">
            <v>899A</v>
          </cell>
          <cell r="CG78"/>
          <cell r="CH78"/>
          <cell r="CI78">
            <v>5</v>
          </cell>
          <cell r="CJ78"/>
          <cell r="CK78"/>
          <cell r="CL78"/>
          <cell r="CM78"/>
          <cell r="CN78"/>
          <cell r="CO78"/>
          <cell r="CP78"/>
          <cell r="CQ78"/>
          <cell r="CR78"/>
          <cell r="CS78"/>
          <cell r="CY78" t="str">
            <v>74</v>
          </cell>
        </row>
        <row r="79">
          <cell r="B79" t="str">
            <v>75</v>
          </cell>
          <cell r="C79" t="str">
            <v>Other Makes</v>
          </cell>
          <cell r="D79"/>
          <cell r="E79"/>
          <cell r="F79"/>
          <cell r="G79"/>
          <cell r="H79"/>
          <cell r="I79"/>
          <cell r="J79"/>
          <cell r="K79" t="str">
            <v>Customer</v>
          </cell>
          <cell r="L79"/>
          <cell r="M79"/>
          <cell r="N79" t="str">
            <v>875B</v>
          </cell>
          <cell r="O79"/>
          <cell r="P79">
            <v>127.95</v>
          </cell>
          <cell r="Q79"/>
          <cell r="R79"/>
          <cell r="S79"/>
          <cell r="T79"/>
          <cell r="U79"/>
          <cell r="V79"/>
          <cell r="W79"/>
          <cell r="X79" t="str">
            <v>Warranty</v>
          </cell>
          <cell r="Y79"/>
          <cell r="Z79"/>
          <cell r="AA79"/>
          <cell r="AB79" t="str">
            <v>877B</v>
          </cell>
          <cell r="AC79"/>
          <cell r="AD79">
            <v>0</v>
          </cell>
          <cell r="AE79"/>
          <cell r="AF79"/>
          <cell r="AG79"/>
          <cell r="AH79"/>
          <cell r="AI79"/>
          <cell r="AJ79"/>
          <cell r="AK79"/>
          <cell r="AL79"/>
          <cell r="AM79" t="str">
            <v>Internal</v>
          </cell>
          <cell r="AN79"/>
          <cell r="AO79"/>
          <cell r="AP79"/>
          <cell r="AQ79"/>
          <cell r="AR79"/>
          <cell r="AS79"/>
          <cell r="AT79"/>
          <cell r="AU79" t="str">
            <v>878B</v>
          </cell>
          <cell r="AV79"/>
          <cell r="AW79">
            <v>119.95</v>
          </cell>
          <cell r="AX79"/>
          <cell r="AY79"/>
          <cell r="AZ79"/>
          <cell r="BA79" t="str">
            <v>Body Shop</v>
          </cell>
          <cell r="BB79"/>
          <cell r="BC79"/>
          <cell r="BD79"/>
          <cell r="BE79"/>
          <cell r="BF79" t="str">
            <v>876B</v>
          </cell>
          <cell r="BG79">
            <v>44</v>
          </cell>
          <cell r="BH79"/>
          <cell r="BI79" t="str">
            <v>Num. of ES Svc. Bays</v>
          </cell>
          <cell r="BJ79"/>
          <cell r="BK79"/>
          <cell r="BL79"/>
          <cell r="BM79"/>
          <cell r="BN79"/>
          <cell r="BO79"/>
          <cell r="BP79"/>
          <cell r="BQ79"/>
          <cell r="BR79"/>
          <cell r="BS79"/>
          <cell r="BT79"/>
          <cell r="BU79"/>
          <cell r="BV79"/>
          <cell r="BW79"/>
          <cell r="BX79"/>
          <cell r="BY79"/>
          <cell r="BZ79"/>
          <cell r="CA79"/>
          <cell r="CB79"/>
          <cell r="CC79"/>
          <cell r="CD79"/>
          <cell r="CE79"/>
          <cell r="CF79" t="str">
            <v>891A</v>
          </cell>
          <cell r="CG79"/>
          <cell r="CH79"/>
          <cell r="CI79">
            <v>3</v>
          </cell>
          <cell r="CJ79"/>
          <cell r="CK79"/>
          <cell r="CL79"/>
          <cell r="CM79"/>
          <cell r="CN79"/>
          <cell r="CO79"/>
          <cell r="CP79"/>
          <cell r="CQ79"/>
          <cell r="CR79"/>
          <cell r="CS79"/>
          <cell r="CY79" t="str">
            <v>75</v>
          </cell>
        </row>
      </sheetData>
      <sheetData sheetId="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Page 3"/>
      <sheetName val="Page 4"/>
      <sheetName val="Page 5"/>
      <sheetName val="Page6"/>
      <sheetName val="FS Data"/>
    </sheetNames>
    <sheetDataSet>
      <sheetData sheetId="0" refreshError="1"/>
      <sheetData sheetId="1" refreshError="1">
        <row r="1">
          <cell r="L1"/>
        </row>
        <row r="2">
          <cell r="L2"/>
        </row>
        <row r="3">
          <cell r="B3"/>
          <cell r="C3"/>
          <cell r="D3"/>
          <cell r="E3"/>
          <cell r="F3" t="str">
            <v>DEPARTMENTAL INCOME AND EXPENSE</v>
          </cell>
          <cell r="G3"/>
          <cell r="H3"/>
          <cell r="I3"/>
          <cell r="J3"/>
          <cell r="K3"/>
          <cell r="L3"/>
          <cell r="M3"/>
          <cell r="N3"/>
          <cell r="O3"/>
          <cell r="P3"/>
          <cell r="Q3"/>
          <cell r="R3"/>
          <cell r="S3"/>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cell r="AZ3"/>
          <cell r="BA3"/>
          <cell r="BB3"/>
          <cell r="BC3"/>
          <cell r="BD3"/>
          <cell r="BE3"/>
          <cell r="BF3"/>
          <cell r="BG3"/>
          <cell r="BH3"/>
          <cell r="BI3"/>
          <cell r="BJ3"/>
          <cell r="BK3"/>
          <cell r="BL3"/>
          <cell r="BM3"/>
          <cell r="BN3"/>
          <cell r="BO3"/>
          <cell r="BP3"/>
          <cell r="BQ3"/>
          <cell r="BR3"/>
          <cell r="BS3"/>
          <cell r="BT3"/>
          <cell r="BU3"/>
          <cell r="BV3"/>
          <cell r="BW3"/>
          <cell r="BX3"/>
          <cell r="BY3"/>
          <cell r="BZ3"/>
          <cell r="CA3"/>
          <cell r="CB3"/>
          <cell r="CC3"/>
          <cell r="CD3"/>
          <cell r="CE3"/>
          <cell r="CF3"/>
          <cell r="CG3"/>
          <cell r="CH3"/>
          <cell r="CI3"/>
          <cell r="CJ3"/>
          <cell r="CK3"/>
          <cell r="CL3"/>
          <cell r="CM3"/>
          <cell r="CN3"/>
          <cell r="CO3"/>
          <cell r="CP3"/>
          <cell r="CQ3"/>
          <cell r="CR3"/>
          <cell r="CS3"/>
          <cell r="CT3"/>
          <cell r="CU3"/>
          <cell r="CV3"/>
          <cell r="CW3"/>
          <cell r="CX3"/>
          <cell r="CY3"/>
          <cell r="CZ3"/>
          <cell r="DA3"/>
          <cell r="DB3"/>
          <cell r="DC3"/>
          <cell r="DD3"/>
          <cell r="DE3"/>
          <cell r="DF3"/>
          <cell r="DG3"/>
          <cell r="DH3"/>
          <cell r="DI3"/>
          <cell r="DJ3"/>
          <cell r="DK3"/>
          <cell r="DL3"/>
          <cell r="DM3"/>
          <cell r="DN3"/>
          <cell r="DO3"/>
          <cell r="DP3"/>
        </row>
        <row r="4">
          <cell r="B4" t="str">
            <v>PAGE 2</v>
          </cell>
          <cell r="C4"/>
          <cell r="D4"/>
          <cell r="E4"/>
          <cell r="F4"/>
          <cell r="G4"/>
          <cell r="H4"/>
          <cell r="I4"/>
          <cell r="J4"/>
          <cell r="K4" t="str">
            <v>(Month, Year)</v>
          </cell>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cell r="BF4"/>
          <cell r="BG4"/>
          <cell r="BH4"/>
          <cell r="BI4"/>
          <cell r="BJ4"/>
          <cell r="BK4"/>
          <cell r="BL4"/>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cell r="CV4"/>
          <cell r="CW4"/>
          <cell r="CX4"/>
          <cell r="CY4"/>
          <cell r="CZ4"/>
          <cell r="DA4"/>
          <cell r="DB4"/>
          <cell r="DC4"/>
          <cell r="DD4"/>
          <cell r="DE4"/>
          <cell r="DF4"/>
          <cell r="DG4"/>
          <cell r="DH4"/>
          <cell r="DI4"/>
          <cell r="DJ4"/>
          <cell r="DK4"/>
          <cell r="DL4"/>
          <cell r="DM4"/>
          <cell r="DN4"/>
          <cell r="DO4"/>
          <cell r="DP4"/>
        </row>
        <row r="5">
          <cell r="B5" t="str">
            <v>LINE</v>
          </cell>
          <cell r="C5"/>
          <cell r="D5" t="str">
            <v>NAME OF ACCOUNT</v>
          </cell>
          <cell r="E5"/>
          <cell r="F5"/>
          <cell r="G5"/>
          <cell r="H5"/>
          <cell r="I5"/>
          <cell r="J5"/>
          <cell r="K5"/>
          <cell r="L5"/>
          <cell r="M5" t="str">
            <v>ACCT</v>
          </cell>
          <cell r="N5" t="str">
            <v>TOTAL INCOME &amp; EXPENSE</v>
          </cell>
          <cell r="O5"/>
          <cell r="P5"/>
          <cell r="Q5"/>
          <cell r="R5"/>
          <cell r="S5"/>
          <cell r="T5"/>
          <cell r="U5"/>
          <cell r="V5"/>
          <cell r="W5"/>
          <cell r="X5"/>
          <cell r="Y5"/>
          <cell r="Z5"/>
          <cell r="AA5"/>
          <cell r="AB5"/>
          <cell r="AC5"/>
          <cell r="AD5"/>
          <cell r="AE5"/>
          <cell r="AF5"/>
          <cell r="AG5"/>
          <cell r="AH5"/>
          <cell r="AI5"/>
          <cell r="AJ5"/>
          <cell r="AK5"/>
          <cell r="AL5"/>
          <cell r="AM5"/>
          <cell r="AN5"/>
          <cell r="AO5"/>
          <cell r="AP5"/>
          <cell r="AQ5" t="str">
            <v>A - NEW VEHICLE DEPT.</v>
          </cell>
          <cell r="AR5"/>
          <cell r="AS5"/>
          <cell r="AT5"/>
          <cell r="AU5"/>
          <cell r="AV5"/>
          <cell r="AW5"/>
          <cell r="AX5"/>
          <cell r="AY5"/>
          <cell r="AZ5"/>
          <cell r="BA5"/>
          <cell r="BB5"/>
          <cell r="BC5"/>
          <cell r="BD5"/>
          <cell r="BE5"/>
          <cell r="BF5"/>
          <cell r="BG5"/>
          <cell r="BH5"/>
          <cell r="BI5"/>
          <cell r="BJ5"/>
          <cell r="BK5"/>
          <cell r="BL5"/>
          <cell r="BM5"/>
          <cell r="BN5"/>
          <cell r="BO5"/>
          <cell r="BP5"/>
          <cell r="BQ5"/>
          <cell r="BR5"/>
          <cell r="BS5"/>
          <cell r="BT5"/>
          <cell r="BU5"/>
          <cell r="BV5"/>
          <cell r="BW5" t="str">
            <v>B - USED VEHICLE DEPT</v>
          </cell>
          <cell r="BX5"/>
          <cell r="BY5"/>
          <cell r="BZ5"/>
          <cell r="CA5"/>
          <cell r="CB5"/>
          <cell r="CC5"/>
          <cell r="CD5"/>
          <cell r="CE5"/>
          <cell r="CF5"/>
          <cell r="CG5"/>
          <cell r="CH5"/>
          <cell r="CI5"/>
          <cell r="CJ5"/>
          <cell r="CK5"/>
          <cell r="CL5"/>
          <cell r="CM5"/>
          <cell r="CN5"/>
          <cell r="CO5"/>
          <cell r="CP5"/>
          <cell r="CQ5"/>
          <cell r="CR5"/>
          <cell r="CS5"/>
          <cell r="CT5"/>
          <cell r="CU5"/>
          <cell r="CV5"/>
          <cell r="CW5"/>
          <cell r="CX5"/>
          <cell r="CY5"/>
          <cell r="CZ5"/>
          <cell r="DA5"/>
          <cell r="DB5"/>
          <cell r="DC5"/>
          <cell r="DD5"/>
          <cell r="DE5"/>
          <cell r="DF5"/>
          <cell r="DG5"/>
          <cell r="DH5"/>
          <cell r="DI5"/>
          <cell r="DJ5"/>
          <cell r="DK5"/>
          <cell r="DL5"/>
          <cell r="DM5"/>
          <cell r="DN5"/>
          <cell r="DO5" t="str">
            <v>LINE</v>
          </cell>
          <cell r="DP5"/>
        </row>
        <row r="6">
          <cell r="B6" t="str">
            <v>NO</v>
          </cell>
          <cell r="C6"/>
          <cell r="D6"/>
          <cell r="E6"/>
          <cell r="F6"/>
          <cell r="G6"/>
          <cell r="H6"/>
          <cell r="I6"/>
          <cell r="J6"/>
          <cell r="K6"/>
          <cell r="L6"/>
          <cell r="M6" t="str">
            <v>NO</v>
          </cell>
          <cell r="N6" t="str">
            <v>MONTH</v>
          </cell>
          <cell r="O6"/>
          <cell r="P6"/>
          <cell r="Q6"/>
          <cell r="R6"/>
          <cell r="S6"/>
          <cell r="T6"/>
          <cell r="U6"/>
          <cell r="V6"/>
          <cell r="W6"/>
          <cell r="X6"/>
          <cell r="Y6" t="str">
            <v>YEAR TO DATE</v>
          </cell>
          <cell r="Z6"/>
          <cell r="AA6"/>
          <cell r="AB6"/>
          <cell r="AC6"/>
          <cell r="AD6"/>
          <cell r="AE6"/>
          <cell r="AF6"/>
          <cell r="AG6"/>
          <cell r="AH6"/>
          <cell r="AI6"/>
          <cell r="AJ6" t="str">
            <v>% GP</v>
          </cell>
          <cell r="AK6"/>
          <cell r="AL6"/>
          <cell r="AM6"/>
          <cell r="AN6"/>
          <cell r="AO6"/>
          <cell r="AP6"/>
          <cell r="AQ6" t="str">
            <v>MONTH</v>
          </cell>
          <cell r="AR6"/>
          <cell r="AS6"/>
          <cell r="AT6"/>
          <cell r="AU6"/>
          <cell r="AV6"/>
          <cell r="AW6"/>
          <cell r="AX6"/>
          <cell r="AY6"/>
          <cell r="AZ6"/>
          <cell r="BA6"/>
          <cell r="BB6"/>
          <cell r="BC6"/>
          <cell r="BD6"/>
          <cell r="BE6"/>
          <cell r="BF6"/>
          <cell r="BG6" t="str">
            <v>YEAR TO DATE</v>
          </cell>
          <cell r="BH6"/>
          <cell r="BI6"/>
          <cell r="BJ6"/>
          <cell r="BK6"/>
          <cell r="BL6"/>
          <cell r="BM6"/>
          <cell r="BN6"/>
          <cell r="BO6"/>
          <cell r="BP6"/>
          <cell r="BQ6"/>
          <cell r="BR6"/>
          <cell r="BS6"/>
          <cell r="BT6"/>
          <cell r="BU6"/>
          <cell r="BV6"/>
          <cell r="BW6" t="str">
            <v>MONTH</v>
          </cell>
          <cell r="BX6"/>
          <cell r="BY6"/>
          <cell r="BZ6"/>
          <cell r="CA6"/>
          <cell r="CB6"/>
          <cell r="CC6"/>
          <cell r="CD6"/>
          <cell r="CE6"/>
          <cell r="CF6"/>
          <cell r="CG6"/>
          <cell r="CH6"/>
          <cell r="CI6"/>
          <cell r="CJ6"/>
          <cell r="CK6"/>
          <cell r="CL6"/>
          <cell r="CM6"/>
          <cell r="CN6"/>
          <cell r="CO6"/>
          <cell r="CP6"/>
          <cell r="CQ6"/>
          <cell r="CR6" t="str">
            <v>YEAR TO DATE</v>
          </cell>
          <cell r="CS6"/>
          <cell r="CT6"/>
          <cell r="CU6"/>
          <cell r="CV6"/>
          <cell r="CW6"/>
          <cell r="CX6"/>
          <cell r="CY6"/>
          <cell r="CZ6"/>
          <cell r="DA6"/>
          <cell r="DB6"/>
          <cell r="DC6"/>
          <cell r="DD6"/>
          <cell r="DE6"/>
          <cell r="DF6"/>
          <cell r="DG6"/>
          <cell r="DH6"/>
          <cell r="DI6"/>
          <cell r="DJ6"/>
          <cell r="DK6"/>
          <cell r="DL6"/>
          <cell r="DM6"/>
          <cell r="DN6"/>
          <cell r="DO6" t="str">
            <v>NO</v>
          </cell>
          <cell r="DP6"/>
        </row>
        <row r="7">
          <cell r="B7" t="str">
            <v>1</v>
          </cell>
          <cell r="C7"/>
          <cell r="D7" t="str">
            <v>TOTAL SALES</v>
          </cell>
          <cell r="E7"/>
          <cell r="F7"/>
          <cell r="G7"/>
          <cell r="H7"/>
          <cell r="I7"/>
          <cell r="J7"/>
          <cell r="K7"/>
          <cell r="L7" t="str">
            <v xml:space="preserve">(From Pages 4 &amp; 5) </v>
          </cell>
          <cell r="M7"/>
          <cell r="N7">
            <v>9840134</v>
          </cell>
          <cell r="O7"/>
          <cell r="P7"/>
          <cell r="Q7"/>
          <cell r="R7"/>
          <cell r="S7"/>
          <cell r="T7" t="e">
            <v>#REF!</v>
          </cell>
          <cell r="U7"/>
          <cell r="V7"/>
          <cell r="W7"/>
          <cell r="X7"/>
          <cell r="Y7">
            <v>94308023</v>
          </cell>
          <cell r="Z7"/>
          <cell r="AA7"/>
          <cell r="AB7"/>
          <cell r="AC7"/>
          <cell r="AD7"/>
          <cell r="AE7" t="e">
            <v>#REF!</v>
          </cell>
          <cell r="AF7"/>
          <cell r="AG7"/>
          <cell r="AH7"/>
          <cell r="AI7"/>
          <cell r="AJ7" t="str">
            <v xml:space="preserve">  </v>
          </cell>
          <cell r="AK7"/>
          <cell r="AL7" t="e">
            <v>#REF!</v>
          </cell>
          <cell r="AM7"/>
          <cell r="AN7"/>
          <cell r="AO7"/>
          <cell r="AP7"/>
          <cell r="AQ7">
            <v>6555319</v>
          </cell>
          <cell r="AR7"/>
          <cell r="AS7"/>
          <cell r="AT7"/>
          <cell r="AU7"/>
          <cell r="AV7"/>
          <cell r="AW7"/>
          <cell r="AX7"/>
          <cell r="AY7"/>
          <cell r="AZ7"/>
          <cell r="BA7"/>
          <cell r="BB7" t="e">
            <v>#REF!</v>
          </cell>
          <cell r="BC7"/>
          <cell r="BD7"/>
          <cell r="BE7"/>
          <cell r="BF7"/>
          <cell r="BG7">
            <v>54000484</v>
          </cell>
          <cell r="BH7"/>
          <cell r="BI7"/>
          <cell r="BJ7"/>
          <cell r="BK7"/>
          <cell r="BL7"/>
          <cell r="BM7"/>
          <cell r="BN7"/>
          <cell r="BO7"/>
          <cell r="BP7"/>
          <cell r="BQ7"/>
          <cell r="BR7" t="e">
            <v>#REF!</v>
          </cell>
          <cell r="BS7"/>
          <cell r="BT7"/>
          <cell r="BU7"/>
          <cell r="BV7"/>
          <cell r="BW7">
            <v>2619444</v>
          </cell>
          <cell r="BX7"/>
          <cell r="BY7"/>
          <cell r="BZ7"/>
          <cell r="CA7"/>
          <cell r="CB7"/>
          <cell r="CC7"/>
          <cell r="CD7"/>
          <cell r="CE7"/>
          <cell r="CF7"/>
          <cell r="CG7"/>
          <cell r="CH7"/>
          <cell r="CI7"/>
          <cell r="CJ7"/>
          <cell r="CK7"/>
          <cell r="CL7"/>
          <cell r="CM7" t="e">
            <v>#REF!</v>
          </cell>
          <cell r="CN7"/>
          <cell r="CO7"/>
          <cell r="CP7"/>
          <cell r="CQ7"/>
          <cell r="CR7">
            <v>32128751</v>
          </cell>
          <cell r="CS7"/>
          <cell r="CT7"/>
          <cell r="CU7"/>
          <cell r="CV7"/>
          <cell r="CW7"/>
          <cell r="CX7"/>
          <cell r="CY7"/>
          <cell r="CZ7"/>
          <cell r="DA7"/>
          <cell r="DB7"/>
          <cell r="DC7"/>
          <cell r="DD7"/>
          <cell r="DE7"/>
          <cell r="DF7"/>
          <cell r="DG7"/>
          <cell r="DH7"/>
          <cell r="DI7"/>
          <cell r="DJ7" t="e">
            <v>#REF!</v>
          </cell>
          <cell r="DK7"/>
          <cell r="DL7"/>
          <cell r="DM7"/>
          <cell r="DN7"/>
          <cell r="DO7" t="str">
            <v>1</v>
          </cell>
          <cell r="DP7"/>
        </row>
        <row r="8">
          <cell r="B8" t="str">
            <v>2</v>
          </cell>
          <cell r="C8"/>
          <cell r="D8" t="str">
            <v>TOTAL GROSS PROFIT</v>
          </cell>
          <cell r="E8"/>
          <cell r="F8"/>
          <cell r="G8"/>
          <cell r="H8"/>
          <cell r="I8"/>
          <cell r="J8"/>
          <cell r="K8"/>
          <cell r="L8" t="str">
            <v xml:space="preserve">(From Pages 4 &amp; 5) </v>
          </cell>
          <cell r="M8"/>
          <cell r="N8">
            <v>584864</v>
          </cell>
          <cell r="O8"/>
          <cell r="P8"/>
          <cell r="Q8"/>
          <cell r="R8"/>
          <cell r="S8"/>
          <cell r="T8" t="e">
            <v>#REF!</v>
          </cell>
          <cell r="U8"/>
          <cell r="V8"/>
          <cell r="W8"/>
          <cell r="X8"/>
          <cell r="Y8">
            <v>7809875</v>
          </cell>
          <cell r="Z8"/>
          <cell r="AA8"/>
          <cell r="AB8"/>
          <cell r="AC8"/>
          <cell r="AD8"/>
          <cell r="AE8" t="e">
            <v>#REF!</v>
          </cell>
          <cell r="AF8"/>
          <cell r="AG8"/>
          <cell r="AH8"/>
          <cell r="AI8"/>
          <cell r="AJ8" t="str">
            <v xml:space="preserve"> </v>
          </cell>
          <cell r="AK8"/>
          <cell r="AL8" t="e">
            <v>#REF!</v>
          </cell>
          <cell r="AM8"/>
          <cell r="AN8"/>
          <cell r="AO8"/>
          <cell r="AP8"/>
          <cell r="AQ8">
            <v>87732</v>
          </cell>
          <cell r="AR8"/>
          <cell r="AS8"/>
          <cell r="AT8"/>
          <cell r="AU8"/>
          <cell r="AV8"/>
          <cell r="AW8"/>
          <cell r="AX8"/>
          <cell r="AY8"/>
          <cell r="AZ8"/>
          <cell r="BA8"/>
          <cell r="BB8" t="e">
            <v>#REF!</v>
          </cell>
          <cell r="BC8"/>
          <cell r="BD8"/>
          <cell r="BE8"/>
          <cell r="BF8"/>
          <cell r="BG8">
            <v>1115578</v>
          </cell>
          <cell r="BH8"/>
          <cell r="BI8"/>
          <cell r="BJ8"/>
          <cell r="BK8"/>
          <cell r="BL8"/>
          <cell r="BM8"/>
          <cell r="BN8"/>
          <cell r="BO8"/>
          <cell r="BP8"/>
          <cell r="BQ8"/>
          <cell r="BR8" t="e">
            <v>#REF!</v>
          </cell>
          <cell r="BS8"/>
          <cell r="BT8"/>
          <cell r="BU8"/>
          <cell r="BV8"/>
          <cell r="BW8">
            <v>205598</v>
          </cell>
          <cell r="BX8"/>
          <cell r="BY8"/>
          <cell r="BZ8"/>
          <cell r="CA8"/>
          <cell r="CB8"/>
          <cell r="CC8"/>
          <cell r="CD8"/>
          <cell r="CE8"/>
          <cell r="CF8"/>
          <cell r="CG8"/>
          <cell r="CH8"/>
          <cell r="CI8"/>
          <cell r="CJ8"/>
          <cell r="CK8"/>
          <cell r="CL8"/>
          <cell r="CM8" t="e">
            <v>#REF!</v>
          </cell>
          <cell r="CN8"/>
          <cell r="CO8"/>
          <cell r="CP8"/>
          <cell r="CQ8"/>
          <cell r="CR8">
            <v>2709163</v>
          </cell>
          <cell r="CS8"/>
          <cell r="CT8"/>
          <cell r="CU8"/>
          <cell r="CV8"/>
          <cell r="CW8"/>
          <cell r="CX8"/>
          <cell r="CY8"/>
          <cell r="CZ8"/>
          <cell r="DA8"/>
          <cell r="DB8"/>
          <cell r="DC8"/>
          <cell r="DD8"/>
          <cell r="DE8"/>
          <cell r="DF8"/>
          <cell r="DG8"/>
          <cell r="DH8"/>
          <cell r="DI8"/>
          <cell r="DJ8" t="e">
            <v>#REF!</v>
          </cell>
          <cell r="DK8"/>
          <cell r="DL8"/>
          <cell r="DM8"/>
          <cell r="DN8"/>
          <cell r="DO8" t="str">
            <v>2</v>
          </cell>
          <cell r="DP8"/>
        </row>
        <row r="9">
          <cell r="B9" t="str">
            <v>3</v>
          </cell>
          <cell r="C9"/>
          <cell r="D9" t="str">
            <v>Commissions &amp; Incentives</v>
          </cell>
          <cell r="E9"/>
          <cell r="F9"/>
          <cell r="G9"/>
          <cell r="H9"/>
          <cell r="I9"/>
          <cell r="J9"/>
          <cell r="K9"/>
          <cell r="L9"/>
          <cell r="M9" t="str">
            <v>0100</v>
          </cell>
          <cell r="N9">
            <v>189504</v>
          </cell>
          <cell r="O9"/>
          <cell r="P9"/>
          <cell r="Q9"/>
          <cell r="R9"/>
          <cell r="S9"/>
          <cell r="T9" t="e">
            <v>#REF!</v>
          </cell>
          <cell r="U9"/>
          <cell r="V9"/>
          <cell r="W9"/>
          <cell r="X9"/>
          <cell r="Y9">
            <v>1810531</v>
          </cell>
          <cell r="Z9"/>
          <cell r="AA9"/>
          <cell r="AB9"/>
          <cell r="AC9"/>
          <cell r="AD9"/>
          <cell r="AE9" t="e">
            <v>#REF!</v>
          </cell>
          <cell r="AF9"/>
          <cell r="AG9"/>
          <cell r="AH9"/>
          <cell r="AI9"/>
          <cell r="AJ9">
            <v>2.2999999999999998</v>
          </cell>
          <cell r="AK9"/>
          <cell r="AL9" t="e">
            <v>#REF!</v>
          </cell>
          <cell r="AM9"/>
          <cell r="AN9"/>
          <cell r="AO9"/>
          <cell r="AP9"/>
          <cell r="AQ9">
            <v>76296</v>
          </cell>
          <cell r="AR9"/>
          <cell r="AS9"/>
          <cell r="AT9"/>
          <cell r="AU9"/>
          <cell r="AV9"/>
          <cell r="AW9"/>
          <cell r="AX9"/>
          <cell r="AY9"/>
          <cell r="AZ9"/>
          <cell r="BA9"/>
          <cell r="BB9" t="e">
            <v>#REF!</v>
          </cell>
          <cell r="BC9"/>
          <cell r="BD9"/>
          <cell r="BE9"/>
          <cell r="BF9"/>
          <cell r="BG9">
            <v>627917</v>
          </cell>
          <cell r="BH9"/>
          <cell r="BI9"/>
          <cell r="BJ9"/>
          <cell r="BK9"/>
          <cell r="BL9"/>
          <cell r="BM9"/>
          <cell r="BN9"/>
          <cell r="BO9"/>
          <cell r="BP9"/>
          <cell r="BQ9"/>
          <cell r="BR9" t="e">
            <v>#REF!</v>
          </cell>
          <cell r="BS9"/>
          <cell r="BT9"/>
          <cell r="BU9"/>
          <cell r="BV9"/>
          <cell r="BW9">
            <v>58217</v>
          </cell>
          <cell r="BX9"/>
          <cell r="BY9"/>
          <cell r="BZ9"/>
          <cell r="CA9"/>
          <cell r="CB9"/>
          <cell r="CC9"/>
          <cell r="CD9"/>
          <cell r="CE9"/>
          <cell r="CF9"/>
          <cell r="CG9"/>
          <cell r="CH9"/>
          <cell r="CI9"/>
          <cell r="CJ9"/>
          <cell r="CK9"/>
          <cell r="CL9"/>
          <cell r="CM9" t="e">
            <v>#REF!</v>
          </cell>
          <cell r="CN9"/>
          <cell r="CO9"/>
          <cell r="CP9"/>
          <cell r="CQ9"/>
          <cell r="CR9">
            <v>658405</v>
          </cell>
          <cell r="CS9"/>
          <cell r="CT9"/>
          <cell r="CU9"/>
          <cell r="CV9"/>
          <cell r="CW9"/>
          <cell r="CX9"/>
          <cell r="CY9"/>
          <cell r="CZ9"/>
          <cell r="DA9"/>
          <cell r="DB9"/>
          <cell r="DC9"/>
          <cell r="DD9"/>
          <cell r="DE9"/>
          <cell r="DF9"/>
          <cell r="DG9"/>
          <cell r="DH9"/>
          <cell r="DI9"/>
          <cell r="DJ9" t="e">
            <v>#REF!</v>
          </cell>
          <cell r="DK9"/>
          <cell r="DL9"/>
          <cell r="DM9"/>
          <cell r="DN9"/>
          <cell r="DO9" t="str">
            <v>3</v>
          </cell>
          <cell r="DP9"/>
        </row>
        <row r="10">
          <cell r="B10" t="str">
            <v>4</v>
          </cell>
          <cell r="C10"/>
          <cell r="D10" t="str">
            <v>Salaries - Salespeople</v>
          </cell>
          <cell r="E10"/>
          <cell r="F10"/>
          <cell r="G10"/>
          <cell r="H10"/>
          <cell r="I10"/>
          <cell r="J10"/>
          <cell r="K10"/>
          <cell r="L10"/>
          <cell r="M10" t="str">
            <v>0280</v>
          </cell>
          <cell r="N10">
            <v>0</v>
          </cell>
          <cell r="O10"/>
          <cell r="P10"/>
          <cell r="Q10"/>
          <cell r="R10"/>
          <cell r="S10"/>
          <cell r="T10" t="e">
            <v>#REF!</v>
          </cell>
          <cell r="U10"/>
          <cell r="V10"/>
          <cell r="W10"/>
          <cell r="X10"/>
          <cell r="Y10">
            <v>0</v>
          </cell>
          <cell r="Z10"/>
          <cell r="AA10"/>
          <cell r="AB10"/>
          <cell r="AC10"/>
          <cell r="AD10"/>
          <cell r="AE10" t="e">
            <v>#REF!</v>
          </cell>
          <cell r="AF10"/>
          <cell r="AG10"/>
          <cell r="AH10"/>
          <cell r="AI10"/>
          <cell r="AJ10">
            <v>0</v>
          </cell>
          <cell r="AK10"/>
          <cell r="AL10" t="e">
            <v>#REF!</v>
          </cell>
          <cell r="AM10"/>
          <cell r="AN10"/>
          <cell r="AO10"/>
          <cell r="AP10"/>
          <cell r="AQ10">
            <v>0</v>
          </cell>
          <cell r="AR10"/>
          <cell r="AS10"/>
          <cell r="AT10"/>
          <cell r="AU10"/>
          <cell r="AV10"/>
          <cell r="AW10"/>
          <cell r="AX10"/>
          <cell r="AY10"/>
          <cell r="AZ10"/>
          <cell r="BA10"/>
          <cell r="BB10" t="e">
            <v>#REF!</v>
          </cell>
          <cell r="BC10"/>
          <cell r="BD10"/>
          <cell r="BE10"/>
          <cell r="BF10"/>
          <cell r="BG10">
            <v>0</v>
          </cell>
          <cell r="BH10"/>
          <cell r="BI10"/>
          <cell r="BJ10"/>
          <cell r="BK10"/>
          <cell r="BL10"/>
          <cell r="BM10"/>
          <cell r="BN10"/>
          <cell r="BO10"/>
          <cell r="BP10"/>
          <cell r="BQ10"/>
          <cell r="BR10" t="e">
            <v>#REF!</v>
          </cell>
          <cell r="BS10"/>
          <cell r="BT10"/>
          <cell r="BU10"/>
          <cell r="BV10"/>
          <cell r="BW10">
            <v>0</v>
          </cell>
          <cell r="BX10"/>
          <cell r="BY10"/>
          <cell r="BZ10"/>
          <cell r="CA10"/>
          <cell r="CB10"/>
          <cell r="CC10"/>
          <cell r="CD10"/>
          <cell r="CE10"/>
          <cell r="CF10"/>
          <cell r="CG10"/>
          <cell r="CH10"/>
          <cell r="CI10"/>
          <cell r="CJ10"/>
          <cell r="CK10"/>
          <cell r="CL10"/>
          <cell r="CM10" t="e">
            <v>#REF!</v>
          </cell>
          <cell r="CN10"/>
          <cell r="CO10"/>
          <cell r="CP10"/>
          <cell r="CQ10"/>
          <cell r="CR10">
            <v>0</v>
          </cell>
          <cell r="CS10"/>
          <cell r="CT10"/>
          <cell r="CU10"/>
          <cell r="CV10"/>
          <cell r="CW10"/>
          <cell r="CX10"/>
          <cell r="CY10"/>
          <cell r="CZ10"/>
          <cell r="DA10"/>
          <cell r="DB10"/>
          <cell r="DC10"/>
          <cell r="DD10"/>
          <cell r="DE10"/>
          <cell r="DF10"/>
          <cell r="DG10"/>
          <cell r="DH10"/>
          <cell r="DI10"/>
          <cell r="DJ10" t="e">
            <v>#REF!</v>
          </cell>
          <cell r="DK10"/>
          <cell r="DL10"/>
          <cell r="DM10"/>
          <cell r="DN10"/>
          <cell r="DO10" t="str">
            <v>4</v>
          </cell>
          <cell r="DP10"/>
        </row>
        <row r="11">
          <cell r="B11" t="str">
            <v>5</v>
          </cell>
          <cell r="C11"/>
          <cell r="D11" t="str">
            <v>F &amp; I Commissions &amp; Incentives</v>
          </cell>
          <cell r="E11"/>
          <cell r="F11"/>
          <cell r="G11"/>
          <cell r="H11"/>
          <cell r="I11"/>
          <cell r="J11"/>
          <cell r="K11"/>
          <cell r="L11"/>
          <cell r="M11" t="str">
            <v>0090</v>
          </cell>
          <cell r="N11">
            <v>80486</v>
          </cell>
          <cell r="O11"/>
          <cell r="P11"/>
          <cell r="Q11"/>
          <cell r="R11"/>
          <cell r="S11"/>
          <cell r="T11" t="e">
            <v>#REF!</v>
          </cell>
          <cell r="U11"/>
          <cell r="V11"/>
          <cell r="W11"/>
          <cell r="X11"/>
          <cell r="Y11">
            <v>706971</v>
          </cell>
          <cell r="Z11"/>
          <cell r="AA11"/>
          <cell r="AB11"/>
          <cell r="AC11"/>
          <cell r="AD11"/>
          <cell r="AE11" t="e">
            <v>#REF!</v>
          </cell>
          <cell r="AF11"/>
          <cell r="AG11"/>
          <cell r="AH11"/>
          <cell r="AI11"/>
          <cell r="AJ11">
            <v>0.9</v>
          </cell>
          <cell r="AK11"/>
          <cell r="AL11" t="e">
            <v>#REF!</v>
          </cell>
          <cell r="AM11"/>
          <cell r="AN11"/>
          <cell r="AO11"/>
          <cell r="AP11"/>
          <cell r="AQ11">
            <v>44193</v>
          </cell>
          <cell r="AR11"/>
          <cell r="AS11"/>
          <cell r="AT11"/>
          <cell r="AU11"/>
          <cell r="AV11"/>
          <cell r="AW11"/>
          <cell r="AX11"/>
          <cell r="AY11"/>
          <cell r="AZ11"/>
          <cell r="BA11"/>
          <cell r="BB11" t="e">
            <v>#REF!</v>
          </cell>
          <cell r="BC11"/>
          <cell r="BD11"/>
          <cell r="BE11"/>
          <cell r="BF11"/>
          <cell r="BG11">
            <v>458466</v>
          </cell>
          <cell r="BH11"/>
          <cell r="BI11"/>
          <cell r="BJ11"/>
          <cell r="BK11"/>
          <cell r="BL11"/>
          <cell r="BM11"/>
          <cell r="BN11"/>
          <cell r="BO11"/>
          <cell r="BP11"/>
          <cell r="BQ11"/>
          <cell r="BR11" t="e">
            <v>#REF!</v>
          </cell>
          <cell r="BS11"/>
          <cell r="BT11"/>
          <cell r="BU11"/>
          <cell r="BV11"/>
          <cell r="BW11">
            <v>36293</v>
          </cell>
          <cell r="BX11"/>
          <cell r="BY11"/>
          <cell r="BZ11"/>
          <cell r="CA11"/>
          <cell r="CB11"/>
          <cell r="CC11"/>
          <cell r="CD11"/>
          <cell r="CE11"/>
          <cell r="CF11"/>
          <cell r="CG11"/>
          <cell r="CH11"/>
          <cell r="CI11"/>
          <cell r="CJ11"/>
          <cell r="CK11"/>
          <cell r="CL11"/>
          <cell r="CM11" t="e">
            <v>#REF!</v>
          </cell>
          <cell r="CN11"/>
          <cell r="CO11"/>
          <cell r="CP11"/>
          <cell r="CQ11"/>
          <cell r="CR11">
            <v>248505</v>
          </cell>
          <cell r="CS11"/>
          <cell r="CT11"/>
          <cell r="CU11"/>
          <cell r="CV11"/>
          <cell r="CW11"/>
          <cell r="CX11"/>
          <cell r="CY11"/>
          <cell r="CZ11"/>
          <cell r="DA11"/>
          <cell r="DB11"/>
          <cell r="DC11"/>
          <cell r="DD11"/>
          <cell r="DE11"/>
          <cell r="DF11"/>
          <cell r="DG11"/>
          <cell r="DH11"/>
          <cell r="DI11"/>
          <cell r="DJ11" t="e">
            <v>#REF!</v>
          </cell>
          <cell r="DK11"/>
          <cell r="DL11"/>
          <cell r="DM11"/>
          <cell r="DN11"/>
          <cell r="DO11" t="str">
            <v>5</v>
          </cell>
          <cell r="DP11"/>
        </row>
        <row r="12">
          <cell r="B12" t="str">
            <v>6</v>
          </cell>
          <cell r="C12"/>
          <cell r="D12" t="str">
            <v>Delivery Expense</v>
          </cell>
          <cell r="E12"/>
          <cell r="F12"/>
          <cell r="G12"/>
          <cell r="H12"/>
          <cell r="I12"/>
          <cell r="J12"/>
          <cell r="K12"/>
          <cell r="L12"/>
          <cell r="M12" t="str">
            <v>0110</v>
          </cell>
          <cell r="N12">
            <v>-602</v>
          </cell>
          <cell r="O12"/>
          <cell r="P12"/>
          <cell r="Q12"/>
          <cell r="R12"/>
          <cell r="S12"/>
          <cell r="T12" t="e">
            <v>#REF!</v>
          </cell>
          <cell r="U12"/>
          <cell r="V12"/>
          <cell r="W12"/>
          <cell r="X12"/>
          <cell r="Y12">
            <v>3950</v>
          </cell>
          <cell r="Z12"/>
          <cell r="AA12"/>
          <cell r="AB12"/>
          <cell r="AC12"/>
          <cell r="AD12"/>
          <cell r="AE12" t="e">
            <v>#REF!</v>
          </cell>
          <cell r="AF12"/>
          <cell r="AG12"/>
          <cell r="AH12"/>
          <cell r="AI12"/>
          <cell r="AJ12">
            <v>0</v>
          </cell>
          <cell r="AK12"/>
          <cell r="AL12" t="e">
            <v>#REF!</v>
          </cell>
          <cell r="AM12"/>
          <cell r="AN12"/>
          <cell r="AO12"/>
          <cell r="AP12"/>
          <cell r="AQ12">
            <v>1171</v>
          </cell>
          <cell r="AR12"/>
          <cell r="AS12"/>
          <cell r="AT12"/>
          <cell r="AU12"/>
          <cell r="AV12"/>
          <cell r="AW12"/>
          <cell r="AX12"/>
          <cell r="AY12"/>
          <cell r="AZ12"/>
          <cell r="BA12"/>
          <cell r="BB12" t="e">
            <v>#REF!</v>
          </cell>
          <cell r="BC12"/>
          <cell r="BD12"/>
          <cell r="BE12"/>
          <cell r="BF12"/>
          <cell r="BG12">
            <v>13363</v>
          </cell>
          <cell r="BH12"/>
          <cell r="BI12"/>
          <cell r="BJ12"/>
          <cell r="BK12"/>
          <cell r="BL12"/>
          <cell r="BM12"/>
          <cell r="BN12"/>
          <cell r="BO12"/>
          <cell r="BP12"/>
          <cell r="BQ12"/>
          <cell r="BR12" t="e">
            <v>#REF!</v>
          </cell>
          <cell r="BS12"/>
          <cell r="BT12"/>
          <cell r="BU12"/>
          <cell r="BV12"/>
          <cell r="BW12">
            <v>-1773</v>
          </cell>
          <cell r="BX12"/>
          <cell r="BY12"/>
          <cell r="BZ12"/>
          <cell r="CA12"/>
          <cell r="CB12"/>
          <cell r="CC12"/>
          <cell r="CD12"/>
          <cell r="CE12"/>
          <cell r="CF12"/>
          <cell r="CG12"/>
          <cell r="CH12"/>
          <cell r="CI12"/>
          <cell r="CJ12"/>
          <cell r="CK12"/>
          <cell r="CL12"/>
          <cell r="CM12" t="e">
            <v>#REF!</v>
          </cell>
          <cell r="CN12"/>
          <cell r="CO12"/>
          <cell r="CP12"/>
          <cell r="CQ12"/>
          <cell r="CR12">
            <v>-9413</v>
          </cell>
          <cell r="CS12"/>
          <cell r="CT12"/>
          <cell r="CU12"/>
          <cell r="CV12"/>
          <cell r="CW12"/>
          <cell r="CX12"/>
          <cell r="CY12"/>
          <cell r="CZ12"/>
          <cell r="DA12"/>
          <cell r="DB12"/>
          <cell r="DC12"/>
          <cell r="DD12"/>
          <cell r="DE12"/>
          <cell r="DF12"/>
          <cell r="DG12"/>
          <cell r="DH12"/>
          <cell r="DI12"/>
          <cell r="DJ12" t="e">
            <v>#REF!</v>
          </cell>
          <cell r="DK12"/>
          <cell r="DL12"/>
          <cell r="DM12"/>
          <cell r="DN12"/>
          <cell r="DO12" t="str">
            <v>6</v>
          </cell>
          <cell r="DP12"/>
        </row>
        <row r="13">
          <cell r="B13" t="str">
            <v>7</v>
          </cell>
          <cell r="C13"/>
          <cell r="D13" t="str">
            <v>Policy Adjustment</v>
          </cell>
          <cell r="E13"/>
          <cell r="F13"/>
          <cell r="G13"/>
          <cell r="H13"/>
          <cell r="I13"/>
          <cell r="J13"/>
          <cell r="K13"/>
          <cell r="L13"/>
          <cell r="M13" t="str">
            <v>0130</v>
          </cell>
          <cell r="N13">
            <v>2924</v>
          </cell>
          <cell r="O13"/>
          <cell r="P13"/>
          <cell r="Q13"/>
          <cell r="R13"/>
          <cell r="S13"/>
          <cell r="T13" t="e">
            <v>#REF!</v>
          </cell>
          <cell r="U13"/>
          <cell r="V13"/>
          <cell r="W13"/>
          <cell r="X13"/>
          <cell r="Y13">
            <v>57224</v>
          </cell>
          <cell r="Z13"/>
          <cell r="AA13"/>
          <cell r="AB13"/>
          <cell r="AC13"/>
          <cell r="AD13"/>
          <cell r="AE13" t="e">
            <v>#REF!</v>
          </cell>
          <cell r="AF13"/>
          <cell r="AG13"/>
          <cell r="AH13"/>
          <cell r="AI13"/>
          <cell r="AJ13">
            <v>0.1</v>
          </cell>
          <cell r="AK13"/>
          <cell r="AL13" t="e">
            <v>#REF!</v>
          </cell>
          <cell r="AM13"/>
          <cell r="AN13"/>
          <cell r="AO13"/>
          <cell r="AP13"/>
          <cell r="AQ13">
            <v>0</v>
          </cell>
          <cell r="AR13"/>
          <cell r="AS13"/>
          <cell r="AT13"/>
          <cell r="AU13"/>
          <cell r="AV13"/>
          <cell r="AW13"/>
          <cell r="AX13"/>
          <cell r="AY13"/>
          <cell r="AZ13"/>
          <cell r="BA13"/>
          <cell r="BB13" t="e">
            <v>#REF!</v>
          </cell>
          <cell r="BC13"/>
          <cell r="BD13"/>
          <cell r="BE13"/>
          <cell r="BF13"/>
          <cell r="BG13">
            <v>2989</v>
          </cell>
          <cell r="BH13"/>
          <cell r="BI13"/>
          <cell r="BJ13"/>
          <cell r="BK13"/>
          <cell r="BL13"/>
          <cell r="BM13"/>
          <cell r="BN13"/>
          <cell r="BO13"/>
          <cell r="BP13"/>
          <cell r="BQ13"/>
          <cell r="BR13" t="e">
            <v>#REF!</v>
          </cell>
          <cell r="BS13"/>
          <cell r="BT13"/>
          <cell r="BU13"/>
          <cell r="BV13"/>
          <cell r="BW13">
            <v>0</v>
          </cell>
          <cell r="BX13"/>
          <cell r="BY13"/>
          <cell r="BZ13"/>
          <cell r="CA13"/>
          <cell r="CB13"/>
          <cell r="CC13"/>
          <cell r="CD13"/>
          <cell r="CE13"/>
          <cell r="CF13"/>
          <cell r="CG13"/>
          <cell r="CH13"/>
          <cell r="CI13"/>
          <cell r="CJ13"/>
          <cell r="CK13"/>
          <cell r="CL13"/>
          <cell r="CM13" t="e">
            <v>#REF!</v>
          </cell>
          <cell r="CN13"/>
          <cell r="CO13"/>
          <cell r="CP13"/>
          <cell r="CQ13"/>
          <cell r="CR13">
            <v>299</v>
          </cell>
          <cell r="CS13"/>
          <cell r="CT13"/>
          <cell r="CU13"/>
          <cell r="CV13"/>
          <cell r="CW13"/>
          <cell r="CX13"/>
          <cell r="CY13"/>
          <cell r="CZ13"/>
          <cell r="DA13"/>
          <cell r="DB13"/>
          <cell r="DC13"/>
          <cell r="DD13"/>
          <cell r="DE13"/>
          <cell r="DF13"/>
          <cell r="DG13"/>
          <cell r="DH13"/>
          <cell r="DI13"/>
          <cell r="DJ13" t="e">
            <v>#REF!</v>
          </cell>
          <cell r="DK13"/>
          <cell r="DL13"/>
          <cell r="DM13"/>
          <cell r="DN13"/>
          <cell r="DO13" t="str">
            <v>7</v>
          </cell>
          <cell r="DP13"/>
        </row>
        <row r="14">
          <cell r="B14" t="str">
            <v>8</v>
          </cell>
          <cell r="C14"/>
          <cell r="D14" t="str">
            <v>Demonstration</v>
          </cell>
          <cell r="E14"/>
          <cell r="F14"/>
          <cell r="G14"/>
          <cell r="H14"/>
          <cell r="I14"/>
          <cell r="J14"/>
          <cell r="K14"/>
          <cell r="L14"/>
          <cell r="M14" t="str">
            <v>0140</v>
          </cell>
          <cell r="N14">
            <v>34777</v>
          </cell>
          <cell r="O14"/>
          <cell r="P14"/>
          <cell r="Q14"/>
          <cell r="R14"/>
          <cell r="S14"/>
          <cell r="T14" t="e">
            <v>#REF!</v>
          </cell>
          <cell r="U14"/>
          <cell r="V14"/>
          <cell r="W14"/>
          <cell r="X14"/>
          <cell r="Y14">
            <v>486535</v>
          </cell>
          <cell r="Z14"/>
          <cell r="AA14"/>
          <cell r="AB14"/>
          <cell r="AC14"/>
          <cell r="AD14"/>
          <cell r="AE14" t="e">
            <v>#REF!</v>
          </cell>
          <cell r="AF14"/>
          <cell r="AG14"/>
          <cell r="AH14"/>
          <cell r="AI14"/>
          <cell r="AJ14">
            <v>0.6</v>
          </cell>
          <cell r="AK14"/>
          <cell r="AL14" t="e">
            <v>#REF!</v>
          </cell>
          <cell r="AM14"/>
          <cell r="AN14"/>
          <cell r="AO14"/>
          <cell r="AP14"/>
          <cell r="AQ14">
            <v>17388</v>
          </cell>
          <cell r="AR14"/>
          <cell r="AS14"/>
          <cell r="AT14"/>
          <cell r="AU14"/>
          <cell r="AV14"/>
          <cell r="AW14"/>
          <cell r="AX14"/>
          <cell r="AY14"/>
          <cell r="AZ14"/>
          <cell r="BA14"/>
          <cell r="BB14" t="e">
            <v>#REF!</v>
          </cell>
          <cell r="BC14"/>
          <cell r="BD14"/>
          <cell r="BE14"/>
          <cell r="BF14"/>
          <cell r="BG14">
            <v>267158</v>
          </cell>
          <cell r="BH14"/>
          <cell r="BI14"/>
          <cell r="BJ14"/>
          <cell r="BK14"/>
          <cell r="BL14"/>
          <cell r="BM14"/>
          <cell r="BN14"/>
          <cell r="BO14"/>
          <cell r="BP14"/>
          <cell r="BQ14"/>
          <cell r="BR14" t="e">
            <v>#REF!</v>
          </cell>
          <cell r="BS14"/>
          <cell r="BT14"/>
          <cell r="BU14"/>
          <cell r="BV14"/>
          <cell r="BW14">
            <v>17389</v>
          </cell>
          <cell r="BX14"/>
          <cell r="BY14"/>
          <cell r="BZ14"/>
          <cell r="CA14"/>
          <cell r="CB14"/>
          <cell r="CC14"/>
          <cell r="CD14"/>
          <cell r="CE14"/>
          <cell r="CF14"/>
          <cell r="CG14"/>
          <cell r="CH14"/>
          <cell r="CI14"/>
          <cell r="CJ14"/>
          <cell r="CK14"/>
          <cell r="CL14"/>
          <cell r="CM14" t="e">
            <v>#REF!</v>
          </cell>
          <cell r="CN14"/>
          <cell r="CO14"/>
          <cell r="CP14"/>
          <cell r="CQ14"/>
          <cell r="CR14">
            <v>219377</v>
          </cell>
          <cell r="CS14"/>
          <cell r="CT14"/>
          <cell r="CU14"/>
          <cell r="CV14"/>
          <cell r="CW14"/>
          <cell r="CX14"/>
          <cell r="CY14"/>
          <cell r="CZ14"/>
          <cell r="DA14"/>
          <cell r="DB14"/>
          <cell r="DC14"/>
          <cell r="DD14"/>
          <cell r="DE14"/>
          <cell r="DF14"/>
          <cell r="DG14"/>
          <cell r="DH14"/>
          <cell r="DI14"/>
          <cell r="DJ14" t="e">
            <v>#REF!</v>
          </cell>
          <cell r="DK14"/>
          <cell r="DL14"/>
          <cell r="DM14"/>
          <cell r="DN14"/>
          <cell r="DO14" t="str">
            <v>8</v>
          </cell>
          <cell r="DP14"/>
        </row>
        <row r="15">
          <cell r="B15" t="str">
            <v>9</v>
          </cell>
          <cell r="C15"/>
          <cell r="D15" t="str">
            <v>Advertising</v>
          </cell>
          <cell r="E15"/>
          <cell r="F15"/>
          <cell r="G15"/>
          <cell r="H15"/>
          <cell r="I15"/>
          <cell r="J15"/>
          <cell r="K15"/>
          <cell r="L15"/>
          <cell r="M15" t="str">
            <v>0150</v>
          </cell>
          <cell r="N15">
            <v>90695</v>
          </cell>
          <cell r="O15"/>
          <cell r="P15"/>
          <cell r="Q15"/>
          <cell r="R15"/>
          <cell r="S15"/>
          <cell r="T15" t="e">
            <v>#REF!</v>
          </cell>
          <cell r="U15"/>
          <cell r="V15"/>
          <cell r="W15"/>
          <cell r="X15"/>
          <cell r="Y15">
            <v>850780</v>
          </cell>
          <cell r="Z15"/>
          <cell r="AA15"/>
          <cell r="AB15"/>
          <cell r="AC15"/>
          <cell r="AD15"/>
          <cell r="AE15" t="e">
            <v>#REF!</v>
          </cell>
          <cell r="AF15"/>
          <cell r="AG15"/>
          <cell r="AH15"/>
          <cell r="AI15"/>
          <cell r="AJ15">
            <v>1.1000000000000001</v>
          </cell>
          <cell r="AK15"/>
          <cell r="AL15" t="e">
            <v>#REF!</v>
          </cell>
          <cell r="AM15"/>
          <cell r="AN15"/>
          <cell r="AO15"/>
          <cell r="AP15"/>
          <cell r="AQ15">
            <v>36931</v>
          </cell>
          <cell r="AR15"/>
          <cell r="AS15"/>
          <cell r="AT15"/>
          <cell r="AU15"/>
          <cell r="AV15"/>
          <cell r="AW15"/>
          <cell r="AX15"/>
          <cell r="AY15"/>
          <cell r="AZ15"/>
          <cell r="BA15"/>
          <cell r="BB15" t="e">
            <v>#REF!</v>
          </cell>
          <cell r="BC15"/>
          <cell r="BD15"/>
          <cell r="BE15"/>
          <cell r="BF15"/>
          <cell r="BG15">
            <v>636564</v>
          </cell>
          <cell r="BH15"/>
          <cell r="BI15"/>
          <cell r="BJ15"/>
          <cell r="BK15"/>
          <cell r="BL15"/>
          <cell r="BM15"/>
          <cell r="BN15"/>
          <cell r="BO15"/>
          <cell r="BP15"/>
          <cell r="BQ15"/>
          <cell r="BR15" t="e">
            <v>#REF!</v>
          </cell>
          <cell r="BS15"/>
          <cell r="BT15"/>
          <cell r="BU15"/>
          <cell r="BV15"/>
          <cell r="BW15">
            <v>43707</v>
          </cell>
          <cell r="BX15"/>
          <cell r="BY15"/>
          <cell r="BZ15"/>
          <cell r="CA15"/>
          <cell r="CB15"/>
          <cell r="CC15"/>
          <cell r="CD15"/>
          <cell r="CE15"/>
          <cell r="CF15"/>
          <cell r="CG15"/>
          <cell r="CH15"/>
          <cell r="CI15"/>
          <cell r="CJ15"/>
          <cell r="CK15"/>
          <cell r="CL15"/>
          <cell r="CM15" t="e">
            <v>#REF!</v>
          </cell>
          <cell r="CN15"/>
          <cell r="CO15"/>
          <cell r="CP15"/>
          <cell r="CQ15"/>
          <cell r="CR15">
            <v>93940</v>
          </cell>
          <cell r="CS15"/>
          <cell r="CT15"/>
          <cell r="CU15"/>
          <cell r="CV15"/>
          <cell r="CW15"/>
          <cell r="CX15"/>
          <cell r="CY15"/>
          <cell r="CZ15"/>
          <cell r="DA15"/>
          <cell r="DB15"/>
          <cell r="DC15"/>
          <cell r="DD15"/>
          <cell r="DE15"/>
          <cell r="DF15"/>
          <cell r="DG15"/>
          <cell r="DH15"/>
          <cell r="DI15"/>
          <cell r="DJ15" t="e">
            <v>#REF!</v>
          </cell>
          <cell r="DK15"/>
          <cell r="DL15"/>
          <cell r="DM15"/>
          <cell r="DN15"/>
          <cell r="DO15" t="str">
            <v>9</v>
          </cell>
          <cell r="DP15"/>
        </row>
        <row r="16">
          <cell r="B16" t="str">
            <v>10</v>
          </cell>
          <cell r="C16"/>
          <cell r="D16" t="str">
            <v>LESS Advertising Reimbursement / Allowances</v>
          </cell>
          <cell r="E16"/>
          <cell r="F16"/>
          <cell r="G16"/>
          <cell r="H16"/>
          <cell r="I16"/>
          <cell r="J16"/>
          <cell r="K16"/>
          <cell r="L16"/>
          <cell r="M16" t="str">
            <v>0170</v>
          </cell>
          <cell r="N16">
            <v>23850</v>
          </cell>
          <cell r="O16"/>
          <cell r="P16"/>
          <cell r="Q16"/>
          <cell r="R16"/>
          <cell r="S16"/>
          <cell r="T16" t="e">
            <v>#REF!</v>
          </cell>
          <cell r="U16"/>
          <cell r="V16"/>
          <cell r="W16"/>
          <cell r="X16"/>
          <cell r="Y16">
            <v>289920</v>
          </cell>
          <cell r="Z16"/>
          <cell r="AA16"/>
          <cell r="AB16"/>
          <cell r="AC16"/>
          <cell r="AD16"/>
          <cell r="AE16" t="e">
            <v>#REF!</v>
          </cell>
          <cell r="AF16"/>
          <cell r="AG16"/>
          <cell r="AH16"/>
          <cell r="AI16"/>
          <cell r="AJ16">
            <v>-0.4</v>
          </cell>
          <cell r="AK16"/>
          <cell r="AL16" t="e">
            <v>#REF!</v>
          </cell>
          <cell r="AM16"/>
          <cell r="AN16"/>
          <cell r="AO16"/>
          <cell r="AP16"/>
          <cell r="AQ16">
            <v>23850</v>
          </cell>
          <cell r="AR16"/>
          <cell r="AS16"/>
          <cell r="AT16"/>
          <cell r="AU16"/>
          <cell r="AV16"/>
          <cell r="AW16"/>
          <cell r="AX16"/>
          <cell r="AY16"/>
          <cell r="AZ16"/>
          <cell r="BA16"/>
          <cell r="BB16" t="e">
            <v>#REF!</v>
          </cell>
          <cell r="BC16"/>
          <cell r="BD16"/>
          <cell r="BE16"/>
          <cell r="BF16"/>
          <cell r="BG16">
            <v>289920</v>
          </cell>
          <cell r="BH16"/>
          <cell r="BI16"/>
          <cell r="BJ16"/>
          <cell r="BK16"/>
          <cell r="BL16"/>
          <cell r="BM16"/>
          <cell r="BN16"/>
          <cell r="BO16"/>
          <cell r="BP16"/>
          <cell r="BQ16"/>
          <cell r="BR16" t="e">
            <v>#REF!</v>
          </cell>
          <cell r="BS16"/>
          <cell r="BT16"/>
          <cell r="BU16"/>
          <cell r="BV16"/>
          <cell r="BW16">
            <v>0</v>
          </cell>
          <cell r="BX16"/>
          <cell r="BY16"/>
          <cell r="BZ16"/>
          <cell r="CA16"/>
          <cell r="CB16"/>
          <cell r="CC16"/>
          <cell r="CD16"/>
          <cell r="CE16"/>
          <cell r="CF16"/>
          <cell r="CG16"/>
          <cell r="CH16"/>
          <cell r="CI16"/>
          <cell r="CJ16"/>
          <cell r="CK16"/>
          <cell r="CL16"/>
          <cell r="CM16" t="e">
            <v>#REF!</v>
          </cell>
          <cell r="CN16"/>
          <cell r="CO16"/>
          <cell r="CP16"/>
          <cell r="CQ16"/>
          <cell r="CR16">
            <v>0</v>
          </cell>
          <cell r="CS16"/>
          <cell r="CT16"/>
          <cell r="CU16"/>
          <cell r="CV16"/>
          <cell r="CW16"/>
          <cell r="CX16"/>
          <cell r="CY16"/>
          <cell r="CZ16"/>
          <cell r="DA16"/>
          <cell r="DB16"/>
          <cell r="DC16"/>
          <cell r="DD16"/>
          <cell r="DE16"/>
          <cell r="DF16"/>
          <cell r="DG16"/>
          <cell r="DH16"/>
          <cell r="DI16"/>
          <cell r="DJ16" t="e">
            <v>#REF!</v>
          </cell>
          <cell r="DK16"/>
          <cell r="DL16"/>
          <cell r="DM16"/>
          <cell r="DN16"/>
          <cell r="DO16" t="str">
            <v>10</v>
          </cell>
          <cell r="DP16"/>
        </row>
        <row r="17">
          <cell r="B17" t="str">
            <v>11</v>
          </cell>
          <cell r="C17"/>
          <cell r="D17" t="str">
            <v>Interest - Floor Plan - Vehicles</v>
          </cell>
          <cell r="E17"/>
          <cell r="F17"/>
          <cell r="G17"/>
          <cell r="H17"/>
          <cell r="I17"/>
          <cell r="J17"/>
          <cell r="K17"/>
          <cell r="L17"/>
          <cell r="M17" t="str">
            <v>0160</v>
          </cell>
          <cell r="N17">
            <v>46741</v>
          </cell>
          <cell r="O17"/>
          <cell r="P17"/>
          <cell r="Q17"/>
          <cell r="R17"/>
          <cell r="S17"/>
          <cell r="T17" t="e">
            <v>#REF!</v>
          </cell>
          <cell r="U17"/>
          <cell r="V17"/>
          <cell r="W17"/>
          <cell r="X17"/>
          <cell r="Y17">
            <v>408338</v>
          </cell>
          <cell r="Z17"/>
          <cell r="AA17"/>
          <cell r="AB17"/>
          <cell r="AC17"/>
          <cell r="AD17"/>
          <cell r="AE17" t="e">
            <v>#REF!</v>
          </cell>
          <cell r="AF17"/>
          <cell r="AG17"/>
          <cell r="AH17"/>
          <cell r="AI17"/>
          <cell r="AJ17">
            <v>0.5</v>
          </cell>
          <cell r="AK17"/>
          <cell r="AL17" t="e">
            <v>#REF!</v>
          </cell>
          <cell r="AM17"/>
          <cell r="AN17"/>
          <cell r="AO17"/>
          <cell r="AP17"/>
          <cell r="AQ17">
            <v>40898</v>
          </cell>
          <cell r="AR17"/>
          <cell r="AS17"/>
          <cell r="AT17"/>
          <cell r="AU17"/>
          <cell r="AV17"/>
          <cell r="AW17"/>
          <cell r="AX17"/>
          <cell r="AY17"/>
          <cell r="AZ17"/>
          <cell r="BA17"/>
          <cell r="BB17" t="e">
            <v>#REF!</v>
          </cell>
          <cell r="BC17"/>
          <cell r="BD17"/>
          <cell r="BE17"/>
          <cell r="BF17"/>
          <cell r="BG17">
            <v>337223</v>
          </cell>
          <cell r="BH17"/>
          <cell r="BI17"/>
          <cell r="BJ17"/>
          <cell r="BK17"/>
          <cell r="BL17"/>
          <cell r="BM17"/>
          <cell r="BN17"/>
          <cell r="BO17"/>
          <cell r="BP17"/>
          <cell r="BQ17"/>
          <cell r="BR17" t="e">
            <v>#REF!</v>
          </cell>
          <cell r="BS17"/>
          <cell r="BT17"/>
          <cell r="BU17"/>
          <cell r="BV17"/>
          <cell r="BW17">
            <v>5843</v>
          </cell>
          <cell r="BX17"/>
          <cell r="BY17"/>
          <cell r="BZ17"/>
          <cell r="CA17"/>
          <cell r="CB17"/>
          <cell r="CC17"/>
          <cell r="CD17"/>
          <cell r="CE17"/>
          <cell r="CF17"/>
          <cell r="CG17"/>
          <cell r="CH17"/>
          <cell r="CI17"/>
          <cell r="CJ17"/>
          <cell r="CK17"/>
          <cell r="CL17"/>
          <cell r="CM17" t="e">
            <v>#REF!</v>
          </cell>
          <cell r="CN17"/>
          <cell r="CO17"/>
          <cell r="CP17"/>
          <cell r="CQ17"/>
          <cell r="CR17">
            <v>71115</v>
          </cell>
          <cell r="CS17"/>
          <cell r="CT17"/>
          <cell r="CU17"/>
          <cell r="CV17"/>
          <cell r="CW17"/>
          <cell r="CX17"/>
          <cell r="CY17"/>
          <cell r="CZ17"/>
          <cell r="DA17"/>
          <cell r="DB17"/>
          <cell r="DC17"/>
          <cell r="DD17"/>
          <cell r="DE17"/>
          <cell r="DF17"/>
          <cell r="DG17"/>
          <cell r="DH17"/>
          <cell r="DI17"/>
          <cell r="DJ17" t="e">
            <v>#REF!</v>
          </cell>
          <cell r="DK17"/>
          <cell r="DL17"/>
          <cell r="DM17"/>
          <cell r="DN17"/>
          <cell r="DO17" t="str">
            <v>11</v>
          </cell>
          <cell r="DP17"/>
        </row>
        <row r="18">
          <cell r="B18" t="str">
            <v>12</v>
          </cell>
          <cell r="C18"/>
          <cell r="D18" t="str">
            <v>LESS Floor Plan Assistance</v>
          </cell>
          <cell r="E18"/>
          <cell r="F18"/>
          <cell r="G18"/>
          <cell r="H18"/>
          <cell r="I18"/>
          <cell r="J18"/>
          <cell r="K18"/>
          <cell r="L18"/>
          <cell r="M18" t="str">
            <v>0180</v>
          </cell>
          <cell r="N18">
            <v>140925</v>
          </cell>
          <cell r="O18"/>
          <cell r="P18"/>
          <cell r="Q18"/>
          <cell r="R18"/>
          <cell r="S18"/>
          <cell r="T18" t="e">
            <v>#REF!</v>
          </cell>
          <cell r="U18"/>
          <cell r="V18"/>
          <cell r="W18"/>
          <cell r="X18"/>
          <cell r="Y18">
            <v>851188</v>
          </cell>
          <cell r="Z18"/>
          <cell r="AA18"/>
          <cell r="AB18"/>
          <cell r="AC18"/>
          <cell r="AD18"/>
          <cell r="AE18" t="e">
            <v>#REF!</v>
          </cell>
          <cell r="AF18"/>
          <cell r="AG18"/>
          <cell r="AH18"/>
          <cell r="AI18"/>
          <cell r="AJ18">
            <v>-1.1000000000000001</v>
          </cell>
          <cell r="AK18"/>
          <cell r="AL18" t="e">
            <v>#REF!</v>
          </cell>
          <cell r="AM18"/>
          <cell r="AN18"/>
          <cell r="AO18"/>
          <cell r="AP18"/>
          <cell r="AQ18">
            <v>140925</v>
          </cell>
          <cell r="AR18"/>
          <cell r="AS18"/>
          <cell r="AT18"/>
          <cell r="AU18"/>
          <cell r="AV18"/>
          <cell r="AW18"/>
          <cell r="AX18"/>
          <cell r="AY18"/>
          <cell r="AZ18"/>
          <cell r="BA18"/>
          <cell r="BB18" t="e">
            <v>#REF!</v>
          </cell>
          <cell r="BC18"/>
          <cell r="BD18"/>
          <cell r="BE18"/>
          <cell r="BF18"/>
          <cell r="BG18">
            <v>851188</v>
          </cell>
          <cell r="BH18"/>
          <cell r="BI18"/>
          <cell r="BJ18"/>
          <cell r="BK18"/>
          <cell r="BL18"/>
          <cell r="BM18"/>
          <cell r="BN18"/>
          <cell r="BO18"/>
          <cell r="BP18"/>
          <cell r="BQ18"/>
          <cell r="BR18" t="e">
            <v>#REF!</v>
          </cell>
          <cell r="BS18"/>
          <cell r="BT18"/>
          <cell r="BU18"/>
          <cell r="BV18"/>
          <cell r="BW18">
            <v>0</v>
          </cell>
          <cell r="BX18"/>
          <cell r="BY18"/>
          <cell r="BZ18"/>
          <cell r="CA18"/>
          <cell r="CB18"/>
          <cell r="CC18"/>
          <cell r="CD18"/>
          <cell r="CE18"/>
          <cell r="CF18"/>
          <cell r="CG18"/>
          <cell r="CH18"/>
          <cell r="CI18"/>
          <cell r="CJ18"/>
          <cell r="CK18"/>
          <cell r="CL18"/>
          <cell r="CM18" t="e">
            <v>#REF!</v>
          </cell>
          <cell r="CN18"/>
          <cell r="CO18"/>
          <cell r="CP18"/>
          <cell r="CQ18"/>
          <cell r="CR18">
            <v>0</v>
          </cell>
          <cell r="CS18"/>
          <cell r="CT18"/>
          <cell r="CU18"/>
          <cell r="CV18"/>
          <cell r="CW18"/>
          <cell r="CX18"/>
          <cell r="CY18"/>
          <cell r="CZ18"/>
          <cell r="DA18"/>
          <cell r="DB18"/>
          <cell r="DC18"/>
          <cell r="DD18"/>
          <cell r="DE18"/>
          <cell r="DF18"/>
          <cell r="DG18"/>
          <cell r="DH18"/>
          <cell r="DI18"/>
          <cell r="DJ18" t="e">
            <v>#REF!</v>
          </cell>
          <cell r="DK18"/>
          <cell r="DL18"/>
          <cell r="DM18"/>
          <cell r="DN18"/>
          <cell r="DO18" t="str">
            <v>12</v>
          </cell>
          <cell r="DP18"/>
        </row>
        <row r="19">
          <cell r="B19" t="str">
            <v>13</v>
          </cell>
          <cell r="C19"/>
          <cell r="D19" t="str">
            <v>Vehicle Maintenance</v>
          </cell>
          <cell r="E19"/>
          <cell r="F19"/>
          <cell r="G19"/>
          <cell r="H19"/>
          <cell r="I19"/>
          <cell r="J19"/>
          <cell r="K19"/>
          <cell r="L19"/>
          <cell r="M19" t="str">
            <v>0190</v>
          </cell>
          <cell r="N19">
            <v>0</v>
          </cell>
          <cell r="O19"/>
          <cell r="P19"/>
          <cell r="Q19"/>
          <cell r="R19"/>
          <cell r="S19"/>
          <cell r="T19" t="e">
            <v>#REF!</v>
          </cell>
          <cell r="U19"/>
          <cell r="V19"/>
          <cell r="W19"/>
          <cell r="X19"/>
          <cell r="Y19">
            <v>0</v>
          </cell>
          <cell r="Z19"/>
          <cell r="AA19"/>
          <cell r="AB19"/>
          <cell r="AC19"/>
          <cell r="AD19"/>
          <cell r="AE19" t="e">
            <v>#REF!</v>
          </cell>
          <cell r="AF19"/>
          <cell r="AG19"/>
          <cell r="AH19"/>
          <cell r="AI19"/>
          <cell r="AJ19">
            <v>0</v>
          </cell>
          <cell r="AK19"/>
          <cell r="AL19" t="e">
            <v>#REF!</v>
          </cell>
          <cell r="AM19"/>
          <cell r="AN19"/>
          <cell r="AO19"/>
          <cell r="AP19"/>
          <cell r="AQ19">
            <v>0</v>
          </cell>
          <cell r="AR19"/>
          <cell r="AS19"/>
          <cell r="AT19"/>
          <cell r="AU19"/>
          <cell r="AV19"/>
          <cell r="AW19"/>
          <cell r="AX19"/>
          <cell r="AY19"/>
          <cell r="AZ19"/>
          <cell r="BA19"/>
          <cell r="BB19" t="e">
            <v>#REF!</v>
          </cell>
          <cell r="BC19"/>
          <cell r="BD19"/>
          <cell r="BE19"/>
          <cell r="BF19"/>
          <cell r="BG19">
            <v>0</v>
          </cell>
          <cell r="BH19"/>
          <cell r="BI19"/>
          <cell r="BJ19"/>
          <cell r="BK19"/>
          <cell r="BL19"/>
          <cell r="BM19"/>
          <cell r="BN19"/>
          <cell r="BO19"/>
          <cell r="BP19"/>
          <cell r="BQ19"/>
          <cell r="BR19" t="e">
            <v>#REF!</v>
          </cell>
          <cell r="BS19"/>
          <cell r="BT19"/>
          <cell r="BU19"/>
          <cell r="BV19"/>
          <cell r="BW19">
            <v>0</v>
          </cell>
          <cell r="BX19"/>
          <cell r="BY19"/>
          <cell r="BZ19"/>
          <cell r="CA19"/>
          <cell r="CB19"/>
          <cell r="CC19"/>
          <cell r="CD19"/>
          <cell r="CE19"/>
          <cell r="CF19"/>
          <cell r="CG19"/>
          <cell r="CH19"/>
          <cell r="CI19"/>
          <cell r="CJ19"/>
          <cell r="CK19"/>
          <cell r="CL19"/>
          <cell r="CM19" t="e">
            <v>#REF!</v>
          </cell>
          <cell r="CN19"/>
          <cell r="CO19"/>
          <cell r="CP19"/>
          <cell r="CQ19"/>
          <cell r="CR19">
            <v>0</v>
          </cell>
          <cell r="CS19"/>
          <cell r="CT19"/>
          <cell r="CU19"/>
          <cell r="CV19"/>
          <cell r="CW19"/>
          <cell r="CX19"/>
          <cell r="CY19"/>
          <cell r="CZ19"/>
          <cell r="DA19"/>
          <cell r="DB19"/>
          <cell r="DC19"/>
          <cell r="DD19"/>
          <cell r="DE19"/>
          <cell r="DF19"/>
          <cell r="DG19"/>
          <cell r="DH19"/>
          <cell r="DI19"/>
          <cell r="DJ19" t="e">
            <v>#REF!</v>
          </cell>
          <cell r="DK19"/>
          <cell r="DL19"/>
          <cell r="DM19"/>
          <cell r="DN19"/>
          <cell r="DO19" t="str">
            <v>13</v>
          </cell>
          <cell r="DP19"/>
        </row>
        <row r="20">
          <cell r="B20" t="str">
            <v>14</v>
          </cell>
          <cell r="C20"/>
          <cell r="D20" t="str">
            <v>TOTAL VARIABLE SELLING EXPENSE</v>
          </cell>
          <cell r="E20"/>
          <cell r="F20"/>
          <cell r="G20"/>
          <cell r="H20"/>
          <cell r="I20"/>
          <cell r="J20"/>
          <cell r="K20"/>
          <cell r="L20" t="str">
            <v xml:space="preserve">(Lines 3 to 13) </v>
          </cell>
          <cell r="M20"/>
          <cell r="N20">
            <v>279750</v>
          </cell>
          <cell r="O20"/>
          <cell r="P20"/>
          <cell r="Q20"/>
          <cell r="R20"/>
          <cell r="S20"/>
          <cell r="T20" t="e">
            <v>#REF!</v>
          </cell>
          <cell r="U20"/>
          <cell r="V20"/>
          <cell r="W20"/>
          <cell r="X20"/>
          <cell r="Y20">
            <v>3183221</v>
          </cell>
          <cell r="Z20"/>
          <cell r="AA20"/>
          <cell r="AB20"/>
          <cell r="AC20"/>
          <cell r="AD20"/>
          <cell r="AE20" t="e">
            <v>#REF!</v>
          </cell>
          <cell r="AF20"/>
          <cell r="AG20"/>
          <cell r="AH20"/>
          <cell r="AI20"/>
          <cell r="AJ20">
            <v>4.0999999999999996</v>
          </cell>
          <cell r="AK20"/>
          <cell r="AL20" t="e">
            <v>#REF!</v>
          </cell>
          <cell r="AM20"/>
          <cell r="AN20"/>
          <cell r="AO20"/>
          <cell r="AP20"/>
          <cell r="AQ20">
            <v>52102</v>
          </cell>
          <cell r="AR20"/>
          <cell r="AS20"/>
          <cell r="AT20"/>
          <cell r="AU20"/>
          <cell r="AV20"/>
          <cell r="AW20"/>
          <cell r="AX20"/>
          <cell r="AY20"/>
          <cell r="AZ20"/>
          <cell r="BA20"/>
          <cell r="BB20" t="e">
            <v>#REF!</v>
          </cell>
          <cell r="BC20"/>
          <cell r="BD20"/>
          <cell r="BE20"/>
          <cell r="BF20"/>
          <cell r="BG20">
            <v>1202572</v>
          </cell>
          <cell r="BH20"/>
          <cell r="BI20"/>
          <cell r="BJ20"/>
          <cell r="BK20"/>
          <cell r="BL20"/>
          <cell r="BM20"/>
          <cell r="BN20"/>
          <cell r="BO20"/>
          <cell r="BP20"/>
          <cell r="BQ20"/>
          <cell r="BR20" t="e">
            <v>#REF!</v>
          </cell>
          <cell r="BS20"/>
          <cell r="BT20"/>
          <cell r="BU20"/>
          <cell r="BV20"/>
          <cell r="BW20">
            <v>159676</v>
          </cell>
          <cell r="BX20"/>
          <cell r="BY20"/>
          <cell r="BZ20"/>
          <cell r="CA20"/>
          <cell r="CB20"/>
          <cell r="CC20"/>
          <cell r="CD20"/>
          <cell r="CE20"/>
          <cell r="CF20"/>
          <cell r="CG20"/>
          <cell r="CH20"/>
          <cell r="CI20"/>
          <cell r="CJ20"/>
          <cell r="CK20"/>
          <cell r="CL20"/>
          <cell r="CM20" t="e">
            <v>#REF!</v>
          </cell>
          <cell r="CN20"/>
          <cell r="CO20"/>
          <cell r="CP20"/>
          <cell r="CQ20"/>
          <cell r="CR20">
            <v>1282228</v>
          </cell>
          <cell r="CS20"/>
          <cell r="CT20"/>
          <cell r="CU20"/>
          <cell r="CV20"/>
          <cell r="CW20"/>
          <cell r="CX20"/>
          <cell r="CY20"/>
          <cell r="CZ20"/>
          <cell r="DA20"/>
          <cell r="DB20"/>
          <cell r="DC20"/>
          <cell r="DD20"/>
          <cell r="DE20"/>
          <cell r="DF20"/>
          <cell r="DG20"/>
          <cell r="DH20"/>
          <cell r="DI20"/>
          <cell r="DJ20" t="e">
            <v>#REF!</v>
          </cell>
          <cell r="DK20"/>
          <cell r="DL20"/>
          <cell r="DM20"/>
          <cell r="DN20"/>
          <cell r="DO20" t="str">
            <v>14</v>
          </cell>
          <cell r="DP20"/>
        </row>
        <row r="21">
          <cell r="B21" t="str">
            <v>15</v>
          </cell>
          <cell r="C21"/>
          <cell r="D21" t="str">
            <v>Salaries - Owners</v>
          </cell>
          <cell r="E21"/>
          <cell r="F21"/>
          <cell r="G21"/>
          <cell r="H21"/>
          <cell r="I21"/>
          <cell r="J21"/>
          <cell r="K21"/>
          <cell r="L21"/>
          <cell r="M21" t="str">
            <v>0200</v>
          </cell>
          <cell r="N21">
            <v>52401</v>
          </cell>
          <cell r="O21"/>
          <cell r="P21"/>
          <cell r="Q21"/>
          <cell r="R21"/>
          <cell r="S21"/>
          <cell r="T21" t="e">
            <v>#REF!</v>
          </cell>
          <cell r="U21"/>
          <cell r="V21"/>
          <cell r="W21"/>
          <cell r="X21"/>
          <cell r="Y21">
            <v>556778</v>
          </cell>
          <cell r="Z21"/>
          <cell r="AA21"/>
          <cell r="AB21"/>
          <cell r="AC21"/>
          <cell r="AD21"/>
          <cell r="AE21" t="e">
            <v>#REF!</v>
          </cell>
          <cell r="AF21"/>
          <cell r="AG21"/>
          <cell r="AH21"/>
          <cell r="AI21"/>
          <cell r="AJ21">
            <v>0.7</v>
          </cell>
          <cell r="AK21"/>
          <cell r="AL21" t="e">
            <v>#REF!</v>
          </cell>
          <cell r="AM21"/>
          <cell r="AN21"/>
          <cell r="AO21"/>
          <cell r="AP21"/>
          <cell r="AQ21">
            <v>17291</v>
          </cell>
          <cell r="AR21"/>
          <cell r="AS21"/>
          <cell r="AT21"/>
          <cell r="AU21"/>
          <cell r="AV21"/>
          <cell r="AW21"/>
          <cell r="AX21"/>
          <cell r="AY21"/>
          <cell r="AZ21"/>
          <cell r="BA21"/>
          <cell r="BB21" t="e">
            <v>#REF!</v>
          </cell>
          <cell r="BC21"/>
          <cell r="BD21"/>
          <cell r="BE21"/>
          <cell r="BF21"/>
          <cell r="BG21">
            <v>175867</v>
          </cell>
          <cell r="BH21"/>
          <cell r="BI21"/>
          <cell r="BJ21"/>
          <cell r="BK21"/>
          <cell r="BL21"/>
          <cell r="BM21"/>
          <cell r="BN21"/>
          <cell r="BO21"/>
          <cell r="BP21"/>
          <cell r="BQ21"/>
          <cell r="BR21" t="e">
            <v>#REF!</v>
          </cell>
          <cell r="BS21"/>
          <cell r="BT21"/>
          <cell r="BU21"/>
          <cell r="BV21"/>
          <cell r="BW21">
            <v>10492</v>
          </cell>
          <cell r="BX21"/>
          <cell r="BY21"/>
          <cell r="BZ21"/>
          <cell r="CA21"/>
          <cell r="CB21"/>
          <cell r="CC21"/>
          <cell r="CD21"/>
          <cell r="CE21"/>
          <cell r="CF21"/>
          <cell r="CG21"/>
          <cell r="CH21"/>
          <cell r="CI21"/>
          <cell r="CJ21"/>
          <cell r="CK21"/>
          <cell r="CL21"/>
          <cell r="CM21" t="e">
            <v>#REF!</v>
          </cell>
          <cell r="CN21"/>
          <cell r="CO21"/>
          <cell r="CP21"/>
          <cell r="CQ21"/>
          <cell r="CR21">
            <v>149246</v>
          </cell>
          <cell r="CS21"/>
          <cell r="CT21"/>
          <cell r="CU21"/>
          <cell r="CV21"/>
          <cell r="CW21"/>
          <cell r="CX21"/>
          <cell r="CY21"/>
          <cell r="CZ21"/>
          <cell r="DA21"/>
          <cell r="DB21"/>
          <cell r="DC21"/>
          <cell r="DD21"/>
          <cell r="DE21"/>
          <cell r="DF21"/>
          <cell r="DG21"/>
          <cell r="DH21"/>
          <cell r="DI21"/>
          <cell r="DJ21" t="e">
            <v>#REF!</v>
          </cell>
          <cell r="DK21"/>
          <cell r="DL21"/>
          <cell r="DM21"/>
          <cell r="DN21"/>
          <cell r="DO21" t="str">
            <v>15</v>
          </cell>
          <cell r="DP21"/>
        </row>
        <row r="22">
          <cell r="B22" t="str">
            <v>16</v>
          </cell>
          <cell r="C22"/>
          <cell r="D22" t="str">
            <v>Salaries - Supervision</v>
          </cell>
          <cell r="E22"/>
          <cell r="F22"/>
          <cell r="G22"/>
          <cell r="H22"/>
          <cell r="I22"/>
          <cell r="J22"/>
          <cell r="K22"/>
          <cell r="L22"/>
          <cell r="M22" t="str">
            <v>0210</v>
          </cell>
          <cell r="N22">
            <v>185322</v>
          </cell>
          <cell r="O22"/>
          <cell r="P22"/>
          <cell r="Q22"/>
          <cell r="R22"/>
          <cell r="S22"/>
          <cell r="T22" t="e">
            <v>#REF!</v>
          </cell>
          <cell r="U22"/>
          <cell r="V22"/>
          <cell r="W22"/>
          <cell r="X22"/>
          <cell r="Y22">
            <v>1904184</v>
          </cell>
          <cell r="Z22"/>
          <cell r="AA22"/>
          <cell r="AB22"/>
          <cell r="AC22"/>
          <cell r="AD22"/>
          <cell r="AE22" t="e">
            <v>#REF!</v>
          </cell>
          <cell r="AF22"/>
          <cell r="AG22"/>
          <cell r="AH22"/>
          <cell r="AI22"/>
          <cell r="AJ22">
            <v>2.4</v>
          </cell>
          <cell r="AK22"/>
          <cell r="AL22" t="e">
            <v>#REF!</v>
          </cell>
          <cell r="AM22"/>
          <cell r="AN22"/>
          <cell r="AO22"/>
          <cell r="AP22"/>
          <cell r="AQ22">
            <v>69312</v>
          </cell>
          <cell r="AR22"/>
          <cell r="AS22"/>
          <cell r="AT22"/>
          <cell r="AU22"/>
          <cell r="AV22"/>
          <cell r="AW22"/>
          <cell r="AX22"/>
          <cell r="AY22"/>
          <cell r="AZ22"/>
          <cell r="BA22"/>
          <cell r="BB22" t="e">
            <v>#REF!</v>
          </cell>
          <cell r="BC22"/>
          <cell r="BD22"/>
          <cell r="BE22"/>
          <cell r="BF22"/>
          <cell r="BG22">
            <v>848738</v>
          </cell>
          <cell r="BH22"/>
          <cell r="BI22"/>
          <cell r="BJ22"/>
          <cell r="BK22"/>
          <cell r="BL22"/>
          <cell r="BM22"/>
          <cell r="BN22"/>
          <cell r="BO22"/>
          <cell r="BP22"/>
          <cell r="BQ22"/>
          <cell r="BR22" t="e">
            <v>#REF!</v>
          </cell>
          <cell r="BS22"/>
          <cell r="BT22"/>
          <cell r="BU22"/>
          <cell r="BV22"/>
          <cell r="BW22">
            <v>76307</v>
          </cell>
          <cell r="BX22"/>
          <cell r="BY22"/>
          <cell r="BZ22"/>
          <cell r="CA22"/>
          <cell r="CB22"/>
          <cell r="CC22"/>
          <cell r="CD22"/>
          <cell r="CE22"/>
          <cell r="CF22"/>
          <cell r="CG22"/>
          <cell r="CH22"/>
          <cell r="CI22"/>
          <cell r="CJ22"/>
          <cell r="CK22"/>
          <cell r="CL22"/>
          <cell r="CM22" t="e">
            <v>#REF!</v>
          </cell>
          <cell r="CN22"/>
          <cell r="CO22"/>
          <cell r="CP22"/>
          <cell r="CQ22"/>
          <cell r="CR22">
            <v>584842</v>
          </cell>
          <cell r="CS22"/>
          <cell r="CT22"/>
          <cell r="CU22"/>
          <cell r="CV22"/>
          <cell r="CW22"/>
          <cell r="CX22"/>
          <cell r="CY22"/>
          <cell r="CZ22"/>
          <cell r="DA22"/>
          <cell r="DB22"/>
          <cell r="DC22"/>
          <cell r="DD22"/>
          <cell r="DE22"/>
          <cell r="DF22"/>
          <cell r="DG22"/>
          <cell r="DH22"/>
          <cell r="DI22"/>
          <cell r="DJ22" t="e">
            <v>#REF!</v>
          </cell>
          <cell r="DK22"/>
          <cell r="DL22"/>
          <cell r="DM22"/>
          <cell r="DN22"/>
          <cell r="DO22" t="str">
            <v>16</v>
          </cell>
          <cell r="DP22"/>
        </row>
        <row r="23">
          <cell r="B23" t="str">
            <v>17</v>
          </cell>
          <cell r="C23"/>
          <cell r="D23" t="str">
            <v>Salaries - Clerical</v>
          </cell>
          <cell r="E23"/>
          <cell r="F23"/>
          <cell r="G23"/>
          <cell r="H23"/>
          <cell r="I23"/>
          <cell r="J23"/>
          <cell r="K23"/>
          <cell r="L23"/>
          <cell r="M23" t="str">
            <v>0220</v>
          </cell>
          <cell r="N23">
            <v>21149</v>
          </cell>
          <cell r="O23"/>
          <cell r="P23"/>
          <cell r="Q23"/>
          <cell r="R23"/>
          <cell r="S23"/>
          <cell r="T23" t="e">
            <v>#REF!</v>
          </cell>
          <cell r="U23"/>
          <cell r="V23"/>
          <cell r="W23"/>
          <cell r="X23"/>
          <cell r="Y23">
            <v>264346</v>
          </cell>
          <cell r="Z23"/>
          <cell r="AA23"/>
          <cell r="AB23"/>
          <cell r="AC23"/>
          <cell r="AD23"/>
          <cell r="AE23" t="e">
            <v>#REF!</v>
          </cell>
          <cell r="AF23"/>
          <cell r="AG23"/>
          <cell r="AH23"/>
          <cell r="AI23"/>
          <cell r="AJ23">
            <v>0.3</v>
          </cell>
          <cell r="AK23"/>
          <cell r="AL23" t="e">
            <v>#REF!</v>
          </cell>
          <cell r="AM23"/>
          <cell r="AN23"/>
          <cell r="AO23"/>
          <cell r="AP23"/>
          <cell r="AQ23">
            <v>10066</v>
          </cell>
          <cell r="AR23"/>
          <cell r="AS23"/>
          <cell r="AT23"/>
          <cell r="AU23"/>
          <cell r="AV23"/>
          <cell r="AW23"/>
          <cell r="AX23"/>
          <cell r="AY23"/>
          <cell r="AZ23"/>
          <cell r="BA23"/>
          <cell r="BB23" t="e">
            <v>#REF!</v>
          </cell>
          <cell r="BC23"/>
          <cell r="BD23"/>
          <cell r="BE23"/>
          <cell r="BF23"/>
          <cell r="BG23">
            <v>115166</v>
          </cell>
          <cell r="BH23"/>
          <cell r="BI23"/>
          <cell r="BJ23"/>
          <cell r="BK23"/>
          <cell r="BL23"/>
          <cell r="BM23"/>
          <cell r="BN23"/>
          <cell r="BO23"/>
          <cell r="BP23"/>
          <cell r="BQ23"/>
          <cell r="BR23" t="e">
            <v>#REF!</v>
          </cell>
          <cell r="BS23"/>
          <cell r="BT23"/>
          <cell r="BU23"/>
          <cell r="BV23"/>
          <cell r="BW23">
            <v>9606</v>
          </cell>
          <cell r="BX23"/>
          <cell r="BY23"/>
          <cell r="BZ23"/>
          <cell r="CA23"/>
          <cell r="CB23"/>
          <cell r="CC23"/>
          <cell r="CD23"/>
          <cell r="CE23"/>
          <cell r="CF23"/>
          <cell r="CG23"/>
          <cell r="CH23"/>
          <cell r="CI23"/>
          <cell r="CJ23"/>
          <cell r="CK23"/>
          <cell r="CL23"/>
          <cell r="CM23" t="e">
            <v>#REF!</v>
          </cell>
          <cell r="CN23"/>
          <cell r="CO23"/>
          <cell r="CP23"/>
          <cell r="CQ23"/>
          <cell r="CR23">
            <v>92848</v>
          </cell>
          <cell r="CS23"/>
          <cell r="CT23"/>
          <cell r="CU23"/>
          <cell r="CV23"/>
          <cell r="CW23"/>
          <cell r="CX23"/>
          <cell r="CY23"/>
          <cell r="CZ23"/>
          <cell r="DA23"/>
          <cell r="DB23"/>
          <cell r="DC23"/>
          <cell r="DD23"/>
          <cell r="DE23"/>
          <cell r="DF23"/>
          <cell r="DG23"/>
          <cell r="DH23"/>
          <cell r="DI23"/>
          <cell r="DJ23" t="e">
            <v>#REF!</v>
          </cell>
          <cell r="DK23"/>
          <cell r="DL23"/>
          <cell r="DM23"/>
          <cell r="DN23"/>
          <cell r="DO23" t="str">
            <v>17</v>
          </cell>
          <cell r="DP23"/>
        </row>
        <row r="24">
          <cell r="B24" t="str">
            <v>18</v>
          </cell>
          <cell r="C24"/>
          <cell r="D24" t="str">
            <v>Other Salaries &amp; Wages</v>
          </cell>
          <cell r="E24"/>
          <cell r="F24"/>
          <cell r="G24"/>
          <cell r="H24"/>
          <cell r="I24"/>
          <cell r="J24"/>
          <cell r="K24"/>
          <cell r="L24"/>
          <cell r="M24" t="str">
            <v>0230</v>
          </cell>
          <cell r="N24">
            <v>78951</v>
          </cell>
          <cell r="O24"/>
          <cell r="P24"/>
          <cell r="Q24"/>
          <cell r="R24"/>
          <cell r="S24"/>
          <cell r="T24" t="e">
            <v>#REF!</v>
          </cell>
          <cell r="U24"/>
          <cell r="V24"/>
          <cell r="W24"/>
          <cell r="X24"/>
          <cell r="Y24">
            <v>567648</v>
          </cell>
          <cell r="Z24"/>
          <cell r="AA24"/>
          <cell r="AB24"/>
          <cell r="AC24"/>
          <cell r="AD24"/>
          <cell r="AE24" t="e">
            <v>#REF!</v>
          </cell>
          <cell r="AF24"/>
          <cell r="AG24"/>
          <cell r="AH24"/>
          <cell r="AI24"/>
          <cell r="AJ24">
            <v>0.7</v>
          </cell>
          <cell r="AK24"/>
          <cell r="AL24" t="e">
            <v>#REF!</v>
          </cell>
          <cell r="AM24"/>
          <cell r="AN24"/>
          <cell r="AO24"/>
          <cell r="AP24"/>
          <cell r="AQ24">
            <v>18508</v>
          </cell>
          <cell r="AR24"/>
          <cell r="AS24"/>
          <cell r="AT24"/>
          <cell r="AU24"/>
          <cell r="AV24"/>
          <cell r="AW24"/>
          <cell r="AX24"/>
          <cell r="AY24"/>
          <cell r="AZ24"/>
          <cell r="BA24"/>
          <cell r="BB24" t="e">
            <v>#REF!</v>
          </cell>
          <cell r="BC24"/>
          <cell r="BD24"/>
          <cell r="BE24"/>
          <cell r="BF24"/>
          <cell r="BG24">
            <v>136248</v>
          </cell>
          <cell r="BH24"/>
          <cell r="BI24"/>
          <cell r="BJ24"/>
          <cell r="BK24"/>
          <cell r="BL24"/>
          <cell r="BM24"/>
          <cell r="BN24"/>
          <cell r="BO24"/>
          <cell r="BP24"/>
          <cell r="BQ24"/>
          <cell r="BR24" t="e">
            <v>#REF!</v>
          </cell>
          <cell r="BS24"/>
          <cell r="BT24"/>
          <cell r="BU24"/>
          <cell r="BV24"/>
          <cell r="BW24">
            <v>23553</v>
          </cell>
          <cell r="BX24"/>
          <cell r="BY24"/>
          <cell r="BZ24"/>
          <cell r="CA24"/>
          <cell r="CB24"/>
          <cell r="CC24"/>
          <cell r="CD24"/>
          <cell r="CE24"/>
          <cell r="CF24"/>
          <cell r="CG24"/>
          <cell r="CH24"/>
          <cell r="CI24"/>
          <cell r="CJ24"/>
          <cell r="CK24"/>
          <cell r="CL24"/>
          <cell r="CM24" t="e">
            <v>#REF!</v>
          </cell>
          <cell r="CN24"/>
          <cell r="CO24"/>
          <cell r="CP24"/>
          <cell r="CQ24"/>
          <cell r="CR24">
            <v>171973</v>
          </cell>
          <cell r="CS24"/>
          <cell r="CT24"/>
          <cell r="CU24"/>
          <cell r="CV24"/>
          <cell r="CW24"/>
          <cell r="CX24"/>
          <cell r="CY24"/>
          <cell r="CZ24"/>
          <cell r="DA24"/>
          <cell r="DB24"/>
          <cell r="DC24"/>
          <cell r="DD24"/>
          <cell r="DE24"/>
          <cell r="DF24"/>
          <cell r="DG24"/>
          <cell r="DH24"/>
          <cell r="DI24"/>
          <cell r="DJ24" t="e">
            <v>#REF!</v>
          </cell>
          <cell r="DK24"/>
          <cell r="DL24"/>
          <cell r="DM24"/>
          <cell r="DN24"/>
          <cell r="DO24" t="str">
            <v>18</v>
          </cell>
          <cell r="DP24"/>
        </row>
        <row r="25">
          <cell r="B25" t="str">
            <v>19</v>
          </cell>
          <cell r="C25"/>
          <cell r="D25" t="str">
            <v>Absentee Wages - Productive Personnel</v>
          </cell>
          <cell r="E25"/>
          <cell r="F25"/>
          <cell r="G25"/>
          <cell r="H25"/>
          <cell r="I25"/>
          <cell r="J25"/>
          <cell r="K25"/>
          <cell r="L25"/>
          <cell r="M25" t="str">
            <v>0240</v>
          </cell>
          <cell r="N25">
            <v>10613</v>
          </cell>
          <cell r="O25"/>
          <cell r="P25"/>
          <cell r="Q25"/>
          <cell r="R25"/>
          <cell r="S25"/>
          <cell r="T25" t="e">
            <v>#REF!</v>
          </cell>
          <cell r="U25"/>
          <cell r="V25"/>
          <cell r="W25"/>
          <cell r="X25"/>
          <cell r="Y25">
            <v>45198</v>
          </cell>
          <cell r="Z25"/>
          <cell r="AA25"/>
          <cell r="AB25"/>
          <cell r="AC25"/>
          <cell r="AD25"/>
          <cell r="AE25" t="e">
            <v>#REF!</v>
          </cell>
          <cell r="AF25"/>
          <cell r="AG25"/>
          <cell r="AH25"/>
          <cell r="AI25"/>
          <cell r="AJ25">
            <v>0.1</v>
          </cell>
          <cell r="AK25"/>
          <cell r="AL25" t="e">
            <v>#REF!</v>
          </cell>
          <cell r="AM25"/>
          <cell r="AN25"/>
          <cell r="AO25"/>
          <cell r="AP25"/>
          <cell r="AQ25"/>
          <cell r="AR25"/>
          <cell r="AS25"/>
          <cell r="AT25"/>
          <cell r="AU25"/>
          <cell r="AV25"/>
          <cell r="AW25"/>
          <cell r="AX25"/>
          <cell r="AY25"/>
          <cell r="AZ25"/>
          <cell r="BA25"/>
          <cell r="BB25"/>
          <cell r="BC25"/>
          <cell r="BD25"/>
          <cell r="BE25"/>
          <cell r="BF25"/>
          <cell r="BG25"/>
          <cell r="BH25"/>
          <cell r="BI25"/>
          <cell r="BJ25"/>
          <cell r="BK25"/>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cell r="CV25"/>
          <cell r="CW25"/>
          <cell r="CX25"/>
          <cell r="CY25"/>
          <cell r="CZ25"/>
          <cell r="DA25"/>
          <cell r="DB25"/>
          <cell r="DC25"/>
          <cell r="DD25"/>
          <cell r="DE25"/>
          <cell r="DF25"/>
          <cell r="DG25"/>
          <cell r="DH25"/>
          <cell r="DI25"/>
          <cell r="DJ25" t="e">
            <v>#REF!</v>
          </cell>
          <cell r="DK25"/>
          <cell r="DL25"/>
          <cell r="DM25"/>
          <cell r="DN25"/>
          <cell r="DO25" t="str">
            <v>19</v>
          </cell>
          <cell r="DP25"/>
        </row>
        <row r="26">
          <cell r="B26" t="str">
            <v>20</v>
          </cell>
          <cell r="C26"/>
          <cell r="D26" t="str">
            <v>Taxes - Payroll</v>
          </cell>
          <cell r="E26"/>
          <cell r="F26"/>
          <cell r="G26"/>
          <cell r="H26"/>
          <cell r="I26"/>
          <cell r="J26"/>
          <cell r="K26"/>
          <cell r="L26"/>
          <cell r="M26" t="str">
            <v>0250</v>
          </cell>
          <cell r="N26">
            <v>35084</v>
          </cell>
          <cell r="O26"/>
          <cell r="P26"/>
          <cell r="Q26"/>
          <cell r="R26"/>
          <cell r="S26"/>
          <cell r="T26" t="e">
            <v>#REF!</v>
          </cell>
          <cell r="U26"/>
          <cell r="V26"/>
          <cell r="W26"/>
          <cell r="X26"/>
          <cell r="Y26">
            <v>459194</v>
          </cell>
          <cell r="Z26"/>
          <cell r="AA26"/>
          <cell r="AB26"/>
          <cell r="AC26"/>
          <cell r="AD26"/>
          <cell r="AE26" t="e">
            <v>#REF!</v>
          </cell>
          <cell r="AF26"/>
          <cell r="AG26"/>
          <cell r="AH26"/>
          <cell r="AI26"/>
          <cell r="AJ26">
            <v>0.6</v>
          </cell>
          <cell r="AK26"/>
          <cell r="AL26" t="e">
            <v>#REF!</v>
          </cell>
          <cell r="AM26"/>
          <cell r="AN26"/>
          <cell r="AO26"/>
          <cell r="AP26"/>
          <cell r="AQ26">
            <v>11280</v>
          </cell>
          <cell r="AR26"/>
          <cell r="AS26"/>
          <cell r="AT26"/>
          <cell r="AU26"/>
          <cell r="AV26"/>
          <cell r="AW26"/>
          <cell r="AX26"/>
          <cell r="AY26"/>
          <cell r="AZ26"/>
          <cell r="BA26"/>
          <cell r="BB26" t="e">
            <v>#REF!</v>
          </cell>
          <cell r="BC26"/>
          <cell r="BD26"/>
          <cell r="BE26"/>
          <cell r="BF26"/>
          <cell r="BG26">
            <v>177479</v>
          </cell>
          <cell r="BH26"/>
          <cell r="BI26"/>
          <cell r="BJ26"/>
          <cell r="BK26"/>
          <cell r="BL26"/>
          <cell r="BM26"/>
          <cell r="BN26"/>
          <cell r="BO26"/>
          <cell r="BP26"/>
          <cell r="BQ26"/>
          <cell r="BR26" t="e">
            <v>#REF!</v>
          </cell>
          <cell r="BS26"/>
          <cell r="BT26"/>
          <cell r="BU26"/>
          <cell r="BV26"/>
          <cell r="BW26">
            <v>6239</v>
          </cell>
          <cell r="BX26"/>
          <cell r="BY26"/>
          <cell r="BZ26"/>
          <cell r="CA26"/>
          <cell r="CB26"/>
          <cell r="CC26"/>
          <cell r="CD26"/>
          <cell r="CE26"/>
          <cell r="CF26"/>
          <cell r="CG26"/>
          <cell r="CH26"/>
          <cell r="CI26"/>
          <cell r="CJ26"/>
          <cell r="CK26"/>
          <cell r="CL26"/>
          <cell r="CM26" t="e">
            <v>#REF!</v>
          </cell>
          <cell r="CN26"/>
          <cell r="CO26"/>
          <cell r="CP26"/>
          <cell r="CQ26"/>
          <cell r="CR26">
            <v>84597</v>
          </cell>
          <cell r="CS26"/>
          <cell r="CT26"/>
          <cell r="CU26"/>
          <cell r="CV26"/>
          <cell r="CW26"/>
          <cell r="CX26"/>
          <cell r="CY26"/>
          <cell r="CZ26"/>
          <cell r="DA26"/>
          <cell r="DB26"/>
          <cell r="DC26"/>
          <cell r="DD26"/>
          <cell r="DE26"/>
          <cell r="DF26"/>
          <cell r="DG26"/>
          <cell r="DH26"/>
          <cell r="DI26"/>
          <cell r="DJ26" t="e">
            <v>#REF!</v>
          </cell>
          <cell r="DK26"/>
          <cell r="DL26"/>
          <cell r="DM26"/>
          <cell r="DN26"/>
          <cell r="DO26" t="str">
            <v>20</v>
          </cell>
          <cell r="DP26"/>
        </row>
        <row r="27">
          <cell r="B27" t="str">
            <v>21</v>
          </cell>
          <cell r="C27"/>
          <cell r="D27" t="str">
            <v>Employee Benefits / Pension Fund / 401 K</v>
          </cell>
          <cell r="E27"/>
          <cell r="F27"/>
          <cell r="G27"/>
          <cell r="H27"/>
          <cell r="I27"/>
          <cell r="J27"/>
          <cell r="K27"/>
          <cell r="L27"/>
          <cell r="M27" t="str">
            <v>0260</v>
          </cell>
          <cell r="N27">
            <v>42894</v>
          </cell>
          <cell r="O27"/>
          <cell r="P27"/>
          <cell r="Q27"/>
          <cell r="R27"/>
          <cell r="S27"/>
          <cell r="T27" t="e">
            <v>#REF!</v>
          </cell>
          <cell r="U27"/>
          <cell r="V27"/>
          <cell r="W27"/>
          <cell r="X27"/>
          <cell r="Y27">
            <v>441798</v>
          </cell>
          <cell r="Z27"/>
          <cell r="AA27"/>
          <cell r="AB27"/>
          <cell r="AC27"/>
          <cell r="AD27"/>
          <cell r="AE27" t="e">
            <v>#REF!</v>
          </cell>
          <cell r="AF27"/>
          <cell r="AG27"/>
          <cell r="AH27"/>
          <cell r="AI27"/>
          <cell r="AJ27">
            <v>0.6</v>
          </cell>
          <cell r="AK27"/>
          <cell r="AL27" t="e">
            <v>#REF!</v>
          </cell>
          <cell r="AM27"/>
          <cell r="AN27"/>
          <cell r="AO27"/>
          <cell r="AP27"/>
          <cell r="AQ27">
            <v>14249</v>
          </cell>
          <cell r="AR27"/>
          <cell r="AS27"/>
          <cell r="AT27"/>
          <cell r="AU27"/>
          <cell r="AV27"/>
          <cell r="AW27"/>
          <cell r="AX27"/>
          <cell r="AY27"/>
          <cell r="AZ27"/>
          <cell r="BA27"/>
          <cell r="BB27" t="e">
            <v>#REF!</v>
          </cell>
          <cell r="BC27"/>
          <cell r="BD27"/>
          <cell r="BE27"/>
          <cell r="BF27"/>
          <cell r="BG27">
            <v>152813</v>
          </cell>
          <cell r="BH27"/>
          <cell r="BI27"/>
          <cell r="BJ27"/>
          <cell r="BK27"/>
          <cell r="BL27"/>
          <cell r="BM27"/>
          <cell r="BN27"/>
          <cell r="BO27"/>
          <cell r="BP27"/>
          <cell r="BQ27"/>
          <cell r="BR27" t="e">
            <v>#REF!</v>
          </cell>
          <cell r="BS27"/>
          <cell r="BT27"/>
          <cell r="BU27"/>
          <cell r="BV27"/>
          <cell r="BW27">
            <v>8720</v>
          </cell>
          <cell r="BX27"/>
          <cell r="BY27"/>
          <cell r="BZ27"/>
          <cell r="CA27"/>
          <cell r="CB27"/>
          <cell r="CC27"/>
          <cell r="CD27"/>
          <cell r="CE27"/>
          <cell r="CF27"/>
          <cell r="CG27"/>
          <cell r="CH27"/>
          <cell r="CI27"/>
          <cell r="CJ27"/>
          <cell r="CK27"/>
          <cell r="CL27"/>
          <cell r="CM27" t="e">
            <v>#REF!</v>
          </cell>
          <cell r="CN27"/>
          <cell r="CO27"/>
          <cell r="CP27"/>
          <cell r="CQ27"/>
          <cell r="CR27">
            <v>116363</v>
          </cell>
          <cell r="CS27"/>
          <cell r="CT27"/>
          <cell r="CU27"/>
          <cell r="CV27"/>
          <cell r="CW27"/>
          <cell r="CX27"/>
          <cell r="CY27"/>
          <cell r="CZ27"/>
          <cell r="DA27"/>
          <cell r="DB27"/>
          <cell r="DC27"/>
          <cell r="DD27"/>
          <cell r="DE27"/>
          <cell r="DF27"/>
          <cell r="DG27"/>
          <cell r="DH27"/>
          <cell r="DI27"/>
          <cell r="DJ27" t="e">
            <v>#REF!</v>
          </cell>
          <cell r="DK27"/>
          <cell r="DL27"/>
          <cell r="DM27"/>
          <cell r="DN27"/>
          <cell r="DO27" t="str">
            <v>21</v>
          </cell>
          <cell r="DP27"/>
        </row>
        <row r="28">
          <cell r="B28" t="str">
            <v>22</v>
          </cell>
          <cell r="C28"/>
          <cell r="D28" t="str">
            <v>TOTAL SALARY &amp; WAGE GROUP</v>
          </cell>
          <cell r="E28"/>
          <cell r="F28"/>
          <cell r="G28"/>
          <cell r="H28"/>
          <cell r="I28"/>
          <cell r="J28"/>
          <cell r="K28"/>
          <cell r="L28" t="str">
            <v xml:space="preserve">(Lines 15 to 21) </v>
          </cell>
          <cell r="M28"/>
          <cell r="N28">
            <v>426414</v>
          </cell>
          <cell r="O28"/>
          <cell r="P28"/>
          <cell r="Q28"/>
          <cell r="R28"/>
          <cell r="S28"/>
          <cell r="T28" t="e">
            <v>#REF!</v>
          </cell>
          <cell r="U28"/>
          <cell r="V28"/>
          <cell r="W28"/>
          <cell r="X28"/>
          <cell r="Y28">
            <v>4239146</v>
          </cell>
          <cell r="Z28"/>
          <cell r="AA28"/>
          <cell r="AB28"/>
          <cell r="AC28"/>
          <cell r="AD28"/>
          <cell r="AE28" t="e">
            <v>#REF!</v>
          </cell>
          <cell r="AF28"/>
          <cell r="AG28"/>
          <cell r="AH28"/>
          <cell r="AI28"/>
          <cell r="AJ28">
            <v>5.4</v>
          </cell>
          <cell r="AK28"/>
          <cell r="AL28" t="e">
            <v>#REF!</v>
          </cell>
          <cell r="AM28"/>
          <cell r="AN28"/>
          <cell r="AO28"/>
          <cell r="AP28"/>
          <cell r="AQ28">
            <v>140706</v>
          </cell>
          <cell r="AR28"/>
          <cell r="AS28"/>
          <cell r="AT28"/>
          <cell r="AU28"/>
          <cell r="AV28"/>
          <cell r="AW28"/>
          <cell r="AX28"/>
          <cell r="AY28"/>
          <cell r="AZ28"/>
          <cell r="BA28"/>
          <cell r="BB28" t="e">
            <v>#REF!</v>
          </cell>
          <cell r="BC28"/>
          <cell r="BD28"/>
          <cell r="BE28"/>
          <cell r="BF28"/>
          <cell r="BG28">
            <v>1606311</v>
          </cell>
          <cell r="BH28"/>
          <cell r="BI28"/>
          <cell r="BJ28"/>
          <cell r="BK28"/>
          <cell r="BL28"/>
          <cell r="BM28"/>
          <cell r="BN28"/>
          <cell r="BO28"/>
          <cell r="BP28"/>
          <cell r="BQ28"/>
          <cell r="BR28" t="e">
            <v>#REF!</v>
          </cell>
          <cell r="BS28"/>
          <cell r="BT28"/>
          <cell r="BU28"/>
          <cell r="BV28"/>
          <cell r="BW28">
            <v>134917</v>
          </cell>
          <cell r="BX28"/>
          <cell r="BY28"/>
          <cell r="BZ28"/>
          <cell r="CA28"/>
          <cell r="CB28"/>
          <cell r="CC28"/>
          <cell r="CD28"/>
          <cell r="CE28"/>
          <cell r="CF28"/>
          <cell r="CG28"/>
          <cell r="CH28"/>
          <cell r="CI28"/>
          <cell r="CJ28"/>
          <cell r="CK28"/>
          <cell r="CL28"/>
          <cell r="CM28" t="e">
            <v>#REF!</v>
          </cell>
          <cell r="CN28"/>
          <cell r="CO28"/>
          <cell r="CP28"/>
          <cell r="CQ28"/>
          <cell r="CR28">
            <v>1199869</v>
          </cell>
          <cell r="CS28"/>
          <cell r="CT28"/>
          <cell r="CU28"/>
          <cell r="CV28"/>
          <cell r="CW28"/>
          <cell r="CX28"/>
          <cell r="CY28"/>
          <cell r="CZ28"/>
          <cell r="DA28"/>
          <cell r="DB28"/>
          <cell r="DC28"/>
          <cell r="DD28"/>
          <cell r="DE28"/>
          <cell r="DF28"/>
          <cell r="DG28"/>
          <cell r="DH28"/>
          <cell r="DI28"/>
          <cell r="DJ28" t="e">
            <v>#REF!</v>
          </cell>
          <cell r="DK28"/>
          <cell r="DL28"/>
          <cell r="DM28"/>
          <cell r="DN28"/>
          <cell r="DO28" t="str">
            <v>22</v>
          </cell>
          <cell r="DP28"/>
        </row>
        <row r="29">
          <cell r="B29" t="str">
            <v>23</v>
          </cell>
          <cell r="C29"/>
          <cell r="D29" t="str">
            <v>Company Vehicle</v>
          </cell>
          <cell r="E29"/>
          <cell r="F29"/>
          <cell r="G29"/>
          <cell r="H29"/>
          <cell r="I29"/>
          <cell r="J29"/>
          <cell r="K29"/>
          <cell r="L29"/>
          <cell r="M29" t="str">
            <v>0310</v>
          </cell>
          <cell r="N29">
            <v>1675</v>
          </cell>
          <cell r="O29"/>
          <cell r="P29"/>
          <cell r="Q29"/>
          <cell r="R29"/>
          <cell r="S29"/>
          <cell r="T29" t="e">
            <v>#REF!</v>
          </cell>
          <cell r="U29"/>
          <cell r="V29"/>
          <cell r="W29"/>
          <cell r="X29"/>
          <cell r="Y29">
            <v>13958</v>
          </cell>
          <cell r="Z29"/>
          <cell r="AA29"/>
          <cell r="AB29"/>
          <cell r="AC29"/>
          <cell r="AD29"/>
          <cell r="AE29" t="e">
            <v>#REF!</v>
          </cell>
          <cell r="AF29"/>
          <cell r="AG29"/>
          <cell r="AH29"/>
          <cell r="AI29"/>
          <cell r="AJ29">
            <v>0</v>
          </cell>
          <cell r="AK29"/>
          <cell r="AL29" t="e">
            <v>#REF!</v>
          </cell>
          <cell r="AM29"/>
          <cell r="AN29"/>
          <cell r="AO29"/>
          <cell r="AP29"/>
          <cell r="AQ29">
            <v>330</v>
          </cell>
          <cell r="AR29"/>
          <cell r="AS29"/>
          <cell r="AT29"/>
          <cell r="AU29"/>
          <cell r="AV29"/>
          <cell r="AW29"/>
          <cell r="AX29"/>
          <cell r="AY29"/>
          <cell r="AZ29"/>
          <cell r="BA29"/>
          <cell r="BB29" t="e">
            <v>#REF!</v>
          </cell>
          <cell r="BC29"/>
          <cell r="BD29"/>
          <cell r="BE29"/>
          <cell r="BF29"/>
          <cell r="BG29">
            <v>5661</v>
          </cell>
          <cell r="BH29"/>
          <cell r="BI29"/>
          <cell r="BJ29"/>
          <cell r="BK29"/>
          <cell r="BL29"/>
          <cell r="BM29"/>
          <cell r="BN29"/>
          <cell r="BO29"/>
          <cell r="BP29"/>
          <cell r="BQ29"/>
          <cell r="BR29" t="e">
            <v>#REF!</v>
          </cell>
          <cell r="BS29"/>
          <cell r="BT29"/>
          <cell r="BU29"/>
          <cell r="BV29"/>
          <cell r="BW29">
            <v>200</v>
          </cell>
          <cell r="BX29"/>
          <cell r="BY29"/>
          <cell r="BZ29"/>
          <cell r="CA29"/>
          <cell r="CB29"/>
          <cell r="CC29"/>
          <cell r="CD29"/>
          <cell r="CE29"/>
          <cell r="CF29"/>
          <cell r="CG29"/>
          <cell r="CH29"/>
          <cell r="CI29"/>
          <cell r="CJ29"/>
          <cell r="CK29"/>
          <cell r="CL29"/>
          <cell r="CM29" t="e">
            <v>#REF!</v>
          </cell>
          <cell r="CN29"/>
          <cell r="CO29"/>
          <cell r="CP29"/>
          <cell r="CQ29"/>
          <cell r="CR29">
            <v>298</v>
          </cell>
          <cell r="CS29"/>
          <cell r="CT29"/>
          <cell r="CU29"/>
          <cell r="CV29"/>
          <cell r="CW29"/>
          <cell r="CX29"/>
          <cell r="CY29"/>
          <cell r="CZ29"/>
          <cell r="DA29"/>
          <cell r="DB29"/>
          <cell r="DC29"/>
          <cell r="DD29"/>
          <cell r="DE29"/>
          <cell r="DF29"/>
          <cell r="DG29"/>
          <cell r="DH29"/>
          <cell r="DI29"/>
          <cell r="DJ29" t="e">
            <v>#REF!</v>
          </cell>
          <cell r="DK29"/>
          <cell r="DL29"/>
          <cell r="DM29"/>
          <cell r="DN29"/>
          <cell r="DO29" t="str">
            <v>23</v>
          </cell>
          <cell r="DP29"/>
        </row>
        <row r="30">
          <cell r="B30" t="str">
            <v>24</v>
          </cell>
          <cell r="C30"/>
          <cell r="D30" t="str">
            <v>Small Tools</v>
          </cell>
          <cell r="E30"/>
          <cell r="F30"/>
          <cell r="G30"/>
          <cell r="H30"/>
          <cell r="I30"/>
          <cell r="J30"/>
          <cell r="K30"/>
          <cell r="L30"/>
          <cell r="M30" t="str">
            <v>0320</v>
          </cell>
          <cell r="N30">
            <v>120</v>
          </cell>
          <cell r="O30"/>
          <cell r="P30"/>
          <cell r="Q30"/>
          <cell r="R30"/>
          <cell r="S30"/>
          <cell r="T30" t="e">
            <v>#REF!</v>
          </cell>
          <cell r="U30"/>
          <cell r="V30"/>
          <cell r="W30"/>
          <cell r="X30"/>
          <cell r="Y30">
            <v>9932</v>
          </cell>
          <cell r="Z30"/>
          <cell r="AA30"/>
          <cell r="AB30"/>
          <cell r="AC30"/>
          <cell r="AD30"/>
          <cell r="AE30" t="e">
            <v>#REF!</v>
          </cell>
          <cell r="AF30"/>
          <cell r="AG30"/>
          <cell r="AH30"/>
          <cell r="AI30"/>
          <cell r="AJ30">
            <v>0</v>
          </cell>
          <cell r="AK30"/>
          <cell r="AL30" t="e">
            <v>#REF!</v>
          </cell>
          <cell r="AM30"/>
          <cell r="AN30"/>
          <cell r="AO30"/>
          <cell r="AP30"/>
          <cell r="AQ30"/>
          <cell r="AR30"/>
          <cell r="AS30"/>
          <cell r="AT30"/>
          <cell r="AU30"/>
          <cell r="AV30"/>
          <cell r="AW30"/>
          <cell r="AX30"/>
          <cell r="AY30"/>
          <cell r="AZ30"/>
          <cell r="BA30"/>
          <cell r="BB30"/>
          <cell r="BC30"/>
          <cell r="BD30"/>
          <cell r="BE30"/>
          <cell r="BF30"/>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cell r="CV30"/>
          <cell r="CW30"/>
          <cell r="CX30"/>
          <cell r="CY30"/>
          <cell r="CZ30"/>
          <cell r="DA30"/>
          <cell r="DB30"/>
          <cell r="DC30"/>
          <cell r="DD30"/>
          <cell r="DE30"/>
          <cell r="DF30"/>
          <cell r="DG30"/>
          <cell r="DH30"/>
          <cell r="DI30"/>
          <cell r="DJ30" t="e">
            <v>#REF!</v>
          </cell>
          <cell r="DK30"/>
          <cell r="DL30"/>
          <cell r="DM30"/>
          <cell r="DN30"/>
          <cell r="DO30" t="str">
            <v>24</v>
          </cell>
          <cell r="DP30"/>
        </row>
        <row r="31">
          <cell r="B31" t="str">
            <v>25</v>
          </cell>
          <cell r="C31"/>
          <cell r="D31" t="str">
            <v>Freight &amp; Express</v>
          </cell>
          <cell r="E31"/>
          <cell r="F31"/>
          <cell r="G31"/>
          <cell r="H31"/>
          <cell r="I31"/>
          <cell r="J31"/>
          <cell r="K31"/>
          <cell r="L31"/>
          <cell r="M31" t="str">
            <v>0340</v>
          </cell>
          <cell r="N31">
            <v>1006</v>
          </cell>
          <cell r="O31"/>
          <cell r="P31"/>
          <cell r="Q31"/>
          <cell r="R31"/>
          <cell r="S31"/>
          <cell r="T31" t="e">
            <v>#REF!</v>
          </cell>
          <cell r="U31"/>
          <cell r="V31"/>
          <cell r="W31"/>
          <cell r="X31"/>
          <cell r="Y31">
            <v>6679</v>
          </cell>
          <cell r="Z31"/>
          <cell r="AA31"/>
          <cell r="AB31"/>
          <cell r="AC31"/>
          <cell r="AD31"/>
          <cell r="AE31" t="e">
            <v>#REF!</v>
          </cell>
          <cell r="AF31"/>
          <cell r="AG31"/>
          <cell r="AH31"/>
          <cell r="AI31"/>
          <cell r="AJ31">
            <v>0</v>
          </cell>
          <cell r="AK31"/>
          <cell r="AL31" t="e">
            <v>#REF!</v>
          </cell>
          <cell r="AM31"/>
          <cell r="AN31"/>
          <cell r="AO31"/>
          <cell r="AP31"/>
          <cell r="AQ31"/>
          <cell r="AR31"/>
          <cell r="AS31"/>
          <cell r="AT31"/>
          <cell r="AU31"/>
          <cell r="AV31"/>
          <cell r="AW31"/>
          <cell r="AX31"/>
          <cell r="AY31"/>
          <cell r="AZ31"/>
          <cell r="BA31"/>
          <cell r="BB31"/>
          <cell r="BC31"/>
          <cell r="BD31"/>
          <cell r="BE31"/>
          <cell r="BF31"/>
          <cell r="BG31"/>
          <cell r="BH31"/>
          <cell r="BI31"/>
          <cell r="BJ31"/>
          <cell r="BK31"/>
          <cell r="BL31"/>
          <cell r="BM31"/>
          <cell r="BN31"/>
          <cell r="BO31"/>
          <cell r="BP31"/>
          <cell r="BQ31"/>
          <cell r="BR31"/>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cell r="DG31"/>
          <cell r="DH31"/>
          <cell r="DI31"/>
          <cell r="DJ31" t="e">
            <v>#REF!</v>
          </cell>
          <cell r="DK31"/>
          <cell r="DL31"/>
          <cell r="DM31"/>
          <cell r="DN31"/>
          <cell r="DO31" t="str">
            <v>25</v>
          </cell>
          <cell r="DP31"/>
        </row>
        <row r="32">
          <cell r="B32" t="str">
            <v>26</v>
          </cell>
          <cell r="C32"/>
          <cell r="D32" t="str">
            <v>Institutional Advertising</v>
          </cell>
          <cell r="E32"/>
          <cell r="F32"/>
          <cell r="G32"/>
          <cell r="H32"/>
          <cell r="I32"/>
          <cell r="J32"/>
          <cell r="K32"/>
          <cell r="L32"/>
          <cell r="M32" t="str">
            <v>0350</v>
          </cell>
          <cell r="N32">
            <v>10738</v>
          </cell>
          <cell r="O32"/>
          <cell r="P32"/>
          <cell r="Q32"/>
          <cell r="R32"/>
          <cell r="S32"/>
          <cell r="T32" t="e">
            <v>#REF!</v>
          </cell>
          <cell r="U32"/>
          <cell r="V32"/>
          <cell r="W32"/>
          <cell r="X32"/>
          <cell r="Y32">
            <v>82342</v>
          </cell>
          <cell r="Z32"/>
          <cell r="AA32"/>
          <cell r="AB32"/>
          <cell r="AC32"/>
          <cell r="AD32"/>
          <cell r="AE32" t="e">
            <v>#REF!</v>
          </cell>
          <cell r="AF32"/>
          <cell r="AG32"/>
          <cell r="AH32"/>
          <cell r="AI32"/>
          <cell r="AJ32">
            <v>0.1</v>
          </cell>
          <cell r="AK32"/>
          <cell r="AL32" t="e">
            <v>#REF!</v>
          </cell>
          <cell r="AM32"/>
          <cell r="AN32"/>
          <cell r="AO32"/>
          <cell r="AP32"/>
          <cell r="AQ32">
            <v>1224</v>
          </cell>
          <cell r="AR32"/>
          <cell r="AS32"/>
          <cell r="AT32"/>
          <cell r="AU32"/>
          <cell r="AV32"/>
          <cell r="AW32"/>
          <cell r="AX32"/>
          <cell r="AY32"/>
          <cell r="AZ32"/>
          <cell r="BA32"/>
          <cell r="BB32" t="e">
            <v>#REF!</v>
          </cell>
          <cell r="BC32"/>
          <cell r="BD32"/>
          <cell r="BE32"/>
          <cell r="BF32"/>
          <cell r="BG32">
            <v>1224</v>
          </cell>
          <cell r="BH32"/>
          <cell r="BI32"/>
          <cell r="BJ32"/>
          <cell r="BK32"/>
          <cell r="BL32"/>
          <cell r="BM32"/>
          <cell r="BN32"/>
          <cell r="BO32"/>
          <cell r="BP32"/>
          <cell r="BQ32"/>
          <cell r="BR32" t="e">
            <v>#REF!</v>
          </cell>
          <cell r="BS32"/>
          <cell r="BT32"/>
          <cell r="BU32"/>
          <cell r="BV32"/>
          <cell r="BW32">
            <v>742</v>
          </cell>
          <cell r="BX32"/>
          <cell r="BY32"/>
          <cell r="BZ32"/>
          <cell r="CA32"/>
          <cell r="CB32"/>
          <cell r="CC32"/>
          <cell r="CD32"/>
          <cell r="CE32"/>
          <cell r="CF32"/>
          <cell r="CG32"/>
          <cell r="CH32"/>
          <cell r="CI32"/>
          <cell r="CJ32"/>
          <cell r="CK32"/>
          <cell r="CL32"/>
          <cell r="CM32" t="e">
            <v>#REF!</v>
          </cell>
          <cell r="CN32"/>
          <cell r="CO32"/>
          <cell r="CP32"/>
          <cell r="CQ32"/>
          <cell r="CR32">
            <v>1513</v>
          </cell>
          <cell r="CS32"/>
          <cell r="CT32"/>
          <cell r="CU32"/>
          <cell r="CV32"/>
          <cell r="CW32"/>
          <cell r="CX32"/>
          <cell r="CY32"/>
          <cell r="CZ32"/>
          <cell r="DA32"/>
          <cell r="DB32"/>
          <cell r="DC32"/>
          <cell r="DD32"/>
          <cell r="DE32"/>
          <cell r="DF32"/>
          <cell r="DG32"/>
          <cell r="DH32"/>
          <cell r="DI32"/>
          <cell r="DJ32" t="e">
            <v>#REF!</v>
          </cell>
          <cell r="DK32"/>
          <cell r="DL32"/>
          <cell r="DM32"/>
          <cell r="DN32"/>
          <cell r="DO32" t="str">
            <v>26</v>
          </cell>
          <cell r="DP32"/>
        </row>
        <row r="33">
          <cell r="B33" t="str">
            <v>27</v>
          </cell>
          <cell r="C33"/>
          <cell r="D33" t="str">
            <v>Stationery &amp; Office Supplies</v>
          </cell>
          <cell r="E33"/>
          <cell r="F33"/>
          <cell r="G33"/>
          <cell r="H33"/>
          <cell r="I33"/>
          <cell r="J33"/>
          <cell r="K33"/>
          <cell r="L33"/>
          <cell r="M33" t="str">
            <v>0360</v>
          </cell>
          <cell r="N33">
            <v>9941</v>
          </cell>
          <cell r="O33"/>
          <cell r="P33"/>
          <cell r="Q33"/>
          <cell r="R33"/>
          <cell r="S33"/>
          <cell r="T33" t="e">
            <v>#REF!</v>
          </cell>
          <cell r="U33"/>
          <cell r="V33"/>
          <cell r="W33"/>
          <cell r="X33"/>
          <cell r="Y33">
            <v>93562</v>
          </cell>
          <cell r="Z33"/>
          <cell r="AA33"/>
          <cell r="AB33"/>
          <cell r="AC33"/>
          <cell r="AD33"/>
          <cell r="AE33" t="e">
            <v>#REF!</v>
          </cell>
          <cell r="AF33"/>
          <cell r="AG33"/>
          <cell r="AH33"/>
          <cell r="AI33"/>
          <cell r="AJ33">
            <v>0.1</v>
          </cell>
          <cell r="AK33"/>
          <cell r="AL33" t="e">
            <v>#REF!</v>
          </cell>
          <cell r="AM33"/>
          <cell r="AN33"/>
          <cell r="AO33"/>
          <cell r="AP33"/>
          <cell r="AQ33">
            <v>2539</v>
          </cell>
          <cell r="AR33"/>
          <cell r="AS33"/>
          <cell r="AT33"/>
          <cell r="AU33"/>
          <cell r="AV33"/>
          <cell r="AW33"/>
          <cell r="AX33"/>
          <cell r="AY33"/>
          <cell r="AZ33"/>
          <cell r="BA33"/>
          <cell r="BB33" t="e">
            <v>#REF!</v>
          </cell>
          <cell r="BC33"/>
          <cell r="BD33"/>
          <cell r="BE33"/>
          <cell r="BF33"/>
          <cell r="BG33">
            <v>24939</v>
          </cell>
          <cell r="BH33"/>
          <cell r="BI33"/>
          <cell r="BJ33"/>
          <cell r="BK33"/>
          <cell r="BL33"/>
          <cell r="BM33"/>
          <cell r="BN33"/>
          <cell r="BO33"/>
          <cell r="BP33"/>
          <cell r="BQ33"/>
          <cell r="BR33" t="e">
            <v>#REF!</v>
          </cell>
          <cell r="BS33"/>
          <cell r="BT33"/>
          <cell r="BU33"/>
          <cell r="BV33"/>
          <cell r="BW33">
            <v>2449</v>
          </cell>
          <cell r="BX33"/>
          <cell r="BY33"/>
          <cell r="BZ33"/>
          <cell r="CA33"/>
          <cell r="CB33"/>
          <cell r="CC33"/>
          <cell r="CD33"/>
          <cell r="CE33"/>
          <cell r="CF33"/>
          <cell r="CG33"/>
          <cell r="CH33"/>
          <cell r="CI33"/>
          <cell r="CJ33"/>
          <cell r="CK33"/>
          <cell r="CL33"/>
          <cell r="CM33" t="e">
            <v>#REF!</v>
          </cell>
          <cell r="CN33"/>
          <cell r="CO33"/>
          <cell r="CP33"/>
          <cell r="CQ33"/>
          <cell r="CR33">
            <v>29657</v>
          </cell>
          <cell r="CS33"/>
          <cell r="CT33"/>
          <cell r="CU33"/>
          <cell r="CV33"/>
          <cell r="CW33"/>
          <cell r="CX33"/>
          <cell r="CY33"/>
          <cell r="CZ33"/>
          <cell r="DA33"/>
          <cell r="DB33"/>
          <cell r="DC33"/>
          <cell r="DD33"/>
          <cell r="DE33"/>
          <cell r="DF33"/>
          <cell r="DG33"/>
          <cell r="DH33"/>
          <cell r="DI33"/>
          <cell r="DJ33" t="e">
            <v>#REF!</v>
          </cell>
          <cell r="DK33"/>
          <cell r="DL33"/>
          <cell r="DM33"/>
          <cell r="DN33"/>
          <cell r="DO33" t="str">
            <v>27</v>
          </cell>
          <cell r="DP33"/>
        </row>
        <row r="34">
          <cell r="B34" t="str">
            <v>28</v>
          </cell>
          <cell r="C34"/>
          <cell r="D34" t="str">
            <v>Supplies &amp; Laundry</v>
          </cell>
          <cell r="E34"/>
          <cell r="F34"/>
          <cell r="G34"/>
          <cell r="H34"/>
          <cell r="I34"/>
          <cell r="J34"/>
          <cell r="K34"/>
          <cell r="L34"/>
          <cell r="M34" t="str">
            <v>0370</v>
          </cell>
          <cell r="N34">
            <v>18987</v>
          </cell>
          <cell r="O34"/>
          <cell r="P34"/>
          <cell r="Q34"/>
          <cell r="R34"/>
          <cell r="S34"/>
          <cell r="T34" t="e">
            <v>#REF!</v>
          </cell>
          <cell r="U34"/>
          <cell r="V34"/>
          <cell r="W34"/>
          <cell r="X34"/>
          <cell r="Y34">
            <v>223353</v>
          </cell>
          <cell r="Z34"/>
          <cell r="AA34"/>
          <cell r="AB34"/>
          <cell r="AC34"/>
          <cell r="AD34"/>
          <cell r="AE34" t="e">
            <v>#REF!</v>
          </cell>
          <cell r="AF34"/>
          <cell r="AG34"/>
          <cell r="AH34"/>
          <cell r="AI34"/>
          <cell r="AJ34">
            <v>0.3</v>
          </cell>
          <cell r="AK34"/>
          <cell r="AL34" t="e">
            <v>#REF!</v>
          </cell>
          <cell r="AM34"/>
          <cell r="AN34"/>
          <cell r="AO34"/>
          <cell r="AP34"/>
          <cell r="AQ34">
            <v>647</v>
          </cell>
          <cell r="AR34"/>
          <cell r="AS34"/>
          <cell r="AT34"/>
          <cell r="AU34"/>
          <cell r="AV34"/>
          <cell r="AW34"/>
          <cell r="AX34"/>
          <cell r="AY34"/>
          <cell r="AZ34"/>
          <cell r="BA34"/>
          <cell r="BB34" t="e">
            <v>#REF!</v>
          </cell>
          <cell r="BC34"/>
          <cell r="BD34"/>
          <cell r="BE34"/>
          <cell r="BF34"/>
          <cell r="BG34">
            <v>31135</v>
          </cell>
          <cell r="BH34"/>
          <cell r="BI34"/>
          <cell r="BJ34"/>
          <cell r="BK34"/>
          <cell r="BL34"/>
          <cell r="BM34"/>
          <cell r="BN34"/>
          <cell r="BO34"/>
          <cell r="BP34"/>
          <cell r="BQ34"/>
          <cell r="BR34" t="e">
            <v>#REF!</v>
          </cell>
          <cell r="BS34"/>
          <cell r="BT34"/>
          <cell r="BU34"/>
          <cell r="BV34"/>
          <cell r="BW34">
            <v>408</v>
          </cell>
          <cell r="BX34"/>
          <cell r="BY34"/>
          <cell r="BZ34"/>
          <cell r="CA34"/>
          <cell r="CB34"/>
          <cell r="CC34"/>
          <cell r="CD34"/>
          <cell r="CE34"/>
          <cell r="CF34"/>
          <cell r="CG34"/>
          <cell r="CH34"/>
          <cell r="CI34"/>
          <cell r="CJ34"/>
          <cell r="CK34"/>
          <cell r="CL34"/>
          <cell r="CM34" t="e">
            <v>#REF!</v>
          </cell>
          <cell r="CN34"/>
          <cell r="CO34"/>
          <cell r="CP34"/>
          <cell r="CQ34"/>
          <cell r="CR34">
            <v>25990</v>
          </cell>
          <cell r="CS34"/>
          <cell r="CT34"/>
          <cell r="CU34"/>
          <cell r="CV34"/>
          <cell r="CW34"/>
          <cell r="CX34"/>
          <cell r="CY34"/>
          <cell r="CZ34"/>
          <cell r="DA34"/>
          <cell r="DB34"/>
          <cell r="DC34"/>
          <cell r="DD34"/>
          <cell r="DE34"/>
          <cell r="DF34"/>
          <cell r="DG34"/>
          <cell r="DH34"/>
          <cell r="DI34"/>
          <cell r="DJ34" t="e">
            <v>#REF!</v>
          </cell>
          <cell r="DK34"/>
          <cell r="DL34"/>
          <cell r="DM34"/>
          <cell r="DN34"/>
          <cell r="DO34" t="str">
            <v>28</v>
          </cell>
          <cell r="DP34"/>
        </row>
        <row r="35">
          <cell r="B35" t="str">
            <v>29</v>
          </cell>
          <cell r="C35"/>
          <cell r="D35" t="str">
            <v>Outside Services</v>
          </cell>
          <cell r="E35"/>
          <cell r="F35"/>
          <cell r="G35"/>
          <cell r="H35"/>
          <cell r="I35"/>
          <cell r="J35"/>
          <cell r="K35"/>
          <cell r="L35"/>
          <cell r="M35" t="str">
            <v>0380</v>
          </cell>
          <cell r="N35">
            <v>32316</v>
          </cell>
          <cell r="O35"/>
          <cell r="P35"/>
          <cell r="Q35"/>
          <cell r="R35"/>
          <cell r="S35"/>
          <cell r="T35" t="e">
            <v>#REF!</v>
          </cell>
          <cell r="U35"/>
          <cell r="V35"/>
          <cell r="W35"/>
          <cell r="X35"/>
          <cell r="Y35">
            <v>340095</v>
          </cell>
          <cell r="Z35"/>
          <cell r="AA35"/>
          <cell r="AB35"/>
          <cell r="AC35"/>
          <cell r="AD35"/>
          <cell r="AE35" t="e">
            <v>#REF!</v>
          </cell>
          <cell r="AF35"/>
          <cell r="AG35"/>
          <cell r="AH35"/>
          <cell r="AI35"/>
          <cell r="AJ35">
            <v>0.4</v>
          </cell>
          <cell r="AK35"/>
          <cell r="AL35" t="e">
            <v>#REF!</v>
          </cell>
          <cell r="AM35"/>
          <cell r="AN35"/>
          <cell r="AO35"/>
          <cell r="AP35"/>
          <cell r="AQ35">
            <v>11120</v>
          </cell>
          <cell r="AR35"/>
          <cell r="AS35"/>
          <cell r="AT35"/>
          <cell r="AU35"/>
          <cell r="AV35"/>
          <cell r="AW35"/>
          <cell r="AX35"/>
          <cell r="AY35"/>
          <cell r="AZ35"/>
          <cell r="BA35"/>
          <cell r="BB35" t="e">
            <v>#REF!</v>
          </cell>
          <cell r="BC35"/>
          <cell r="BD35"/>
          <cell r="BE35"/>
          <cell r="BF35"/>
          <cell r="BG35">
            <v>135031</v>
          </cell>
          <cell r="BH35"/>
          <cell r="BI35"/>
          <cell r="BJ35"/>
          <cell r="BK35"/>
          <cell r="BL35"/>
          <cell r="BM35"/>
          <cell r="BN35"/>
          <cell r="BO35"/>
          <cell r="BP35"/>
          <cell r="BQ35"/>
          <cell r="BR35" t="e">
            <v>#REF!</v>
          </cell>
          <cell r="BS35"/>
          <cell r="BT35"/>
          <cell r="BU35"/>
          <cell r="BV35"/>
          <cell r="BW35">
            <v>13062</v>
          </cell>
          <cell r="BX35"/>
          <cell r="BY35"/>
          <cell r="BZ35"/>
          <cell r="CA35"/>
          <cell r="CB35"/>
          <cell r="CC35"/>
          <cell r="CD35"/>
          <cell r="CE35"/>
          <cell r="CF35"/>
          <cell r="CG35"/>
          <cell r="CH35"/>
          <cell r="CI35"/>
          <cell r="CJ35"/>
          <cell r="CK35"/>
          <cell r="CL35"/>
          <cell r="CM35" t="e">
            <v>#REF!</v>
          </cell>
          <cell r="CN35"/>
          <cell r="CO35"/>
          <cell r="CP35"/>
          <cell r="CQ35"/>
          <cell r="CR35">
            <v>178531</v>
          </cell>
          <cell r="CS35"/>
          <cell r="CT35"/>
          <cell r="CU35"/>
          <cell r="CV35"/>
          <cell r="CW35"/>
          <cell r="CX35"/>
          <cell r="CY35"/>
          <cell r="CZ35"/>
          <cell r="DA35"/>
          <cell r="DB35"/>
          <cell r="DC35"/>
          <cell r="DD35"/>
          <cell r="DE35"/>
          <cell r="DF35"/>
          <cell r="DG35"/>
          <cell r="DH35"/>
          <cell r="DI35"/>
          <cell r="DJ35" t="e">
            <v>#REF!</v>
          </cell>
          <cell r="DK35"/>
          <cell r="DL35"/>
          <cell r="DM35"/>
          <cell r="DN35"/>
          <cell r="DO35" t="str">
            <v>29</v>
          </cell>
          <cell r="DP35"/>
        </row>
        <row r="36">
          <cell r="B36" t="str">
            <v>30</v>
          </cell>
          <cell r="C36"/>
          <cell r="D36" t="str">
            <v>Travel &amp; Entertainment</v>
          </cell>
          <cell r="E36"/>
          <cell r="F36"/>
          <cell r="G36"/>
          <cell r="H36"/>
          <cell r="I36"/>
          <cell r="J36"/>
          <cell r="K36"/>
          <cell r="L36"/>
          <cell r="M36" t="str">
            <v>0390</v>
          </cell>
          <cell r="N36">
            <v>11353</v>
          </cell>
          <cell r="O36"/>
          <cell r="P36"/>
          <cell r="Q36"/>
          <cell r="R36"/>
          <cell r="S36"/>
          <cell r="T36" t="e">
            <v>#REF!</v>
          </cell>
          <cell r="U36"/>
          <cell r="V36"/>
          <cell r="W36"/>
          <cell r="X36"/>
          <cell r="Y36">
            <v>69301</v>
          </cell>
          <cell r="Z36"/>
          <cell r="AA36"/>
          <cell r="AB36"/>
          <cell r="AC36"/>
          <cell r="AD36"/>
          <cell r="AE36" t="e">
            <v>#REF!</v>
          </cell>
          <cell r="AF36"/>
          <cell r="AG36"/>
          <cell r="AH36"/>
          <cell r="AI36"/>
          <cell r="AJ36">
            <v>0.1</v>
          </cell>
          <cell r="AK36"/>
          <cell r="AL36" t="e">
            <v>#REF!</v>
          </cell>
          <cell r="AM36"/>
          <cell r="AN36"/>
          <cell r="AO36"/>
          <cell r="AP36"/>
          <cell r="AQ36">
            <v>3593</v>
          </cell>
          <cell r="AR36"/>
          <cell r="AS36"/>
          <cell r="AT36"/>
          <cell r="AU36"/>
          <cell r="AV36"/>
          <cell r="AW36"/>
          <cell r="AX36"/>
          <cell r="AY36"/>
          <cell r="AZ36"/>
          <cell r="BA36"/>
          <cell r="BB36" t="e">
            <v>#REF!</v>
          </cell>
          <cell r="BC36"/>
          <cell r="BD36"/>
          <cell r="BE36"/>
          <cell r="BF36"/>
          <cell r="BG36">
            <v>18171</v>
          </cell>
          <cell r="BH36"/>
          <cell r="BI36"/>
          <cell r="BJ36"/>
          <cell r="BK36"/>
          <cell r="BL36"/>
          <cell r="BM36"/>
          <cell r="BN36"/>
          <cell r="BO36"/>
          <cell r="BP36"/>
          <cell r="BQ36"/>
          <cell r="BR36" t="e">
            <v>#REF!</v>
          </cell>
          <cell r="BS36"/>
          <cell r="BT36"/>
          <cell r="BU36"/>
          <cell r="BV36"/>
          <cell r="BW36">
            <v>2544</v>
          </cell>
          <cell r="BX36"/>
          <cell r="BY36"/>
          <cell r="BZ36"/>
          <cell r="CA36"/>
          <cell r="CB36"/>
          <cell r="CC36"/>
          <cell r="CD36"/>
          <cell r="CE36"/>
          <cell r="CF36"/>
          <cell r="CG36"/>
          <cell r="CH36"/>
          <cell r="CI36"/>
          <cell r="CJ36"/>
          <cell r="CK36"/>
          <cell r="CL36"/>
          <cell r="CM36" t="e">
            <v>#REF!</v>
          </cell>
          <cell r="CN36"/>
          <cell r="CO36"/>
          <cell r="CP36"/>
          <cell r="CQ36"/>
          <cell r="CR36">
            <v>23432</v>
          </cell>
          <cell r="CS36"/>
          <cell r="CT36"/>
          <cell r="CU36"/>
          <cell r="CV36"/>
          <cell r="CW36"/>
          <cell r="CX36"/>
          <cell r="CY36"/>
          <cell r="CZ36"/>
          <cell r="DA36"/>
          <cell r="DB36"/>
          <cell r="DC36"/>
          <cell r="DD36"/>
          <cell r="DE36"/>
          <cell r="DF36"/>
          <cell r="DG36"/>
          <cell r="DH36"/>
          <cell r="DI36"/>
          <cell r="DJ36" t="e">
            <v>#REF!</v>
          </cell>
          <cell r="DK36"/>
          <cell r="DL36"/>
          <cell r="DM36"/>
          <cell r="DN36"/>
          <cell r="DO36" t="str">
            <v>30</v>
          </cell>
          <cell r="DP36"/>
        </row>
        <row r="37">
          <cell r="B37" t="str">
            <v>31</v>
          </cell>
          <cell r="C37"/>
          <cell r="D37" t="str">
            <v>Legal &amp; Auditing</v>
          </cell>
          <cell r="E37"/>
          <cell r="F37"/>
          <cell r="G37"/>
          <cell r="H37"/>
          <cell r="I37"/>
          <cell r="J37"/>
          <cell r="K37"/>
          <cell r="L37"/>
          <cell r="M37" t="str">
            <v>0400</v>
          </cell>
          <cell r="N37">
            <v>0</v>
          </cell>
          <cell r="O37"/>
          <cell r="P37"/>
          <cell r="Q37"/>
          <cell r="R37"/>
          <cell r="S37"/>
          <cell r="T37" t="e">
            <v>#REF!</v>
          </cell>
          <cell r="U37"/>
          <cell r="V37"/>
          <cell r="W37"/>
          <cell r="X37"/>
          <cell r="Y37">
            <v>70645</v>
          </cell>
          <cell r="Z37"/>
          <cell r="AA37"/>
          <cell r="AB37"/>
          <cell r="AC37"/>
          <cell r="AD37"/>
          <cell r="AE37" t="e">
            <v>#REF!</v>
          </cell>
          <cell r="AF37"/>
          <cell r="AG37"/>
          <cell r="AH37"/>
          <cell r="AI37"/>
          <cell r="AJ37">
            <v>0.1</v>
          </cell>
          <cell r="AK37"/>
          <cell r="AL37" t="e">
            <v>#REF!</v>
          </cell>
          <cell r="AM37"/>
          <cell r="AN37"/>
          <cell r="AO37"/>
          <cell r="AP37"/>
          <cell r="AQ37">
            <v>0</v>
          </cell>
          <cell r="AR37"/>
          <cell r="AS37"/>
          <cell r="AT37"/>
          <cell r="AU37"/>
          <cell r="AV37"/>
          <cell r="AW37"/>
          <cell r="AX37"/>
          <cell r="AY37"/>
          <cell r="AZ37"/>
          <cell r="BA37"/>
          <cell r="BB37" t="e">
            <v>#REF!</v>
          </cell>
          <cell r="BC37"/>
          <cell r="BD37"/>
          <cell r="BE37"/>
          <cell r="BF37"/>
          <cell r="BG37">
            <v>17661</v>
          </cell>
          <cell r="BH37"/>
          <cell r="BI37"/>
          <cell r="BJ37"/>
          <cell r="BK37"/>
          <cell r="BL37"/>
          <cell r="BM37"/>
          <cell r="BN37"/>
          <cell r="BO37"/>
          <cell r="BP37"/>
          <cell r="BQ37"/>
          <cell r="BR37" t="e">
            <v>#REF!</v>
          </cell>
          <cell r="BS37"/>
          <cell r="BT37"/>
          <cell r="BU37"/>
          <cell r="BV37"/>
          <cell r="BW37">
            <v>0</v>
          </cell>
          <cell r="BX37"/>
          <cell r="BY37"/>
          <cell r="BZ37"/>
          <cell r="CA37"/>
          <cell r="CB37"/>
          <cell r="CC37"/>
          <cell r="CD37"/>
          <cell r="CE37"/>
          <cell r="CF37"/>
          <cell r="CG37"/>
          <cell r="CH37"/>
          <cell r="CI37"/>
          <cell r="CJ37"/>
          <cell r="CK37"/>
          <cell r="CL37"/>
          <cell r="CM37" t="e">
            <v>#REF!</v>
          </cell>
          <cell r="CN37"/>
          <cell r="CO37"/>
          <cell r="CP37"/>
          <cell r="CQ37"/>
          <cell r="CR37">
            <v>26139</v>
          </cell>
          <cell r="CS37"/>
          <cell r="CT37"/>
          <cell r="CU37"/>
          <cell r="CV37"/>
          <cell r="CW37"/>
          <cell r="CX37"/>
          <cell r="CY37"/>
          <cell r="CZ37"/>
          <cell r="DA37"/>
          <cell r="DB37"/>
          <cell r="DC37"/>
          <cell r="DD37"/>
          <cell r="DE37"/>
          <cell r="DF37"/>
          <cell r="DG37"/>
          <cell r="DH37"/>
          <cell r="DI37"/>
          <cell r="DJ37" t="e">
            <v>#REF!</v>
          </cell>
          <cell r="DK37"/>
          <cell r="DL37"/>
          <cell r="DM37"/>
          <cell r="DN37"/>
          <cell r="DO37" t="str">
            <v>31</v>
          </cell>
          <cell r="DP37"/>
        </row>
        <row r="38">
          <cell r="B38" t="str">
            <v>32</v>
          </cell>
          <cell r="C38"/>
          <cell r="D38" t="str">
            <v>Communication, Telephone, Internet &amp; Data Processing</v>
          </cell>
          <cell r="E38"/>
          <cell r="F38"/>
          <cell r="G38"/>
          <cell r="H38"/>
          <cell r="I38"/>
          <cell r="J38"/>
          <cell r="K38"/>
          <cell r="L38"/>
          <cell r="M38" t="str">
            <v>0410</v>
          </cell>
          <cell r="N38">
            <v>32817</v>
          </cell>
          <cell r="O38"/>
          <cell r="P38"/>
          <cell r="Q38"/>
          <cell r="R38"/>
          <cell r="S38"/>
          <cell r="T38" t="e">
            <v>#REF!</v>
          </cell>
          <cell r="U38"/>
          <cell r="V38"/>
          <cell r="W38"/>
          <cell r="X38"/>
          <cell r="Y38">
            <v>336419</v>
          </cell>
          <cell r="Z38"/>
          <cell r="AA38"/>
          <cell r="AB38"/>
          <cell r="AC38"/>
          <cell r="AD38"/>
          <cell r="AE38" t="e">
            <v>#REF!</v>
          </cell>
          <cell r="AF38"/>
          <cell r="AG38"/>
          <cell r="AH38"/>
          <cell r="AI38"/>
          <cell r="AJ38">
            <v>0.4</v>
          </cell>
          <cell r="AK38"/>
          <cell r="AL38" t="e">
            <v>#REF!</v>
          </cell>
          <cell r="AM38"/>
          <cell r="AN38"/>
          <cell r="AO38"/>
          <cell r="AP38"/>
          <cell r="AQ38">
            <v>8347</v>
          </cell>
          <cell r="AR38"/>
          <cell r="AS38"/>
          <cell r="AT38"/>
          <cell r="AU38"/>
          <cell r="AV38"/>
          <cell r="AW38"/>
          <cell r="AX38"/>
          <cell r="AY38"/>
          <cell r="AZ38"/>
          <cell r="BA38"/>
          <cell r="BB38" t="e">
            <v>#REF!</v>
          </cell>
          <cell r="BC38"/>
          <cell r="BD38"/>
          <cell r="BE38"/>
          <cell r="BF38"/>
          <cell r="BG38">
            <v>85695</v>
          </cell>
          <cell r="BH38"/>
          <cell r="BI38"/>
          <cell r="BJ38"/>
          <cell r="BK38"/>
          <cell r="BL38"/>
          <cell r="BM38"/>
          <cell r="BN38"/>
          <cell r="BO38"/>
          <cell r="BP38"/>
          <cell r="BQ38"/>
          <cell r="BR38" t="e">
            <v>#REF!</v>
          </cell>
          <cell r="BS38"/>
          <cell r="BT38"/>
          <cell r="BU38"/>
          <cell r="BV38"/>
          <cell r="BW38">
            <v>11868</v>
          </cell>
          <cell r="BX38"/>
          <cell r="BY38"/>
          <cell r="BZ38"/>
          <cell r="CA38"/>
          <cell r="CB38"/>
          <cell r="CC38"/>
          <cell r="CD38"/>
          <cell r="CE38"/>
          <cell r="CF38"/>
          <cell r="CG38"/>
          <cell r="CH38"/>
          <cell r="CI38"/>
          <cell r="CJ38"/>
          <cell r="CK38"/>
          <cell r="CL38"/>
          <cell r="CM38" t="e">
            <v>#REF!</v>
          </cell>
          <cell r="CN38"/>
          <cell r="CO38"/>
          <cell r="CP38"/>
          <cell r="CQ38"/>
          <cell r="CR38">
            <v>123083</v>
          </cell>
          <cell r="CS38"/>
          <cell r="CT38"/>
          <cell r="CU38"/>
          <cell r="CV38"/>
          <cell r="CW38"/>
          <cell r="CX38"/>
          <cell r="CY38"/>
          <cell r="CZ38"/>
          <cell r="DA38"/>
          <cell r="DB38"/>
          <cell r="DC38"/>
          <cell r="DD38"/>
          <cell r="DE38"/>
          <cell r="DF38"/>
          <cell r="DG38"/>
          <cell r="DH38"/>
          <cell r="DI38"/>
          <cell r="DJ38" t="e">
            <v>#REF!</v>
          </cell>
          <cell r="DK38"/>
          <cell r="DL38"/>
          <cell r="DM38"/>
          <cell r="DN38"/>
          <cell r="DO38" t="str">
            <v>32</v>
          </cell>
          <cell r="DP38"/>
        </row>
        <row r="39">
          <cell r="B39" t="str">
            <v>33</v>
          </cell>
          <cell r="C39"/>
          <cell r="D39" t="str">
            <v>Employee Training</v>
          </cell>
          <cell r="E39"/>
          <cell r="F39"/>
          <cell r="G39"/>
          <cell r="H39"/>
          <cell r="I39"/>
          <cell r="J39"/>
          <cell r="K39"/>
          <cell r="L39"/>
          <cell r="M39" t="str">
            <v>0420</v>
          </cell>
          <cell r="N39">
            <v>5500</v>
          </cell>
          <cell r="O39"/>
          <cell r="P39"/>
          <cell r="Q39"/>
          <cell r="R39"/>
          <cell r="S39"/>
          <cell r="T39" t="e">
            <v>#REF!</v>
          </cell>
          <cell r="U39"/>
          <cell r="V39"/>
          <cell r="W39"/>
          <cell r="X39"/>
          <cell r="Y39">
            <v>76645</v>
          </cell>
          <cell r="Z39"/>
          <cell r="AA39"/>
          <cell r="AB39"/>
          <cell r="AC39"/>
          <cell r="AD39"/>
          <cell r="AE39" t="e">
            <v>#REF!</v>
          </cell>
          <cell r="AF39"/>
          <cell r="AG39"/>
          <cell r="AH39"/>
          <cell r="AI39"/>
          <cell r="AJ39">
            <v>0.1</v>
          </cell>
          <cell r="AK39"/>
          <cell r="AL39" t="e">
            <v>#REF!</v>
          </cell>
          <cell r="AM39"/>
          <cell r="AN39"/>
          <cell r="AO39"/>
          <cell r="AP39"/>
          <cell r="AQ39">
            <v>1815</v>
          </cell>
          <cell r="AR39"/>
          <cell r="AS39"/>
          <cell r="AT39"/>
          <cell r="AU39"/>
          <cell r="AV39"/>
          <cell r="AW39"/>
          <cell r="AX39"/>
          <cell r="AY39"/>
          <cell r="AZ39"/>
          <cell r="BA39"/>
          <cell r="BB39" t="e">
            <v>#REF!</v>
          </cell>
          <cell r="BC39"/>
          <cell r="BD39"/>
          <cell r="BE39"/>
          <cell r="BF39"/>
          <cell r="BG39">
            <v>22970</v>
          </cell>
          <cell r="BH39"/>
          <cell r="BI39"/>
          <cell r="BJ39"/>
          <cell r="BK39"/>
          <cell r="BL39"/>
          <cell r="BM39"/>
          <cell r="BN39"/>
          <cell r="BO39"/>
          <cell r="BP39"/>
          <cell r="BQ39"/>
          <cell r="BR39" t="e">
            <v>#REF!</v>
          </cell>
          <cell r="BS39"/>
          <cell r="BT39"/>
          <cell r="BU39"/>
          <cell r="BV39"/>
          <cell r="BW39">
            <v>1100</v>
          </cell>
          <cell r="BX39"/>
          <cell r="BY39"/>
          <cell r="BZ39"/>
          <cell r="CA39"/>
          <cell r="CB39"/>
          <cell r="CC39"/>
          <cell r="CD39"/>
          <cell r="CE39"/>
          <cell r="CF39"/>
          <cell r="CG39"/>
          <cell r="CH39"/>
          <cell r="CI39"/>
          <cell r="CJ39"/>
          <cell r="CK39"/>
          <cell r="CL39"/>
          <cell r="CM39" t="e">
            <v>#REF!</v>
          </cell>
          <cell r="CN39"/>
          <cell r="CO39"/>
          <cell r="CP39"/>
          <cell r="CQ39"/>
          <cell r="CR39">
            <v>21601</v>
          </cell>
          <cell r="CS39"/>
          <cell r="CT39"/>
          <cell r="CU39"/>
          <cell r="CV39"/>
          <cell r="CW39"/>
          <cell r="CX39"/>
          <cell r="CY39"/>
          <cell r="CZ39"/>
          <cell r="DA39"/>
          <cell r="DB39"/>
          <cell r="DC39"/>
          <cell r="DD39"/>
          <cell r="DE39"/>
          <cell r="DF39"/>
          <cell r="DG39"/>
          <cell r="DH39"/>
          <cell r="DI39"/>
          <cell r="DJ39" t="e">
            <v>#REF!</v>
          </cell>
          <cell r="DK39"/>
          <cell r="DL39"/>
          <cell r="DM39"/>
          <cell r="DN39"/>
          <cell r="DO39" t="str">
            <v>33</v>
          </cell>
          <cell r="DP39"/>
        </row>
        <row r="40">
          <cell r="B40" t="str">
            <v>34</v>
          </cell>
          <cell r="C40"/>
          <cell r="D40" t="str">
            <v>Bad Debts</v>
          </cell>
          <cell r="E40"/>
          <cell r="F40"/>
          <cell r="G40"/>
          <cell r="H40"/>
          <cell r="I40"/>
          <cell r="J40"/>
          <cell r="K40"/>
          <cell r="L40"/>
          <cell r="M40" t="str">
            <v>0430</v>
          </cell>
          <cell r="N40">
            <v>0</v>
          </cell>
          <cell r="O40"/>
          <cell r="P40"/>
          <cell r="Q40"/>
          <cell r="R40"/>
          <cell r="S40"/>
          <cell r="T40" t="e">
            <v>#REF!</v>
          </cell>
          <cell r="U40"/>
          <cell r="V40"/>
          <cell r="W40"/>
          <cell r="X40"/>
          <cell r="Y40">
            <v>0</v>
          </cell>
          <cell r="Z40"/>
          <cell r="AA40"/>
          <cell r="AB40"/>
          <cell r="AC40"/>
          <cell r="AD40"/>
          <cell r="AE40" t="e">
            <v>#REF!</v>
          </cell>
          <cell r="AF40"/>
          <cell r="AG40"/>
          <cell r="AH40"/>
          <cell r="AI40"/>
          <cell r="AJ40">
            <v>0</v>
          </cell>
          <cell r="AK40"/>
          <cell r="AL40" t="e">
            <v>#REF!</v>
          </cell>
          <cell r="AM40"/>
          <cell r="AN40"/>
          <cell r="AO40"/>
          <cell r="AP40"/>
          <cell r="AQ40">
            <v>0</v>
          </cell>
          <cell r="AR40"/>
          <cell r="AS40"/>
          <cell r="AT40"/>
          <cell r="AU40"/>
          <cell r="AV40"/>
          <cell r="AW40"/>
          <cell r="AX40"/>
          <cell r="AY40"/>
          <cell r="AZ40"/>
          <cell r="BA40"/>
          <cell r="BB40" t="e">
            <v>#REF!</v>
          </cell>
          <cell r="BC40"/>
          <cell r="BD40"/>
          <cell r="BE40"/>
          <cell r="BF40"/>
          <cell r="BG40">
            <v>0</v>
          </cell>
          <cell r="BH40"/>
          <cell r="BI40"/>
          <cell r="BJ40"/>
          <cell r="BK40"/>
          <cell r="BL40"/>
          <cell r="BM40"/>
          <cell r="BN40"/>
          <cell r="BO40"/>
          <cell r="BP40"/>
          <cell r="BQ40"/>
          <cell r="BR40" t="e">
            <v>#REF!</v>
          </cell>
          <cell r="BS40"/>
          <cell r="BT40"/>
          <cell r="BU40"/>
          <cell r="BV40"/>
          <cell r="BW40">
            <v>0</v>
          </cell>
          <cell r="BX40"/>
          <cell r="BY40"/>
          <cell r="BZ40"/>
          <cell r="CA40"/>
          <cell r="CB40"/>
          <cell r="CC40"/>
          <cell r="CD40"/>
          <cell r="CE40"/>
          <cell r="CF40"/>
          <cell r="CG40"/>
          <cell r="CH40"/>
          <cell r="CI40"/>
          <cell r="CJ40"/>
          <cell r="CK40"/>
          <cell r="CL40"/>
          <cell r="CM40" t="e">
            <v>#REF!</v>
          </cell>
          <cell r="CN40"/>
          <cell r="CO40"/>
          <cell r="CP40"/>
          <cell r="CQ40"/>
          <cell r="CR40">
            <v>0</v>
          </cell>
          <cell r="CS40"/>
          <cell r="CT40"/>
          <cell r="CU40"/>
          <cell r="CV40"/>
          <cell r="CW40"/>
          <cell r="CX40"/>
          <cell r="CY40"/>
          <cell r="CZ40"/>
          <cell r="DA40"/>
          <cell r="DB40"/>
          <cell r="DC40"/>
          <cell r="DD40"/>
          <cell r="DE40"/>
          <cell r="DF40"/>
          <cell r="DG40"/>
          <cell r="DH40"/>
          <cell r="DI40"/>
          <cell r="DJ40" t="e">
            <v>#REF!</v>
          </cell>
          <cell r="DK40"/>
          <cell r="DL40"/>
          <cell r="DM40"/>
          <cell r="DN40"/>
          <cell r="DO40" t="str">
            <v>34</v>
          </cell>
          <cell r="DP40"/>
        </row>
        <row r="41">
          <cell r="B41" t="str">
            <v>35</v>
          </cell>
          <cell r="C41"/>
          <cell r="D41" t="str">
            <v>Postage &amp; Misc.</v>
          </cell>
          <cell r="E41"/>
          <cell r="F41"/>
          <cell r="G41"/>
          <cell r="H41"/>
          <cell r="I41"/>
          <cell r="J41"/>
          <cell r="K41"/>
          <cell r="L41"/>
          <cell r="M41" t="str">
            <v>0440</v>
          </cell>
          <cell r="N41">
            <v>5845</v>
          </cell>
          <cell r="O41"/>
          <cell r="P41"/>
          <cell r="Q41"/>
          <cell r="R41"/>
          <cell r="S41"/>
          <cell r="T41" t="e">
            <v>#REF!</v>
          </cell>
          <cell r="U41"/>
          <cell r="V41"/>
          <cell r="W41"/>
          <cell r="X41"/>
          <cell r="Y41">
            <v>51959</v>
          </cell>
          <cell r="Z41"/>
          <cell r="AA41"/>
          <cell r="AB41"/>
          <cell r="AC41"/>
          <cell r="AD41"/>
          <cell r="AE41" t="e">
            <v>#REF!</v>
          </cell>
          <cell r="AF41"/>
          <cell r="AG41"/>
          <cell r="AH41"/>
          <cell r="AI41"/>
          <cell r="AJ41">
            <v>0.1</v>
          </cell>
          <cell r="AK41"/>
          <cell r="AL41" t="e">
            <v>#REF!</v>
          </cell>
          <cell r="AM41"/>
          <cell r="AN41"/>
          <cell r="AO41"/>
          <cell r="AP41"/>
          <cell r="AQ41">
            <v>2369</v>
          </cell>
          <cell r="AR41"/>
          <cell r="AS41"/>
          <cell r="AT41"/>
          <cell r="AU41"/>
          <cell r="AV41"/>
          <cell r="AW41"/>
          <cell r="AX41"/>
          <cell r="AY41"/>
          <cell r="AZ41"/>
          <cell r="BA41"/>
          <cell r="BB41" t="e">
            <v>#REF!</v>
          </cell>
          <cell r="BC41"/>
          <cell r="BD41"/>
          <cell r="BE41"/>
          <cell r="BF41"/>
          <cell r="BG41">
            <v>21698</v>
          </cell>
          <cell r="BH41"/>
          <cell r="BI41"/>
          <cell r="BJ41"/>
          <cell r="BK41"/>
          <cell r="BL41"/>
          <cell r="BM41"/>
          <cell r="BN41"/>
          <cell r="BO41"/>
          <cell r="BP41"/>
          <cell r="BQ41"/>
          <cell r="BR41" t="e">
            <v>#REF!</v>
          </cell>
          <cell r="BS41"/>
          <cell r="BT41"/>
          <cell r="BU41"/>
          <cell r="BV41"/>
          <cell r="BW41">
            <v>2076</v>
          </cell>
          <cell r="BX41"/>
          <cell r="BY41"/>
          <cell r="BZ41"/>
          <cell r="CA41"/>
          <cell r="CB41"/>
          <cell r="CC41"/>
          <cell r="CD41"/>
          <cell r="CE41"/>
          <cell r="CF41"/>
          <cell r="CG41"/>
          <cell r="CH41"/>
          <cell r="CI41"/>
          <cell r="CJ41"/>
          <cell r="CK41"/>
          <cell r="CL41"/>
          <cell r="CM41" t="e">
            <v>#REF!</v>
          </cell>
          <cell r="CN41"/>
          <cell r="CO41"/>
          <cell r="CP41"/>
          <cell r="CQ41"/>
          <cell r="CR41">
            <v>22725</v>
          </cell>
          <cell r="CS41"/>
          <cell r="CT41"/>
          <cell r="CU41"/>
          <cell r="CV41"/>
          <cell r="CW41"/>
          <cell r="CX41"/>
          <cell r="CY41"/>
          <cell r="CZ41"/>
          <cell r="DA41"/>
          <cell r="DB41"/>
          <cell r="DC41"/>
          <cell r="DD41"/>
          <cell r="DE41"/>
          <cell r="DF41"/>
          <cell r="DG41"/>
          <cell r="DH41"/>
          <cell r="DI41"/>
          <cell r="DJ41" t="e">
            <v>#REF!</v>
          </cell>
          <cell r="DK41"/>
          <cell r="DL41"/>
          <cell r="DM41"/>
          <cell r="DN41"/>
          <cell r="DO41" t="str">
            <v>35</v>
          </cell>
          <cell r="DP41"/>
        </row>
        <row r="42">
          <cell r="B42" t="str">
            <v>36</v>
          </cell>
          <cell r="C42"/>
          <cell r="D42" t="str">
            <v>Dues, Subscriptions, Memberships &amp; Contributions</v>
          </cell>
          <cell r="E42"/>
          <cell r="F42"/>
          <cell r="G42"/>
          <cell r="H42"/>
          <cell r="I42"/>
          <cell r="J42"/>
          <cell r="K42"/>
          <cell r="L42"/>
          <cell r="M42" t="str">
            <v>0480</v>
          </cell>
          <cell r="N42">
            <v>4584</v>
          </cell>
          <cell r="O42"/>
          <cell r="P42"/>
          <cell r="Q42"/>
          <cell r="R42"/>
          <cell r="S42"/>
          <cell r="T42" t="e">
            <v>#REF!</v>
          </cell>
          <cell r="U42"/>
          <cell r="V42"/>
          <cell r="W42"/>
          <cell r="X42"/>
          <cell r="Y42">
            <v>40272</v>
          </cell>
          <cell r="Z42"/>
          <cell r="AA42"/>
          <cell r="AB42"/>
          <cell r="AC42"/>
          <cell r="AD42"/>
          <cell r="AE42" t="e">
            <v>#REF!</v>
          </cell>
          <cell r="AF42"/>
          <cell r="AG42"/>
          <cell r="AH42"/>
          <cell r="AI42"/>
          <cell r="AJ42">
            <v>0.1</v>
          </cell>
          <cell r="AK42"/>
          <cell r="AL42" t="e">
            <v>#REF!</v>
          </cell>
          <cell r="AM42"/>
          <cell r="AN42"/>
          <cell r="AO42"/>
          <cell r="AP42"/>
          <cell r="AQ42">
            <v>1206</v>
          </cell>
          <cell r="AR42"/>
          <cell r="AS42"/>
          <cell r="AT42"/>
          <cell r="AU42"/>
          <cell r="AV42"/>
          <cell r="AW42"/>
          <cell r="AX42"/>
          <cell r="AY42"/>
          <cell r="AZ42"/>
          <cell r="BA42"/>
          <cell r="BB42" t="e">
            <v>#REF!</v>
          </cell>
          <cell r="BC42"/>
          <cell r="BD42"/>
          <cell r="BE42"/>
          <cell r="BF42"/>
          <cell r="BG42">
            <v>11279</v>
          </cell>
          <cell r="BH42"/>
          <cell r="BI42"/>
          <cell r="BJ42"/>
          <cell r="BK42"/>
          <cell r="BL42"/>
          <cell r="BM42"/>
          <cell r="BN42"/>
          <cell r="BO42"/>
          <cell r="BP42"/>
          <cell r="BQ42"/>
          <cell r="BR42" t="e">
            <v>#REF!</v>
          </cell>
          <cell r="BS42"/>
          <cell r="BT42"/>
          <cell r="BU42"/>
          <cell r="BV42"/>
          <cell r="BW42">
            <v>1550</v>
          </cell>
          <cell r="BX42"/>
          <cell r="BY42"/>
          <cell r="BZ42"/>
          <cell r="CA42"/>
          <cell r="CB42"/>
          <cell r="CC42"/>
          <cell r="CD42"/>
          <cell r="CE42"/>
          <cell r="CF42"/>
          <cell r="CG42"/>
          <cell r="CH42"/>
          <cell r="CI42"/>
          <cell r="CJ42"/>
          <cell r="CK42"/>
          <cell r="CL42"/>
          <cell r="CM42" t="e">
            <v>#REF!</v>
          </cell>
          <cell r="CN42"/>
          <cell r="CO42"/>
          <cell r="CP42"/>
          <cell r="CQ42"/>
          <cell r="CR42">
            <v>13110</v>
          </cell>
          <cell r="CS42"/>
          <cell r="CT42"/>
          <cell r="CU42"/>
          <cell r="CV42"/>
          <cell r="CW42"/>
          <cell r="CX42"/>
          <cell r="CY42"/>
          <cell r="CZ42"/>
          <cell r="DA42"/>
          <cell r="DB42"/>
          <cell r="DC42"/>
          <cell r="DD42"/>
          <cell r="DE42"/>
          <cell r="DF42"/>
          <cell r="DG42"/>
          <cell r="DH42"/>
          <cell r="DI42"/>
          <cell r="DJ42" t="e">
            <v>#REF!</v>
          </cell>
          <cell r="DK42"/>
          <cell r="DL42"/>
          <cell r="DM42"/>
          <cell r="DN42"/>
          <cell r="DO42" t="str">
            <v>36</v>
          </cell>
          <cell r="DP42"/>
        </row>
        <row r="43">
          <cell r="B43" t="str">
            <v>37</v>
          </cell>
          <cell r="C43"/>
          <cell r="D43" t="str">
            <v>TOTAL SEMI-FIXED EXPENSE GROUP</v>
          </cell>
          <cell r="E43"/>
          <cell r="F43"/>
          <cell r="G43"/>
          <cell r="H43"/>
          <cell r="I43"/>
          <cell r="J43"/>
          <cell r="K43"/>
          <cell r="L43" t="str">
            <v xml:space="preserve">(Lines 23 to 36) </v>
          </cell>
          <cell r="M43"/>
          <cell r="N43">
            <v>134882</v>
          </cell>
          <cell r="O43"/>
          <cell r="P43"/>
          <cell r="Q43"/>
          <cell r="R43"/>
          <cell r="S43"/>
          <cell r="T43" t="e">
            <v>#REF!</v>
          </cell>
          <cell r="U43"/>
          <cell r="V43"/>
          <cell r="W43"/>
          <cell r="X43"/>
          <cell r="Y43">
            <v>1415162</v>
          </cell>
          <cell r="Z43"/>
          <cell r="AA43"/>
          <cell r="AB43"/>
          <cell r="AC43"/>
          <cell r="AD43"/>
          <cell r="AE43" t="e">
            <v>#REF!</v>
          </cell>
          <cell r="AF43"/>
          <cell r="AG43"/>
          <cell r="AH43"/>
          <cell r="AI43"/>
          <cell r="AJ43">
            <v>1.8</v>
          </cell>
          <cell r="AK43"/>
          <cell r="AL43" t="e">
            <v>#REF!</v>
          </cell>
          <cell r="AM43"/>
          <cell r="AN43"/>
          <cell r="AO43"/>
          <cell r="AP43"/>
          <cell r="AQ43">
            <v>33190</v>
          </cell>
          <cell r="AR43"/>
          <cell r="AS43"/>
          <cell r="AT43"/>
          <cell r="AU43"/>
          <cell r="AV43"/>
          <cell r="AW43"/>
          <cell r="AX43"/>
          <cell r="AY43"/>
          <cell r="AZ43"/>
          <cell r="BA43"/>
          <cell r="BB43" t="e">
            <v>#REF!</v>
          </cell>
          <cell r="BC43"/>
          <cell r="BD43"/>
          <cell r="BE43"/>
          <cell r="BF43"/>
          <cell r="BG43">
            <v>375464</v>
          </cell>
          <cell r="BH43"/>
          <cell r="BI43"/>
          <cell r="BJ43"/>
          <cell r="BK43"/>
          <cell r="BL43"/>
          <cell r="BM43"/>
          <cell r="BN43"/>
          <cell r="BO43"/>
          <cell r="BP43"/>
          <cell r="BQ43"/>
          <cell r="BR43" t="e">
            <v>#REF!</v>
          </cell>
          <cell r="BS43"/>
          <cell r="BT43"/>
          <cell r="BU43"/>
          <cell r="BV43"/>
          <cell r="BW43">
            <v>35999</v>
          </cell>
          <cell r="BX43"/>
          <cell r="BY43"/>
          <cell r="BZ43"/>
          <cell r="CA43"/>
          <cell r="CB43"/>
          <cell r="CC43"/>
          <cell r="CD43"/>
          <cell r="CE43"/>
          <cell r="CF43"/>
          <cell r="CG43"/>
          <cell r="CH43"/>
          <cell r="CI43"/>
          <cell r="CJ43"/>
          <cell r="CK43"/>
          <cell r="CL43"/>
          <cell r="CM43" t="e">
            <v>#REF!</v>
          </cell>
          <cell r="CN43"/>
          <cell r="CO43"/>
          <cell r="CP43"/>
          <cell r="CQ43"/>
          <cell r="CR43">
            <v>466079</v>
          </cell>
          <cell r="CS43"/>
          <cell r="CT43"/>
          <cell r="CU43"/>
          <cell r="CV43"/>
          <cell r="CW43"/>
          <cell r="CX43"/>
          <cell r="CY43"/>
          <cell r="CZ43"/>
          <cell r="DA43"/>
          <cell r="DB43"/>
          <cell r="DC43"/>
          <cell r="DD43"/>
          <cell r="DE43"/>
          <cell r="DF43"/>
          <cell r="DG43"/>
          <cell r="DH43"/>
          <cell r="DI43"/>
          <cell r="DJ43" t="e">
            <v>#REF!</v>
          </cell>
          <cell r="DK43"/>
          <cell r="DL43"/>
          <cell r="DM43"/>
          <cell r="DN43"/>
          <cell r="DO43" t="str">
            <v>37</v>
          </cell>
          <cell r="DP43"/>
        </row>
        <row r="44">
          <cell r="B44" t="str">
            <v>38</v>
          </cell>
          <cell r="C44"/>
          <cell r="D44" t="str">
            <v>Rent and Interest - Real Estate Mortgages</v>
          </cell>
          <cell r="E44"/>
          <cell r="F44"/>
          <cell r="G44"/>
          <cell r="H44"/>
          <cell r="I44"/>
          <cell r="J44"/>
          <cell r="K44"/>
          <cell r="L44"/>
          <cell r="M44" t="str">
            <v>0500</v>
          </cell>
          <cell r="N44">
            <v>73000</v>
          </cell>
          <cell r="O44"/>
          <cell r="P44"/>
          <cell r="Q44"/>
          <cell r="R44"/>
          <cell r="S44"/>
          <cell r="T44" t="e">
            <v>#REF!</v>
          </cell>
          <cell r="U44"/>
          <cell r="V44"/>
          <cell r="W44"/>
          <cell r="X44"/>
          <cell r="Y44">
            <v>864711</v>
          </cell>
          <cell r="Z44"/>
          <cell r="AA44"/>
          <cell r="AB44"/>
          <cell r="AC44"/>
          <cell r="AD44"/>
          <cell r="AE44" t="e">
            <v>#REF!</v>
          </cell>
          <cell r="AF44"/>
          <cell r="AG44"/>
          <cell r="AH44"/>
          <cell r="AI44"/>
          <cell r="AJ44">
            <v>1.1000000000000001</v>
          </cell>
          <cell r="AK44"/>
          <cell r="AL44" t="e">
            <v>#REF!</v>
          </cell>
          <cell r="AM44"/>
          <cell r="AN44"/>
          <cell r="AO44"/>
          <cell r="AP44"/>
          <cell r="AQ44">
            <v>18250</v>
          </cell>
          <cell r="AR44"/>
          <cell r="AS44"/>
          <cell r="AT44"/>
          <cell r="AU44"/>
          <cell r="AV44"/>
          <cell r="AW44"/>
          <cell r="AX44"/>
          <cell r="AY44"/>
          <cell r="AZ44"/>
          <cell r="BA44"/>
          <cell r="BB44" t="e">
            <v>#REF!</v>
          </cell>
          <cell r="BC44"/>
          <cell r="BD44"/>
          <cell r="BE44"/>
          <cell r="BF44"/>
          <cell r="BG44">
            <v>216178</v>
          </cell>
          <cell r="BH44"/>
          <cell r="BI44"/>
          <cell r="BJ44"/>
          <cell r="BK44"/>
          <cell r="BL44"/>
          <cell r="BM44"/>
          <cell r="BN44"/>
          <cell r="BO44"/>
          <cell r="BP44"/>
          <cell r="BQ44"/>
          <cell r="BR44" t="e">
            <v>#REF!</v>
          </cell>
          <cell r="BS44"/>
          <cell r="BT44"/>
          <cell r="BU44"/>
          <cell r="BV44"/>
          <cell r="BW44">
            <v>27010</v>
          </cell>
          <cell r="BX44"/>
          <cell r="BY44"/>
          <cell r="BZ44"/>
          <cell r="CA44"/>
          <cell r="CB44"/>
          <cell r="CC44"/>
          <cell r="CD44"/>
          <cell r="CE44"/>
          <cell r="CF44"/>
          <cell r="CG44"/>
          <cell r="CH44"/>
          <cell r="CI44"/>
          <cell r="CJ44"/>
          <cell r="CK44"/>
          <cell r="CL44"/>
          <cell r="CM44" t="e">
            <v>#REF!</v>
          </cell>
          <cell r="CN44"/>
          <cell r="CO44"/>
          <cell r="CP44"/>
          <cell r="CQ44"/>
          <cell r="CR44">
            <v>319943</v>
          </cell>
          <cell r="CS44"/>
          <cell r="CT44"/>
          <cell r="CU44"/>
          <cell r="CV44"/>
          <cell r="CW44"/>
          <cell r="CX44"/>
          <cell r="CY44"/>
          <cell r="CZ44"/>
          <cell r="DA44"/>
          <cell r="DB44"/>
          <cell r="DC44"/>
          <cell r="DD44"/>
          <cell r="DE44"/>
          <cell r="DF44"/>
          <cell r="DG44"/>
          <cell r="DH44"/>
          <cell r="DI44"/>
          <cell r="DJ44" t="e">
            <v>#REF!</v>
          </cell>
          <cell r="DK44"/>
          <cell r="DL44"/>
          <cell r="DM44"/>
          <cell r="DN44"/>
          <cell r="DO44" t="str">
            <v>38</v>
          </cell>
          <cell r="DP44"/>
        </row>
        <row r="45">
          <cell r="B45" t="str">
            <v>39</v>
          </cell>
          <cell r="C45"/>
          <cell r="D45" t="str">
            <v>Amortization - Leaseholds</v>
          </cell>
          <cell r="E45"/>
          <cell r="F45"/>
          <cell r="G45"/>
          <cell r="H45"/>
          <cell r="I45"/>
          <cell r="J45"/>
          <cell r="K45"/>
          <cell r="L45"/>
          <cell r="M45" t="str">
            <v>0510</v>
          </cell>
          <cell r="N45">
            <v>0</v>
          </cell>
          <cell r="O45"/>
          <cell r="P45"/>
          <cell r="Q45"/>
          <cell r="R45"/>
          <cell r="S45"/>
          <cell r="T45" t="e">
            <v>#REF!</v>
          </cell>
          <cell r="U45"/>
          <cell r="V45"/>
          <cell r="W45"/>
          <cell r="X45"/>
          <cell r="Y45">
            <v>0</v>
          </cell>
          <cell r="Z45"/>
          <cell r="AA45"/>
          <cell r="AB45"/>
          <cell r="AC45"/>
          <cell r="AD45"/>
          <cell r="AE45" t="e">
            <v>#REF!</v>
          </cell>
          <cell r="AF45"/>
          <cell r="AG45"/>
          <cell r="AH45"/>
          <cell r="AI45"/>
          <cell r="AJ45">
            <v>0</v>
          </cell>
          <cell r="AK45"/>
          <cell r="AL45" t="e">
            <v>#REF!</v>
          </cell>
          <cell r="AM45"/>
          <cell r="AN45"/>
          <cell r="AO45"/>
          <cell r="AP45"/>
          <cell r="AQ45">
            <v>0</v>
          </cell>
          <cell r="AR45"/>
          <cell r="AS45"/>
          <cell r="AT45"/>
          <cell r="AU45"/>
          <cell r="AV45"/>
          <cell r="AW45"/>
          <cell r="AX45"/>
          <cell r="AY45"/>
          <cell r="AZ45"/>
          <cell r="BA45"/>
          <cell r="BB45" t="e">
            <v>#REF!</v>
          </cell>
          <cell r="BC45"/>
          <cell r="BD45"/>
          <cell r="BE45"/>
          <cell r="BF45"/>
          <cell r="BG45">
            <v>0</v>
          </cell>
          <cell r="BH45"/>
          <cell r="BI45"/>
          <cell r="BJ45"/>
          <cell r="BK45"/>
          <cell r="BL45"/>
          <cell r="BM45"/>
          <cell r="BN45"/>
          <cell r="BO45"/>
          <cell r="BP45"/>
          <cell r="BQ45"/>
          <cell r="BR45" t="e">
            <v>#REF!</v>
          </cell>
          <cell r="BS45"/>
          <cell r="BT45"/>
          <cell r="BU45"/>
          <cell r="BV45"/>
          <cell r="BW45">
            <v>0</v>
          </cell>
          <cell r="BX45"/>
          <cell r="BY45"/>
          <cell r="BZ45"/>
          <cell r="CA45"/>
          <cell r="CB45"/>
          <cell r="CC45"/>
          <cell r="CD45"/>
          <cell r="CE45"/>
          <cell r="CF45"/>
          <cell r="CG45"/>
          <cell r="CH45"/>
          <cell r="CI45"/>
          <cell r="CJ45"/>
          <cell r="CK45"/>
          <cell r="CL45"/>
          <cell r="CM45" t="e">
            <v>#REF!</v>
          </cell>
          <cell r="CN45"/>
          <cell r="CO45"/>
          <cell r="CP45"/>
          <cell r="CQ45"/>
          <cell r="CR45">
            <v>0</v>
          </cell>
          <cell r="CS45"/>
          <cell r="CT45"/>
          <cell r="CU45"/>
          <cell r="CV45"/>
          <cell r="CW45"/>
          <cell r="CX45"/>
          <cell r="CY45"/>
          <cell r="CZ45"/>
          <cell r="DA45"/>
          <cell r="DB45"/>
          <cell r="DC45"/>
          <cell r="DD45"/>
          <cell r="DE45"/>
          <cell r="DF45"/>
          <cell r="DG45"/>
          <cell r="DH45"/>
          <cell r="DI45"/>
          <cell r="DJ45" t="e">
            <v>#REF!</v>
          </cell>
          <cell r="DK45"/>
          <cell r="DL45"/>
          <cell r="DM45"/>
          <cell r="DN45"/>
          <cell r="DO45" t="str">
            <v>39</v>
          </cell>
          <cell r="DP45"/>
        </row>
        <row r="46">
          <cell r="B46" t="str">
            <v>40</v>
          </cell>
          <cell r="C46"/>
          <cell r="D46" t="str">
            <v>Repair &amp; Maintenance - Real Estate</v>
          </cell>
          <cell r="E46"/>
          <cell r="F46"/>
          <cell r="G46"/>
          <cell r="H46"/>
          <cell r="I46"/>
          <cell r="J46"/>
          <cell r="K46"/>
          <cell r="L46"/>
          <cell r="M46" t="str">
            <v>0520</v>
          </cell>
          <cell r="N46">
            <v>0</v>
          </cell>
          <cell r="O46"/>
          <cell r="P46"/>
          <cell r="Q46"/>
          <cell r="R46"/>
          <cell r="S46"/>
          <cell r="T46" t="e">
            <v>#REF!</v>
          </cell>
          <cell r="U46"/>
          <cell r="V46"/>
          <cell r="W46"/>
          <cell r="X46"/>
          <cell r="Y46">
            <v>2472</v>
          </cell>
          <cell r="Z46"/>
          <cell r="AA46"/>
          <cell r="AB46"/>
          <cell r="AC46"/>
          <cell r="AD46"/>
          <cell r="AE46" t="e">
            <v>#REF!</v>
          </cell>
          <cell r="AF46"/>
          <cell r="AG46"/>
          <cell r="AH46"/>
          <cell r="AI46"/>
          <cell r="AJ46">
            <v>0</v>
          </cell>
          <cell r="AK46"/>
          <cell r="AL46" t="e">
            <v>#REF!</v>
          </cell>
          <cell r="AM46"/>
          <cell r="AN46"/>
          <cell r="AO46"/>
          <cell r="AP46"/>
          <cell r="AQ46">
            <v>0</v>
          </cell>
          <cell r="AR46"/>
          <cell r="AS46"/>
          <cell r="AT46"/>
          <cell r="AU46"/>
          <cell r="AV46"/>
          <cell r="AW46"/>
          <cell r="AX46"/>
          <cell r="AY46"/>
          <cell r="AZ46"/>
          <cell r="BA46"/>
          <cell r="BB46" t="e">
            <v>#REF!</v>
          </cell>
          <cell r="BC46"/>
          <cell r="BD46"/>
          <cell r="BE46"/>
          <cell r="BF46"/>
          <cell r="BG46">
            <v>446</v>
          </cell>
          <cell r="BH46"/>
          <cell r="BI46"/>
          <cell r="BJ46"/>
          <cell r="BK46"/>
          <cell r="BL46"/>
          <cell r="BM46"/>
          <cell r="BN46"/>
          <cell r="BO46"/>
          <cell r="BP46"/>
          <cell r="BQ46"/>
          <cell r="BR46" t="e">
            <v>#REF!</v>
          </cell>
          <cell r="BS46"/>
          <cell r="BT46"/>
          <cell r="BU46"/>
          <cell r="BV46"/>
          <cell r="BW46">
            <v>0</v>
          </cell>
          <cell r="BX46"/>
          <cell r="BY46"/>
          <cell r="BZ46"/>
          <cell r="CA46"/>
          <cell r="CB46"/>
          <cell r="CC46"/>
          <cell r="CD46"/>
          <cell r="CE46"/>
          <cell r="CF46"/>
          <cell r="CG46"/>
          <cell r="CH46"/>
          <cell r="CI46"/>
          <cell r="CJ46"/>
          <cell r="CK46"/>
          <cell r="CL46"/>
          <cell r="CM46" t="e">
            <v>#REF!</v>
          </cell>
          <cell r="CN46"/>
          <cell r="CO46"/>
          <cell r="CP46"/>
          <cell r="CQ46"/>
          <cell r="CR46">
            <v>661</v>
          </cell>
          <cell r="CS46"/>
          <cell r="CT46"/>
          <cell r="CU46"/>
          <cell r="CV46"/>
          <cell r="CW46"/>
          <cell r="CX46"/>
          <cell r="CY46"/>
          <cell r="CZ46"/>
          <cell r="DA46"/>
          <cell r="DB46"/>
          <cell r="DC46"/>
          <cell r="DD46"/>
          <cell r="DE46"/>
          <cell r="DF46"/>
          <cell r="DG46"/>
          <cell r="DH46"/>
          <cell r="DI46"/>
          <cell r="DJ46" t="e">
            <v>#REF!</v>
          </cell>
          <cell r="DK46"/>
          <cell r="DL46"/>
          <cell r="DM46"/>
          <cell r="DN46"/>
          <cell r="DO46" t="str">
            <v>40</v>
          </cell>
          <cell r="DP46"/>
        </row>
        <row r="47">
          <cell r="B47" t="str">
            <v>41</v>
          </cell>
          <cell r="C47"/>
          <cell r="D47" t="str">
            <v>Depreciation - Buildings &amp; Improvements</v>
          </cell>
          <cell r="E47"/>
          <cell r="F47"/>
          <cell r="G47"/>
          <cell r="H47"/>
          <cell r="I47"/>
          <cell r="J47"/>
          <cell r="K47"/>
          <cell r="L47"/>
          <cell r="M47" t="str">
            <v>0530</v>
          </cell>
          <cell r="N47">
            <v>1014</v>
          </cell>
          <cell r="O47"/>
          <cell r="P47"/>
          <cell r="Q47"/>
          <cell r="R47"/>
          <cell r="S47"/>
          <cell r="T47" t="e">
            <v>#REF!</v>
          </cell>
          <cell r="U47"/>
          <cell r="V47"/>
          <cell r="W47"/>
          <cell r="X47"/>
          <cell r="Y47">
            <v>7506</v>
          </cell>
          <cell r="Z47"/>
          <cell r="AA47"/>
          <cell r="AB47"/>
          <cell r="AC47"/>
          <cell r="AD47"/>
          <cell r="AE47" t="e">
            <v>#REF!</v>
          </cell>
          <cell r="AF47"/>
          <cell r="AG47"/>
          <cell r="AH47"/>
          <cell r="AI47"/>
          <cell r="AJ47">
            <v>0</v>
          </cell>
          <cell r="AK47"/>
          <cell r="AL47" t="e">
            <v>#REF!</v>
          </cell>
          <cell r="AM47"/>
          <cell r="AN47"/>
          <cell r="AO47"/>
          <cell r="AP47"/>
          <cell r="AQ47">
            <v>355</v>
          </cell>
          <cell r="AR47"/>
          <cell r="AS47"/>
          <cell r="AT47"/>
          <cell r="AU47"/>
          <cell r="AV47"/>
          <cell r="AW47"/>
          <cell r="AX47"/>
          <cell r="AY47"/>
          <cell r="AZ47"/>
          <cell r="BA47"/>
          <cell r="BB47" t="e">
            <v>#REF!</v>
          </cell>
          <cell r="BC47"/>
          <cell r="BD47"/>
          <cell r="BE47"/>
          <cell r="BF47"/>
          <cell r="BG47">
            <v>2627</v>
          </cell>
          <cell r="BH47"/>
          <cell r="BI47"/>
          <cell r="BJ47"/>
          <cell r="BK47"/>
          <cell r="BL47"/>
          <cell r="BM47"/>
          <cell r="BN47"/>
          <cell r="BO47"/>
          <cell r="BP47"/>
          <cell r="BQ47"/>
          <cell r="BR47" t="e">
            <v>#REF!</v>
          </cell>
          <cell r="BS47"/>
          <cell r="BT47"/>
          <cell r="BU47"/>
          <cell r="BV47"/>
          <cell r="BW47">
            <v>203</v>
          </cell>
          <cell r="BX47"/>
          <cell r="BY47"/>
          <cell r="BZ47"/>
          <cell r="CA47"/>
          <cell r="CB47"/>
          <cell r="CC47"/>
          <cell r="CD47"/>
          <cell r="CE47"/>
          <cell r="CF47"/>
          <cell r="CG47"/>
          <cell r="CH47"/>
          <cell r="CI47"/>
          <cell r="CJ47"/>
          <cell r="CK47"/>
          <cell r="CL47"/>
          <cell r="CM47" t="e">
            <v>#REF!</v>
          </cell>
          <cell r="CN47"/>
          <cell r="CO47"/>
          <cell r="CP47"/>
          <cell r="CQ47"/>
          <cell r="CR47">
            <v>1501</v>
          </cell>
          <cell r="CS47"/>
          <cell r="CT47"/>
          <cell r="CU47"/>
          <cell r="CV47"/>
          <cell r="CW47"/>
          <cell r="CX47"/>
          <cell r="CY47"/>
          <cell r="CZ47"/>
          <cell r="DA47"/>
          <cell r="DB47"/>
          <cell r="DC47"/>
          <cell r="DD47"/>
          <cell r="DE47"/>
          <cell r="DF47"/>
          <cell r="DG47"/>
          <cell r="DH47"/>
          <cell r="DI47"/>
          <cell r="DJ47" t="e">
            <v>#REF!</v>
          </cell>
          <cell r="DK47"/>
          <cell r="DL47"/>
          <cell r="DM47"/>
          <cell r="DN47"/>
          <cell r="DO47" t="str">
            <v>41</v>
          </cell>
          <cell r="DP47"/>
        </row>
        <row r="48">
          <cell r="B48" t="str">
            <v>42</v>
          </cell>
          <cell r="C48"/>
          <cell r="D48" t="str">
            <v>Insurance - Buildings &amp; Improvements</v>
          </cell>
          <cell r="E48"/>
          <cell r="F48"/>
          <cell r="G48"/>
          <cell r="H48"/>
          <cell r="I48"/>
          <cell r="J48"/>
          <cell r="K48"/>
          <cell r="L48"/>
          <cell r="M48" t="str">
            <v>0540</v>
          </cell>
          <cell r="N48">
            <v>0</v>
          </cell>
          <cell r="O48"/>
          <cell r="P48"/>
          <cell r="Q48"/>
          <cell r="R48"/>
          <cell r="S48"/>
          <cell r="T48" t="e">
            <v>#REF!</v>
          </cell>
          <cell r="U48"/>
          <cell r="V48"/>
          <cell r="W48"/>
          <cell r="X48"/>
          <cell r="Y48">
            <v>0</v>
          </cell>
          <cell r="Z48"/>
          <cell r="AA48"/>
          <cell r="AB48"/>
          <cell r="AC48"/>
          <cell r="AD48"/>
          <cell r="AE48" t="e">
            <v>#REF!</v>
          </cell>
          <cell r="AF48"/>
          <cell r="AG48"/>
          <cell r="AH48"/>
          <cell r="AI48"/>
          <cell r="AJ48">
            <v>0</v>
          </cell>
          <cell r="AK48"/>
          <cell r="AL48" t="e">
            <v>#REF!</v>
          </cell>
          <cell r="AM48"/>
          <cell r="AN48"/>
          <cell r="AO48"/>
          <cell r="AP48"/>
          <cell r="AQ48">
            <v>0</v>
          </cell>
          <cell r="AR48"/>
          <cell r="AS48"/>
          <cell r="AT48"/>
          <cell r="AU48"/>
          <cell r="AV48"/>
          <cell r="AW48"/>
          <cell r="AX48"/>
          <cell r="AY48"/>
          <cell r="AZ48"/>
          <cell r="BA48"/>
          <cell r="BB48" t="e">
            <v>#REF!</v>
          </cell>
          <cell r="BC48"/>
          <cell r="BD48"/>
          <cell r="BE48"/>
          <cell r="BF48"/>
          <cell r="BG48">
            <v>0</v>
          </cell>
          <cell r="BH48"/>
          <cell r="BI48"/>
          <cell r="BJ48"/>
          <cell r="BK48"/>
          <cell r="BL48"/>
          <cell r="BM48"/>
          <cell r="BN48"/>
          <cell r="BO48"/>
          <cell r="BP48"/>
          <cell r="BQ48"/>
          <cell r="BR48" t="e">
            <v>#REF!</v>
          </cell>
          <cell r="BS48"/>
          <cell r="BT48"/>
          <cell r="BU48"/>
          <cell r="BV48"/>
          <cell r="BW48">
            <v>0</v>
          </cell>
          <cell r="BX48"/>
          <cell r="BY48"/>
          <cell r="BZ48"/>
          <cell r="CA48"/>
          <cell r="CB48"/>
          <cell r="CC48"/>
          <cell r="CD48"/>
          <cell r="CE48"/>
          <cell r="CF48"/>
          <cell r="CG48"/>
          <cell r="CH48"/>
          <cell r="CI48"/>
          <cell r="CJ48"/>
          <cell r="CK48"/>
          <cell r="CL48"/>
          <cell r="CM48" t="e">
            <v>#REF!</v>
          </cell>
          <cell r="CN48"/>
          <cell r="CO48"/>
          <cell r="CP48"/>
          <cell r="CQ48"/>
          <cell r="CR48">
            <v>0</v>
          </cell>
          <cell r="CS48"/>
          <cell r="CT48"/>
          <cell r="CU48"/>
          <cell r="CV48"/>
          <cell r="CW48"/>
          <cell r="CX48"/>
          <cell r="CY48"/>
          <cell r="CZ48"/>
          <cell r="DA48"/>
          <cell r="DB48"/>
          <cell r="DC48"/>
          <cell r="DD48"/>
          <cell r="DE48"/>
          <cell r="DF48"/>
          <cell r="DG48"/>
          <cell r="DH48"/>
          <cell r="DI48"/>
          <cell r="DJ48" t="e">
            <v>#REF!</v>
          </cell>
          <cell r="DK48"/>
          <cell r="DL48"/>
          <cell r="DM48"/>
          <cell r="DN48"/>
          <cell r="DO48" t="str">
            <v>42</v>
          </cell>
          <cell r="DP48"/>
        </row>
        <row r="49">
          <cell r="B49" t="str">
            <v>43</v>
          </cell>
          <cell r="C49"/>
          <cell r="D49" t="str">
            <v>Taxes - Real Estate</v>
          </cell>
          <cell r="E49"/>
          <cell r="F49"/>
          <cell r="G49"/>
          <cell r="H49"/>
          <cell r="I49"/>
          <cell r="J49"/>
          <cell r="K49"/>
          <cell r="L49"/>
          <cell r="M49" t="str">
            <v>0550</v>
          </cell>
          <cell r="N49">
            <v>4212</v>
          </cell>
          <cell r="O49"/>
          <cell r="P49"/>
          <cell r="Q49"/>
          <cell r="R49"/>
          <cell r="S49"/>
          <cell r="T49" t="e">
            <v>#REF!</v>
          </cell>
          <cell r="U49"/>
          <cell r="V49"/>
          <cell r="W49"/>
          <cell r="X49"/>
          <cell r="Y49">
            <v>24716</v>
          </cell>
          <cell r="Z49"/>
          <cell r="AA49"/>
          <cell r="AB49"/>
          <cell r="AC49"/>
          <cell r="AD49"/>
          <cell r="AE49" t="e">
            <v>#REF!</v>
          </cell>
          <cell r="AF49"/>
          <cell r="AG49"/>
          <cell r="AH49"/>
          <cell r="AI49"/>
          <cell r="AJ49">
            <v>0</v>
          </cell>
          <cell r="AK49"/>
          <cell r="AL49" t="e">
            <v>#REF!</v>
          </cell>
          <cell r="AM49"/>
          <cell r="AN49"/>
          <cell r="AO49"/>
          <cell r="AP49"/>
          <cell r="AQ49">
            <v>1390</v>
          </cell>
          <cell r="AR49"/>
          <cell r="AS49"/>
          <cell r="AT49"/>
          <cell r="AU49"/>
          <cell r="AV49"/>
          <cell r="AW49"/>
          <cell r="AX49"/>
          <cell r="AY49"/>
          <cell r="AZ49"/>
          <cell r="BA49"/>
          <cell r="BB49" t="e">
            <v>#REF!</v>
          </cell>
          <cell r="BC49"/>
          <cell r="BD49"/>
          <cell r="BE49"/>
          <cell r="BF49"/>
          <cell r="BG49">
            <v>6516</v>
          </cell>
          <cell r="BH49"/>
          <cell r="BI49"/>
          <cell r="BJ49"/>
          <cell r="BK49"/>
          <cell r="BL49"/>
          <cell r="BM49"/>
          <cell r="BN49"/>
          <cell r="BO49"/>
          <cell r="BP49"/>
          <cell r="BQ49"/>
          <cell r="BR49" t="e">
            <v>#REF!</v>
          </cell>
          <cell r="BS49"/>
          <cell r="BT49"/>
          <cell r="BU49"/>
          <cell r="BV49"/>
          <cell r="BW49">
            <v>842</v>
          </cell>
          <cell r="BX49"/>
          <cell r="BY49"/>
          <cell r="BZ49"/>
          <cell r="CA49"/>
          <cell r="CB49"/>
          <cell r="CC49"/>
          <cell r="CD49"/>
          <cell r="CE49"/>
          <cell r="CF49"/>
          <cell r="CG49"/>
          <cell r="CH49"/>
          <cell r="CI49"/>
          <cell r="CJ49"/>
          <cell r="CK49"/>
          <cell r="CL49"/>
          <cell r="CM49" t="e">
            <v>#REF!</v>
          </cell>
          <cell r="CN49"/>
          <cell r="CO49"/>
          <cell r="CP49"/>
          <cell r="CQ49"/>
          <cell r="CR49">
            <v>8429</v>
          </cell>
          <cell r="CS49"/>
          <cell r="CT49"/>
          <cell r="CU49"/>
          <cell r="CV49"/>
          <cell r="CW49"/>
          <cell r="CX49"/>
          <cell r="CY49"/>
          <cell r="CZ49"/>
          <cell r="DA49"/>
          <cell r="DB49"/>
          <cell r="DC49"/>
          <cell r="DD49"/>
          <cell r="DE49"/>
          <cell r="DF49"/>
          <cell r="DG49"/>
          <cell r="DH49"/>
          <cell r="DI49"/>
          <cell r="DJ49" t="e">
            <v>#REF!</v>
          </cell>
          <cell r="DK49"/>
          <cell r="DL49"/>
          <cell r="DM49"/>
          <cell r="DN49"/>
          <cell r="DO49" t="str">
            <v>43</v>
          </cell>
          <cell r="DP49"/>
        </row>
        <row r="50">
          <cell r="B50" t="str">
            <v>44</v>
          </cell>
          <cell r="C50"/>
          <cell r="D50" t="str">
            <v>Heat, Light, Power &amp; Water</v>
          </cell>
          <cell r="E50"/>
          <cell r="F50"/>
          <cell r="G50"/>
          <cell r="H50"/>
          <cell r="I50"/>
          <cell r="J50"/>
          <cell r="K50"/>
          <cell r="L50"/>
          <cell r="M50" t="str">
            <v>0570</v>
          </cell>
          <cell r="N50">
            <v>11264</v>
          </cell>
          <cell r="O50"/>
          <cell r="P50"/>
          <cell r="Q50"/>
          <cell r="R50"/>
          <cell r="S50"/>
          <cell r="T50" t="e">
            <v>#REF!</v>
          </cell>
          <cell r="U50"/>
          <cell r="V50"/>
          <cell r="W50"/>
          <cell r="X50"/>
          <cell r="Y50">
            <v>127467</v>
          </cell>
          <cell r="Z50"/>
          <cell r="AA50"/>
          <cell r="AB50"/>
          <cell r="AC50"/>
          <cell r="AD50"/>
          <cell r="AE50" t="e">
            <v>#REF!</v>
          </cell>
          <cell r="AF50"/>
          <cell r="AG50"/>
          <cell r="AH50"/>
          <cell r="AI50"/>
          <cell r="AJ50">
            <v>0.2</v>
          </cell>
          <cell r="AK50"/>
          <cell r="AL50" t="e">
            <v>#REF!</v>
          </cell>
          <cell r="AM50"/>
          <cell r="AN50"/>
          <cell r="AO50"/>
          <cell r="AP50"/>
          <cell r="AQ50">
            <v>3717</v>
          </cell>
          <cell r="AR50"/>
          <cell r="AS50"/>
          <cell r="AT50"/>
          <cell r="AU50"/>
          <cell r="AV50"/>
          <cell r="AW50"/>
          <cell r="AX50"/>
          <cell r="AY50"/>
          <cell r="AZ50"/>
          <cell r="BA50"/>
          <cell r="BB50" t="e">
            <v>#REF!</v>
          </cell>
          <cell r="BC50"/>
          <cell r="BD50"/>
          <cell r="BE50"/>
          <cell r="BF50"/>
          <cell r="BG50">
            <v>32768</v>
          </cell>
          <cell r="BH50"/>
          <cell r="BI50"/>
          <cell r="BJ50"/>
          <cell r="BK50"/>
          <cell r="BL50"/>
          <cell r="BM50"/>
          <cell r="BN50"/>
          <cell r="BO50"/>
          <cell r="BP50"/>
          <cell r="BQ50"/>
          <cell r="BR50" t="e">
            <v>#REF!</v>
          </cell>
          <cell r="BS50"/>
          <cell r="BT50"/>
          <cell r="BU50"/>
          <cell r="BV50"/>
          <cell r="BW50">
            <v>2253</v>
          </cell>
          <cell r="BX50"/>
          <cell r="BY50"/>
          <cell r="BZ50"/>
          <cell r="CA50"/>
          <cell r="CB50"/>
          <cell r="CC50"/>
          <cell r="CD50"/>
          <cell r="CE50"/>
          <cell r="CF50"/>
          <cell r="CG50"/>
          <cell r="CH50"/>
          <cell r="CI50"/>
          <cell r="CJ50"/>
          <cell r="CK50"/>
          <cell r="CL50"/>
          <cell r="CM50" t="e">
            <v>#REF!</v>
          </cell>
          <cell r="CN50"/>
          <cell r="CO50"/>
          <cell r="CP50"/>
          <cell r="CQ50"/>
          <cell r="CR50">
            <v>45248</v>
          </cell>
          <cell r="CS50"/>
          <cell r="CT50"/>
          <cell r="CU50"/>
          <cell r="CV50"/>
          <cell r="CW50"/>
          <cell r="CX50"/>
          <cell r="CY50"/>
          <cell r="CZ50"/>
          <cell r="DA50"/>
          <cell r="DB50"/>
          <cell r="DC50"/>
          <cell r="DD50"/>
          <cell r="DE50"/>
          <cell r="DF50"/>
          <cell r="DG50"/>
          <cell r="DH50"/>
          <cell r="DI50"/>
          <cell r="DJ50" t="e">
            <v>#REF!</v>
          </cell>
          <cell r="DK50"/>
          <cell r="DL50"/>
          <cell r="DM50"/>
          <cell r="DN50"/>
          <cell r="DO50" t="str">
            <v>44</v>
          </cell>
          <cell r="DP50"/>
        </row>
        <row r="51">
          <cell r="B51" t="str">
            <v>45</v>
          </cell>
          <cell r="C51"/>
          <cell r="D51" t="str">
            <v>SUBTOTAL - RENT &amp; RENT EQUIV. EXP.</v>
          </cell>
          <cell r="E51"/>
          <cell r="F51"/>
          <cell r="G51"/>
          <cell r="H51"/>
          <cell r="I51"/>
          <cell r="J51"/>
          <cell r="K51"/>
          <cell r="L51" t="str">
            <v xml:space="preserve">(Lines 38 to 44) </v>
          </cell>
          <cell r="M51"/>
          <cell r="N51">
            <v>89490</v>
          </cell>
          <cell r="O51"/>
          <cell r="P51"/>
          <cell r="Q51"/>
          <cell r="R51"/>
          <cell r="S51"/>
          <cell r="T51" t="e">
            <v>#REF!</v>
          </cell>
          <cell r="U51"/>
          <cell r="V51"/>
          <cell r="W51"/>
          <cell r="X51"/>
          <cell r="Y51">
            <v>1026872</v>
          </cell>
          <cell r="Z51"/>
          <cell r="AA51"/>
          <cell r="AB51"/>
          <cell r="AC51"/>
          <cell r="AD51"/>
          <cell r="AE51" t="e">
            <v>#REF!</v>
          </cell>
          <cell r="AF51"/>
          <cell r="AG51"/>
          <cell r="AH51"/>
          <cell r="AI51"/>
          <cell r="AJ51">
            <v>1.3</v>
          </cell>
          <cell r="AK51"/>
          <cell r="AL51" t="e">
            <v>#REF!</v>
          </cell>
          <cell r="AM51"/>
          <cell r="AN51"/>
          <cell r="AO51"/>
          <cell r="AP51"/>
          <cell r="AQ51">
            <v>23712</v>
          </cell>
          <cell r="AR51"/>
          <cell r="AS51"/>
          <cell r="AT51"/>
          <cell r="AU51"/>
          <cell r="AV51"/>
          <cell r="AW51"/>
          <cell r="AX51"/>
          <cell r="AY51"/>
          <cell r="AZ51"/>
          <cell r="BA51"/>
          <cell r="BB51" t="e">
            <v>#REF!</v>
          </cell>
          <cell r="BC51"/>
          <cell r="BD51"/>
          <cell r="BE51"/>
          <cell r="BF51"/>
          <cell r="BG51">
            <v>258535</v>
          </cell>
          <cell r="BH51"/>
          <cell r="BI51"/>
          <cell r="BJ51"/>
          <cell r="BK51"/>
          <cell r="BL51"/>
          <cell r="BM51"/>
          <cell r="BN51"/>
          <cell r="BO51"/>
          <cell r="BP51"/>
          <cell r="BQ51"/>
          <cell r="BR51" t="e">
            <v>#REF!</v>
          </cell>
          <cell r="BS51"/>
          <cell r="BT51"/>
          <cell r="BU51"/>
          <cell r="BV51"/>
          <cell r="BW51">
            <v>30308</v>
          </cell>
          <cell r="BX51"/>
          <cell r="BY51"/>
          <cell r="BZ51"/>
          <cell r="CA51"/>
          <cell r="CB51"/>
          <cell r="CC51"/>
          <cell r="CD51"/>
          <cell r="CE51"/>
          <cell r="CF51"/>
          <cell r="CG51"/>
          <cell r="CH51"/>
          <cell r="CI51"/>
          <cell r="CJ51"/>
          <cell r="CK51"/>
          <cell r="CL51"/>
          <cell r="CM51" t="e">
            <v>#REF!</v>
          </cell>
          <cell r="CN51"/>
          <cell r="CO51"/>
          <cell r="CP51"/>
          <cell r="CQ51"/>
          <cell r="CR51">
            <v>375782</v>
          </cell>
          <cell r="CS51"/>
          <cell r="CT51"/>
          <cell r="CU51"/>
          <cell r="CV51"/>
          <cell r="CW51"/>
          <cell r="CX51"/>
          <cell r="CY51"/>
          <cell r="CZ51"/>
          <cell r="DA51"/>
          <cell r="DB51"/>
          <cell r="DC51"/>
          <cell r="DD51"/>
          <cell r="DE51"/>
          <cell r="DF51"/>
          <cell r="DG51"/>
          <cell r="DH51"/>
          <cell r="DI51"/>
          <cell r="DJ51" t="e">
            <v>#REF!</v>
          </cell>
          <cell r="DK51"/>
          <cell r="DL51"/>
          <cell r="DM51"/>
          <cell r="DN51"/>
          <cell r="DO51" t="str">
            <v>45</v>
          </cell>
          <cell r="DP51"/>
        </row>
        <row r="52">
          <cell r="B52" t="str">
            <v>46</v>
          </cell>
          <cell r="C52"/>
          <cell r="D52" t="str">
            <v>Management Fees</v>
          </cell>
          <cell r="E52"/>
          <cell r="F52"/>
          <cell r="G52"/>
          <cell r="H52"/>
          <cell r="I52"/>
          <cell r="J52"/>
          <cell r="K52"/>
          <cell r="L52"/>
          <cell r="M52" t="str">
            <v>0600</v>
          </cell>
          <cell r="N52">
            <v>0</v>
          </cell>
          <cell r="O52"/>
          <cell r="P52"/>
          <cell r="Q52"/>
          <cell r="R52"/>
          <cell r="S52"/>
          <cell r="T52" t="e">
            <v>#REF!</v>
          </cell>
          <cell r="U52"/>
          <cell r="V52"/>
          <cell r="W52"/>
          <cell r="X52"/>
          <cell r="Y52">
            <v>0</v>
          </cell>
          <cell r="Z52"/>
          <cell r="AA52"/>
          <cell r="AB52"/>
          <cell r="AC52"/>
          <cell r="AD52"/>
          <cell r="AE52" t="e">
            <v>#REF!</v>
          </cell>
          <cell r="AF52"/>
          <cell r="AG52"/>
          <cell r="AH52"/>
          <cell r="AI52"/>
          <cell r="AJ52">
            <v>0</v>
          </cell>
          <cell r="AK52"/>
          <cell r="AL52" t="e">
            <v>#REF!</v>
          </cell>
          <cell r="AM52"/>
          <cell r="AN52"/>
          <cell r="AO52"/>
          <cell r="AP52"/>
          <cell r="AQ52">
            <v>0</v>
          </cell>
          <cell r="AR52"/>
          <cell r="AS52"/>
          <cell r="AT52"/>
          <cell r="AU52"/>
          <cell r="AV52"/>
          <cell r="AW52"/>
          <cell r="AX52"/>
          <cell r="AY52"/>
          <cell r="AZ52"/>
          <cell r="BA52"/>
          <cell r="BB52" t="e">
            <v>#REF!</v>
          </cell>
          <cell r="BC52"/>
          <cell r="BD52"/>
          <cell r="BE52"/>
          <cell r="BF52"/>
          <cell r="BG52">
            <v>0</v>
          </cell>
          <cell r="BH52"/>
          <cell r="BI52"/>
          <cell r="BJ52"/>
          <cell r="BK52"/>
          <cell r="BL52"/>
          <cell r="BM52"/>
          <cell r="BN52"/>
          <cell r="BO52"/>
          <cell r="BP52"/>
          <cell r="BQ52"/>
          <cell r="BR52" t="e">
            <v>#REF!</v>
          </cell>
          <cell r="BS52"/>
          <cell r="BT52"/>
          <cell r="BU52"/>
          <cell r="BV52"/>
          <cell r="BW52">
            <v>0</v>
          </cell>
          <cell r="BX52"/>
          <cell r="BY52"/>
          <cell r="BZ52"/>
          <cell r="CA52"/>
          <cell r="CB52"/>
          <cell r="CC52"/>
          <cell r="CD52"/>
          <cell r="CE52"/>
          <cell r="CF52"/>
          <cell r="CG52"/>
          <cell r="CH52"/>
          <cell r="CI52"/>
          <cell r="CJ52"/>
          <cell r="CK52"/>
          <cell r="CL52"/>
          <cell r="CM52" t="e">
            <v>#REF!</v>
          </cell>
          <cell r="CN52"/>
          <cell r="CO52"/>
          <cell r="CP52"/>
          <cell r="CQ52"/>
          <cell r="CR52">
            <v>0</v>
          </cell>
          <cell r="CS52"/>
          <cell r="CT52"/>
          <cell r="CU52"/>
          <cell r="CV52"/>
          <cell r="CW52"/>
          <cell r="CX52"/>
          <cell r="CY52"/>
          <cell r="CZ52"/>
          <cell r="DA52"/>
          <cell r="DB52"/>
          <cell r="DC52"/>
          <cell r="DD52"/>
          <cell r="DE52"/>
          <cell r="DF52"/>
          <cell r="DG52"/>
          <cell r="DH52"/>
          <cell r="DI52"/>
          <cell r="DJ52" t="e">
            <v>#REF!</v>
          </cell>
          <cell r="DK52"/>
          <cell r="DL52"/>
          <cell r="DM52"/>
          <cell r="DN52"/>
          <cell r="DO52" t="str">
            <v>46</v>
          </cell>
          <cell r="DP52"/>
        </row>
        <row r="53">
          <cell r="B53" t="str">
            <v>47</v>
          </cell>
          <cell r="C53"/>
          <cell r="D53" t="str">
            <v>Equipment - Repairs &amp; Rental</v>
          </cell>
          <cell r="E53"/>
          <cell r="F53"/>
          <cell r="G53"/>
          <cell r="H53"/>
          <cell r="I53"/>
          <cell r="J53"/>
          <cell r="K53"/>
          <cell r="L53"/>
          <cell r="M53" t="str">
            <v>0620</v>
          </cell>
          <cell r="N53">
            <v>3172</v>
          </cell>
          <cell r="O53"/>
          <cell r="P53"/>
          <cell r="Q53"/>
          <cell r="R53"/>
          <cell r="S53"/>
          <cell r="T53" t="e">
            <v>#REF!</v>
          </cell>
          <cell r="U53"/>
          <cell r="V53"/>
          <cell r="W53"/>
          <cell r="X53"/>
          <cell r="Y53">
            <v>49749</v>
          </cell>
          <cell r="Z53"/>
          <cell r="AA53"/>
          <cell r="AB53"/>
          <cell r="AC53"/>
          <cell r="AD53"/>
          <cell r="AE53" t="e">
            <v>#REF!</v>
          </cell>
          <cell r="AF53"/>
          <cell r="AG53"/>
          <cell r="AH53"/>
          <cell r="AI53"/>
          <cell r="AJ53">
            <v>0.1</v>
          </cell>
          <cell r="AK53"/>
          <cell r="AL53" t="e">
            <v>#REF!</v>
          </cell>
          <cell r="AM53"/>
          <cell r="AN53"/>
          <cell r="AO53"/>
          <cell r="AP53"/>
          <cell r="AQ53">
            <v>825</v>
          </cell>
          <cell r="AR53"/>
          <cell r="AS53"/>
          <cell r="AT53"/>
          <cell r="AU53"/>
          <cell r="AV53"/>
          <cell r="AW53"/>
          <cell r="AX53"/>
          <cell r="AY53"/>
          <cell r="AZ53"/>
          <cell r="BA53"/>
          <cell r="BB53" t="e">
            <v>#REF!</v>
          </cell>
          <cell r="BC53"/>
          <cell r="BD53"/>
          <cell r="BE53"/>
          <cell r="BF53"/>
          <cell r="BG53">
            <v>9290</v>
          </cell>
          <cell r="BH53"/>
          <cell r="BI53"/>
          <cell r="BJ53"/>
          <cell r="BK53"/>
          <cell r="BL53"/>
          <cell r="BM53"/>
          <cell r="BN53"/>
          <cell r="BO53"/>
          <cell r="BP53"/>
          <cell r="BQ53"/>
          <cell r="BR53" t="e">
            <v>#REF!</v>
          </cell>
          <cell r="BS53"/>
          <cell r="BT53"/>
          <cell r="BU53"/>
          <cell r="BV53"/>
          <cell r="BW53">
            <v>590</v>
          </cell>
          <cell r="BX53"/>
          <cell r="BY53"/>
          <cell r="BZ53"/>
          <cell r="CA53"/>
          <cell r="CB53"/>
          <cell r="CC53"/>
          <cell r="CD53"/>
          <cell r="CE53"/>
          <cell r="CF53"/>
          <cell r="CG53"/>
          <cell r="CH53"/>
          <cell r="CI53"/>
          <cell r="CJ53"/>
          <cell r="CK53"/>
          <cell r="CL53"/>
          <cell r="CM53" t="e">
            <v>#REF!</v>
          </cell>
          <cell r="CN53"/>
          <cell r="CO53"/>
          <cell r="CP53"/>
          <cell r="CQ53"/>
          <cell r="CR53">
            <v>8126</v>
          </cell>
          <cell r="CS53"/>
          <cell r="CT53"/>
          <cell r="CU53"/>
          <cell r="CV53"/>
          <cell r="CW53"/>
          <cell r="CX53"/>
          <cell r="CY53"/>
          <cell r="CZ53"/>
          <cell r="DA53"/>
          <cell r="DB53"/>
          <cell r="DC53"/>
          <cell r="DD53"/>
          <cell r="DE53"/>
          <cell r="DF53"/>
          <cell r="DG53"/>
          <cell r="DH53"/>
          <cell r="DI53"/>
          <cell r="DJ53" t="e">
            <v>#REF!</v>
          </cell>
          <cell r="DK53"/>
          <cell r="DL53"/>
          <cell r="DM53"/>
          <cell r="DN53"/>
          <cell r="DO53" t="str">
            <v>47</v>
          </cell>
          <cell r="DP53"/>
        </row>
        <row r="54">
          <cell r="B54" t="str">
            <v>48</v>
          </cell>
          <cell r="C54"/>
          <cell r="D54" t="str">
            <v>Depreciation - Other than Buildings &amp; Improvements</v>
          </cell>
          <cell r="E54"/>
          <cell r="F54"/>
          <cell r="G54"/>
          <cell r="H54"/>
          <cell r="I54"/>
          <cell r="J54"/>
          <cell r="K54"/>
          <cell r="L54"/>
          <cell r="M54" t="str">
            <v>0630</v>
          </cell>
          <cell r="N54">
            <v>11268</v>
          </cell>
          <cell r="O54"/>
          <cell r="P54"/>
          <cell r="Q54"/>
          <cell r="R54"/>
          <cell r="S54"/>
          <cell r="T54" t="e">
            <v>#REF!</v>
          </cell>
          <cell r="U54"/>
          <cell r="V54"/>
          <cell r="W54"/>
          <cell r="X54"/>
          <cell r="Y54">
            <v>129200</v>
          </cell>
          <cell r="Z54"/>
          <cell r="AA54"/>
          <cell r="AB54"/>
          <cell r="AC54"/>
          <cell r="AD54"/>
          <cell r="AE54" t="e">
            <v>#REF!</v>
          </cell>
          <cell r="AF54"/>
          <cell r="AG54"/>
          <cell r="AH54"/>
          <cell r="AI54"/>
          <cell r="AJ54">
            <v>0.2</v>
          </cell>
          <cell r="AK54"/>
          <cell r="AL54" t="e">
            <v>#REF!</v>
          </cell>
          <cell r="AM54"/>
          <cell r="AN54"/>
          <cell r="AO54"/>
          <cell r="AP54"/>
          <cell r="AQ54">
            <v>2669</v>
          </cell>
          <cell r="AR54"/>
          <cell r="AS54"/>
          <cell r="AT54"/>
          <cell r="AU54"/>
          <cell r="AV54"/>
          <cell r="AW54"/>
          <cell r="AX54"/>
          <cell r="AY54"/>
          <cell r="AZ54"/>
          <cell r="BA54"/>
          <cell r="BB54" t="e">
            <v>#REF!</v>
          </cell>
          <cell r="BC54"/>
          <cell r="BD54"/>
          <cell r="BE54"/>
          <cell r="BF54"/>
          <cell r="BG54">
            <v>30675</v>
          </cell>
          <cell r="BH54"/>
          <cell r="BI54"/>
          <cell r="BJ54"/>
          <cell r="BK54"/>
          <cell r="BL54"/>
          <cell r="BM54"/>
          <cell r="BN54"/>
          <cell r="BO54"/>
          <cell r="BP54"/>
          <cell r="BQ54"/>
          <cell r="BR54" t="e">
            <v>#REF!</v>
          </cell>
          <cell r="BS54"/>
          <cell r="BT54"/>
          <cell r="BU54"/>
          <cell r="BV54"/>
          <cell r="BW54">
            <v>1489</v>
          </cell>
          <cell r="BX54"/>
          <cell r="BY54"/>
          <cell r="BZ54"/>
          <cell r="CA54"/>
          <cell r="CB54"/>
          <cell r="CC54"/>
          <cell r="CD54"/>
          <cell r="CE54"/>
          <cell r="CF54"/>
          <cell r="CG54"/>
          <cell r="CH54"/>
          <cell r="CI54"/>
          <cell r="CJ54"/>
          <cell r="CK54"/>
          <cell r="CL54"/>
          <cell r="CM54" t="e">
            <v>#REF!</v>
          </cell>
          <cell r="CN54"/>
          <cell r="CO54"/>
          <cell r="CP54"/>
          <cell r="CQ54"/>
          <cell r="CR54">
            <v>17069</v>
          </cell>
          <cell r="CS54"/>
          <cell r="CT54"/>
          <cell r="CU54"/>
          <cell r="CV54"/>
          <cell r="CW54"/>
          <cell r="CX54"/>
          <cell r="CY54"/>
          <cell r="CZ54"/>
          <cell r="DA54"/>
          <cell r="DB54"/>
          <cell r="DC54"/>
          <cell r="DD54"/>
          <cell r="DE54"/>
          <cell r="DF54"/>
          <cell r="DG54"/>
          <cell r="DH54"/>
          <cell r="DI54"/>
          <cell r="DJ54" t="e">
            <v>#REF!</v>
          </cell>
          <cell r="DK54"/>
          <cell r="DL54"/>
          <cell r="DM54"/>
          <cell r="DN54"/>
          <cell r="DO54" t="str">
            <v>48</v>
          </cell>
          <cell r="DP54"/>
        </row>
        <row r="55">
          <cell r="B55" t="str">
            <v>49</v>
          </cell>
          <cell r="C55"/>
          <cell r="D55" t="str">
            <v>Insurance - Other than Buildings &amp; Improvements</v>
          </cell>
          <cell r="E55"/>
          <cell r="F55"/>
          <cell r="G55"/>
          <cell r="H55"/>
          <cell r="I55"/>
          <cell r="J55"/>
          <cell r="K55"/>
          <cell r="L55"/>
          <cell r="M55" t="str">
            <v>0640</v>
          </cell>
          <cell r="N55">
            <v>14918</v>
          </cell>
          <cell r="O55"/>
          <cell r="P55"/>
          <cell r="Q55"/>
          <cell r="R55"/>
          <cell r="S55"/>
          <cell r="T55" t="e">
            <v>#REF!</v>
          </cell>
          <cell r="U55"/>
          <cell r="V55"/>
          <cell r="W55"/>
          <cell r="X55"/>
          <cell r="Y55">
            <v>153207</v>
          </cell>
          <cell r="Z55"/>
          <cell r="AA55"/>
          <cell r="AB55"/>
          <cell r="AC55"/>
          <cell r="AD55"/>
          <cell r="AE55" t="e">
            <v>#REF!</v>
          </cell>
          <cell r="AF55"/>
          <cell r="AG55"/>
          <cell r="AH55"/>
          <cell r="AI55"/>
          <cell r="AJ55">
            <v>0.2</v>
          </cell>
          <cell r="AK55"/>
          <cell r="AL55" t="e">
            <v>#REF!</v>
          </cell>
          <cell r="AM55"/>
          <cell r="AN55"/>
          <cell r="AO55"/>
          <cell r="AP55"/>
          <cell r="AQ55">
            <v>6386</v>
          </cell>
          <cell r="AR55"/>
          <cell r="AS55"/>
          <cell r="AT55"/>
          <cell r="AU55"/>
          <cell r="AV55"/>
          <cell r="AW55"/>
          <cell r="AX55"/>
          <cell r="AY55"/>
          <cell r="AZ55"/>
          <cell r="BA55"/>
          <cell r="BB55" t="e">
            <v>#REF!</v>
          </cell>
          <cell r="BC55"/>
          <cell r="BD55"/>
          <cell r="BE55"/>
          <cell r="BF55"/>
          <cell r="BG55">
            <v>72327</v>
          </cell>
          <cell r="BH55"/>
          <cell r="BI55"/>
          <cell r="BJ55"/>
          <cell r="BK55"/>
          <cell r="BL55"/>
          <cell r="BM55"/>
          <cell r="BN55"/>
          <cell r="BO55"/>
          <cell r="BP55"/>
          <cell r="BQ55"/>
          <cell r="BR55" t="e">
            <v>#REF!</v>
          </cell>
          <cell r="BS55"/>
          <cell r="BT55"/>
          <cell r="BU55"/>
          <cell r="BV55"/>
          <cell r="BW55">
            <v>3931</v>
          </cell>
          <cell r="BX55"/>
          <cell r="BY55"/>
          <cell r="BZ55"/>
          <cell r="CA55"/>
          <cell r="CB55"/>
          <cell r="CC55"/>
          <cell r="CD55"/>
          <cell r="CE55"/>
          <cell r="CF55"/>
          <cell r="CG55"/>
          <cell r="CH55"/>
          <cell r="CI55"/>
          <cell r="CJ55"/>
          <cell r="CK55"/>
          <cell r="CL55"/>
          <cell r="CM55" t="e">
            <v>#REF!</v>
          </cell>
          <cell r="CN55"/>
          <cell r="CO55"/>
          <cell r="CP55"/>
          <cell r="CQ55"/>
          <cell r="CR55">
            <v>46462</v>
          </cell>
          <cell r="CS55"/>
          <cell r="CT55"/>
          <cell r="CU55"/>
          <cell r="CV55"/>
          <cell r="CW55"/>
          <cell r="CX55"/>
          <cell r="CY55"/>
          <cell r="CZ55"/>
          <cell r="DA55"/>
          <cell r="DB55"/>
          <cell r="DC55"/>
          <cell r="DD55"/>
          <cell r="DE55"/>
          <cell r="DF55"/>
          <cell r="DG55"/>
          <cell r="DH55"/>
          <cell r="DI55"/>
          <cell r="DJ55" t="e">
            <v>#REF!</v>
          </cell>
          <cell r="DK55"/>
          <cell r="DL55"/>
          <cell r="DM55"/>
          <cell r="DN55"/>
          <cell r="DO55" t="str">
            <v>49</v>
          </cell>
          <cell r="DP55"/>
        </row>
        <row r="56">
          <cell r="B56" t="str">
            <v>50</v>
          </cell>
          <cell r="C56"/>
          <cell r="D56" t="str">
            <v>Taxes - Other than Real Estate, Payroll &amp; Income</v>
          </cell>
          <cell r="E56"/>
          <cell r="F56"/>
          <cell r="G56"/>
          <cell r="H56"/>
          <cell r="I56"/>
          <cell r="J56"/>
          <cell r="K56"/>
          <cell r="L56"/>
          <cell r="M56" t="str">
            <v>0650</v>
          </cell>
          <cell r="N56">
            <v>5956</v>
          </cell>
          <cell r="O56"/>
          <cell r="P56"/>
          <cell r="Q56"/>
          <cell r="R56"/>
          <cell r="S56"/>
          <cell r="T56" t="e">
            <v>#REF!</v>
          </cell>
          <cell r="U56"/>
          <cell r="V56"/>
          <cell r="W56"/>
          <cell r="X56"/>
          <cell r="Y56">
            <v>88942</v>
          </cell>
          <cell r="Z56"/>
          <cell r="AA56"/>
          <cell r="AB56"/>
          <cell r="AC56"/>
          <cell r="AD56"/>
          <cell r="AE56" t="e">
            <v>#REF!</v>
          </cell>
          <cell r="AF56"/>
          <cell r="AG56"/>
          <cell r="AH56"/>
          <cell r="AI56"/>
          <cell r="AJ56">
            <v>0.1</v>
          </cell>
          <cell r="AK56"/>
          <cell r="AL56" t="e">
            <v>#REF!</v>
          </cell>
          <cell r="AM56"/>
          <cell r="AN56"/>
          <cell r="AO56"/>
          <cell r="AP56"/>
          <cell r="AQ56">
            <v>1939</v>
          </cell>
          <cell r="AR56"/>
          <cell r="AS56"/>
          <cell r="AT56"/>
          <cell r="AU56"/>
          <cell r="AV56"/>
          <cell r="AW56"/>
          <cell r="AX56"/>
          <cell r="AY56"/>
          <cell r="AZ56"/>
          <cell r="BA56"/>
          <cell r="BB56" t="e">
            <v>#REF!</v>
          </cell>
          <cell r="BC56"/>
          <cell r="BD56"/>
          <cell r="BE56"/>
          <cell r="BF56"/>
          <cell r="BG56">
            <v>28495</v>
          </cell>
          <cell r="BH56"/>
          <cell r="BI56"/>
          <cell r="BJ56"/>
          <cell r="BK56"/>
          <cell r="BL56"/>
          <cell r="BM56"/>
          <cell r="BN56"/>
          <cell r="BO56"/>
          <cell r="BP56"/>
          <cell r="BQ56"/>
          <cell r="BR56" t="e">
            <v>#REF!</v>
          </cell>
          <cell r="BS56"/>
          <cell r="BT56"/>
          <cell r="BU56"/>
          <cell r="BV56"/>
          <cell r="BW56">
            <v>1175</v>
          </cell>
          <cell r="BX56"/>
          <cell r="BY56"/>
          <cell r="BZ56"/>
          <cell r="CA56"/>
          <cell r="CB56"/>
          <cell r="CC56"/>
          <cell r="CD56"/>
          <cell r="CE56"/>
          <cell r="CF56"/>
          <cell r="CG56"/>
          <cell r="CH56"/>
          <cell r="CI56"/>
          <cell r="CJ56"/>
          <cell r="CK56"/>
          <cell r="CL56"/>
          <cell r="CM56" t="e">
            <v>#REF!</v>
          </cell>
          <cell r="CN56"/>
          <cell r="CO56"/>
          <cell r="CP56"/>
          <cell r="CQ56"/>
          <cell r="CR56">
            <v>24411</v>
          </cell>
          <cell r="CS56"/>
          <cell r="CT56"/>
          <cell r="CU56"/>
          <cell r="CV56"/>
          <cell r="CW56"/>
          <cell r="CX56"/>
          <cell r="CY56"/>
          <cell r="CZ56"/>
          <cell r="DA56"/>
          <cell r="DB56"/>
          <cell r="DC56"/>
          <cell r="DD56"/>
          <cell r="DE56"/>
          <cell r="DF56"/>
          <cell r="DG56"/>
          <cell r="DH56"/>
          <cell r="DI56"/>
          <cell r="DJ56" t="e">
            <v>#REF!</v>
          </cell>
          <cell r="DK56"/>
          <cell r="DL56"/>
          <cell r="DM56"/>
          <cell r="DN56"/>
          <cell r="DO56" t="str">
            <v>50</v>
          </cell>
          <cell r="DP56"/>
        </row>
        <row r="57">
          <cell r="B57" t="str">
            <v>51</v>
          </cell>
          <cell r="C57"/>
          <cell r="D57" t="str">
            <v>TOTAL FIXED EXPENSE GROUP</v>
          </cell>
          <cell r="E57"/>
          <cell r="F57"/>
          <cell r="G57"/>
          <cell r="H57"/>
          <cell r="I57"/>
          <cell r="J57"/>
          <cell r="K57"/>
          <cell r="L57" t="str">
            <v>(Lines 45 to 50)</v>
          </cell>
          <cell r="M57"/>
          <cell r="N57">
            <v>124804</v>
          </cell>
          <cell r="O57"/>
          <cell r="P57"/>
          <cell r="Q57"/>
          <cell r="R57"/>
          <cell r="S57"/>
          <cell r="T57" t="e">
            <v>#REF!</v>
          </cell>
          <cell r="U57"/>
          <cell r="V57"/>
          <cell r="W57"/>
          <cell r="X57"/>
          <cell r="Y57">
            <v>1447970</v>
          </cell>
          <cell r="Z57"/>
          <cell r="AA57"/>
          <cell r="AB57"/>
          <cell r="AC57"/>
          <cell r="AD57"/>
          <cell r="AE57" t="e">
            <v>#REF!</v>
          </cell>
          <cell r="AF57"/>
          <cell r="AG57"/>
          <cell r="AH57"/>
          <cell r="AI57"/>
          <cell r="AJ57">
            <v>1.9</v>
          </cell>
          <cell r="AK57"/>
          <cell r="AL57" t="e">
            <v>#REF!</v>
          </cell>
          <cell r="AM57"/>
          <cell r="AN57"/>
          <cell r="AO57"/>
          <cell r="AP57"/>
          <cell r="AQ57">
            <v>35531</v>
          </cell>
          <cell r="AR57"/>
          <cell r="AS57"/>
          <cell r="AT57"/>
          <cell r="AU57"/>
          <cell r="AV57"/>
          <cell r="AW57"/>
          <cell r="AX57"/>
          <cell r="AY57"/>
          <cell r="AZ57"/>
          <cell r="BA57"/>
          <cell r="BB57" t="e">
            <v>#REF!</v>
          </cell>
          <cell r="BC57"/>
          <cell r="BD57"/>
          <cell r="BE57"/>
          <cell r="BF57"/>
          <cell r="BG57">
            <v>399322</v>
          </cell>
          <cell r="BH57"/>
          <cell r="BI57"/>
          <cell r="BJ57"/>
          <cell r="BK57"/>
          <cell r="BL57"/>
          <cell r="BM57"/>
          <cell r="BN57"/>
          <cell r="BO57"/>
          <cell r="BP57"/>
          <cell r="BQ57"/>
          <cell r="BR57" t="e">
            <v>#REF!</v>
          </cell>
          <cell r="BS57"/>
          <cell r="BT57"/>
          <cell r="BU57"/>
          <cell r="BV57"/>
          <cell r="BW57">
            <v>37493</v>
          </cell>
          <cell r="BX57"/>
          <cell r="BY57"/>
          <cell r="BZ57"/>
          <cell r="CA57"/>
          <cell r="CB57"/>
          <cell r="CC57"/>
          <cell r="CD57"/>
          <cell r="CE57"/>
          <cell r="CF57"/>
          <cell r="CG57"/>
          <cell r="CH57"/>
          <cell r="CI57"/>
          <cell r="CJ57"/>
          <cell r="CK57"/>
          <cell r="CL57"/>
          <cell r="CM57" t="e">
            <v>#REF!</v>
          </cell>
          <cell r="CN57"/>
          <cell r="CO57"/>
          <cell r="CP57"/>
          <cell r="CQ57"/>
          <cell r="CR57">
            <v>471850</v>
          </cell>
          <cell r="CS57"/>
          <cell r="CT57"/>
          <cell r="CU57"/>
          <cell r="CV57"/>
          <cell r="CW57"/>
          <cell r="CX57"/>
          <cell r="CY57"/>
          <cell r="CZ57"/>
          <cell r="DA57"/>
          <cell r="DB57"/>
          <cell r="DC57"/>
          <cell r="DD57"/>
          <cell r="DE57"/>
          <cell r="DF57"/>
          <cell r="DG57"/>
          <cell r="DH57"/>
          <cell r="DI57"/>
          <cell r="DJ57" t="e">
            <v>#REF!</v>
          </cell>
          <cell r="DK57"/>
          <cell r="DL57"/>
          <cell r="DM57"/>
          <cell r="DN57"/>
          <cell r="DO57" t="str">
            <v>51</v>
          </cell>
          <cell r="DP57"/>
        </row>
        <row r="58">
          <cell r="B58" t="str">
            <v>52</v>
          </cell>
          <cell r="C58"/>
          <cell r="D58" t="str">
            <v>TOTAL FIXED OVERHEAD EXP.</v>
          </cell>
          <cell r="E58"/>
          <cell r="F58"/>
          <cell r="G58"/>
          <cell r="H58"/>
          <cell r="I58"/>
          <cell r="J58"/>
          <cell r="K58"/>
          <cell r="L58" t="str">
            <v>(Lines 22, 37 &amp; 51)</v>
          </cell>
          <cell r="M58"/>
          <cell r="N58">
            <v>686100</v>
          </cell>
          <cell r="O58"/>
          <cell r="P58"/>
          <cell r="Q58"/>
          <cell r="R58"/>
          <cell r="S58"/>
          <cell r="T58" t="e">
            <v>#REF!</v>
          </cell>
          <cell r="U58"/>
          <cell r="V58"/>
          <cell r="W58"/>
          <cell r="X58"/>
          <cell r="Y58">
            <v>7102278</v>
          </cell>
          <cell r="Z58"/>
          <cell r="AA58"/>
          <cell r="AB58"/>
          <cell r="AC58"/>
          <cell r="AD58"/>
          <cell r="AE58" t="e">
            <v>#REF!</v>
          </cell>
          <cell r="AF58"/>
          <cell r="AG58"/>
          <cell r="AH58"/>
          <cell r="AI58"/>
          <cell r="AJ58">
            <v>9.1</v>
          </cell>
          <cell r="AK58"/>
          <cell r="AL58" t="e">
            <v>#REF!</v>
          </cell>
          <cell r="AM58"/>
          <cell r="AN58"/>
          <cell r="AO58"/>
          <cell r="AP58"/>
          <cell r="AQ58">
            <v>209427</v>
          </cell>
          <cell r="AR58"/>
          <cell r="AS58"/>
          <cell r="AT58"/>
          <cell r="AU58"/>
          <cell r="AV58"/>
          <cell r="AW58"/>
          <cell r="AX58"/>
          <cell r="AY58"/>
          <cell r="AZ58"/>
          <cell r="BA58"/>
          <cell r="BB58" t="e">
            <v>#REF!</v>
          </cell>
          <cell r="BC58"/>
          <cell r="BD58"/>
          <cell r="BE58"/>
          <cell r="BF58"/>
          <cell r="BG58">
            <v>2381097</v>
          </cell>
          <cell r="BH58"/>
          <cell r="BI58"/>
          <cell r="BJ58"/>
          <cell r="BK58"/>
          <cell r="BL58"/>
          <cell r="BM58"/>
          <cell r="BN58"/>
          <cell r="BO58"/>
          <cell r="BP58"/>
          <cell r="BQ58"/>
          <cell r="BR58" t="e">
            <v>#REF!</v>
          </cell>
          <cell r="BS58"/>
          <cell r="BT58"/>
          <cell r="BU58"/>
          <cell r="BV58"/>
          <cell r="BW58">
            <v>208409</v>
          </cell>
          <cell r="BX58"/>
          <cell r="BY58"/>
          <cell r="BZ58"/>
          <cell r="CA58"/>
          <cell r="CB58"/>
          <cell r="CC58"/>
          <cell r="CD58"/>
          <cell r="CE58"/>
          <cell r="CF58"/>
          <cell r="CG58"/>
          <cell r="CH58"/>
          <cell r="CI58"/>
          <cell r="CJ58"/>
          <cell r="CK58"/>
          <cell r="CL58"/>
          <cell r="CM58" t="e">
            <v>#REF!</v>
          </cell>
          <cell r="CN58"/>
          <cell r="CO58"/>
          <cell r="CP58"/>
          <cell r="CQ58"/>
          <cell r="CR58">
            <v>2137798</v>
          </cell>
          <cell r="CS58"/>
          <cell r="CT58"/>
          <cell r="CU58"/>
          <cell r="CV58"/>
          <cell r="CW58"/>
          <cell r="CX58"/>
          <cell r="CY58"/>
          <cell r="CZ58"/>
          <cell r="DA58"/>
          <cell r="DB58"/>
          <cell r="DC58"/>
          <cell r="DD58"/>
          <cell r="DE58"/>
          <cell r="DF58"/>
          <cell r="DG58"/>
          <cell r="DH58"/>
          <cell r="DI58"/>
          <cell r="DJ58" t="e">
            <v>#REF!</v>
          </cell>
          <cell r="DK58"/>
          <cell r="DL58"/>
          <cell r="DM58"/>
          <cell r="DN58"/>
          <cell r="DO58" t="str">
            <v>52</v>
          </cell>
          <cell r="DP58"/>
        </row>
        <row r="59">
          <cell r="B59" t="str">
            <v>53</v>
          </cell>
          <cell r="C59"/>
          <cell r="D59" t="str">
            <v>TOTAL EXPENSES</v>
          </cell>
          <cell r="E59"/>
          <cell r="F59"/>
          <cell r="G59"/>
          <cell r="H59"/>
          <cell r="I59"/>
          <cell r="J59"/>
          <cell r="K59"/>
          <cell r="L59" t="str">
            <v>(Lines 14 &amp; 52)</v>
          </cell>
          <cell r="M59" t="str">
            <v>DDD</v>
          </cell>
          <cell r="N59">
            <v>965850</v>
          </cell>
          <cell r="O59"/>
          <cell r="P59"/>
          <cell r="Q59"/>
          <cell r="R59"/>
          <cell r="S59"/>
          <cell r="T59" t="e">
            <v>#REF!</v>
          </cell>
          <cell r="U59"/>
          <cell r="V59"/>
          <cell r="W59"/>
          <cell r="X59"/>
          <cell r="Y59">
            <v>10285499</v>
          </cell>
          <cell r="Z59"/>
          <cell r="AA59"/>
          <cell r="AB59"/>
          <cell r="AC59"/>
          <cell r="AD59"/>
          <cell r="AE59" t="e">
            <v>#REF!</v>
          </cell>
          <cell r="AF59"/>
          <cell r="AG59"/>
          <cell r="AH59"/>
          <cell r="AI59"/>
          <cell r="AJ59">
            <v>13.2</v>
          </cell>
          <cell r="AK59"/>
          <cell r="AL59" t="e">
            <v>#REF!</v>
          </cell>
          <cell r="AM59"/>
          <cell r="AN59"/>
          <cell r="AO59"/>
          <cell r="AP59"/>
          <cell r="AQ59">
            <v>261529</v>
          </cell>
          <cell r="AR59"/>
          <cell r="AS59"/>
          <cell r="AT59"/>
          <cell r="AU59"/>
          <cell r="AV59"/>
          <cell r="AW59"/>
          <cell r="AX59"/>
          <cell r="AY59"/>
          <cell r="AZ59"/>
          <cell r="BA59"/>
          <cell r="BB59" t="e">
            <v>#REF!</v>
          </cell>
          <cell r="BC59"/>
          <cell r="BD59"/>
          <cell r="BE59"/>
          <cell r="BF59"/>
          <cell r="BG59">
            <v>3583669</v>
          </cell>
          <cell r="BH59"/>
          <cell r="BI59"/>
          <cell r="BJ59"/>
          <cell r="BK59"/>
          <cell r="BL59"/>
          <cell r="BM59"/>
          <cell r="BN59"/>
          <cell r="BO59"/>
          <cell r="BP59"/>
          <cell r="BQ59"/>
          <cell r="BR59" t="e">
            <v>#REF!</v>
          </cell>
          <cell r="BS59"/>
          <cell r="BT59"/>
          <cell r="BU59"/>
          <cell r="BV59"/>
          <cell r="BW59">
            <v>368085</v>
          </cell>
          <cell r="BX59"/>
          <cell r="BY59"/>
          <cell r="BZ59"/>
          <cell r="CA59"/>
          <cell r="CB59"/>
          <cell r="CC59"/>
          <cell r="CD59"/>
          <cell r="CE59"/>
          <cell r="CF59"/>
          <cell r="CG59"/>
          <cell r="CH59"/>
          <cell r="CI59"/>
          <cell r="CJ59"/>
          <cell r="CK59"/>
          <cell r="CL59"/>
          <cell r="CM59" t="e">
            <v>#REF!</v>
          </cell>
          <cell r="CN59"/>
          <cell r="CO59"/>
          <cell r="CP59"/>
          <cell r="CQ59"/>
          <cell r="CR59">
            <v>3420026</v>
          </cell>
          <cell r="CS59"/>
          <cell r="CT59"/>
          <cell r="CU59"/>
          <cell r="CV59"/>
          <cell r="CW59"/>
          <cell r="CX59"/>
          <cell r="CY59"/>
          <cell r="CZ59"/>
          <cell r="DA59"/>
          <cell r="DB59"/>
          <cell r="DC59"/>
          <cell r="DD59"/>
          <cell r="DE59"/>
          <cell r="DF59"/>
          <cell r="DG59"/>
          <cell r="DH59"/>
          <cell r="DI59"/>
          <cell r="DJ59" t="e">
            <v>#REF!</v>
          </cell>
          <cell r="DK59"/>
          <cell r="DL59"/>
          <cell r="DM59"/>
          <cell r="DN59"/>
          <cell r="DO59" t="str">
            <v>53</v>
          </cell>
          <cell r="DP59"/>
        </row>
        <row r="60">
          <cell r="B60" t="str">
            <v>54</v>
          </cell>
          <cell r="C60"/>
          <cell r="D60" t="str">
            <v>Dept. Operating Net Profit Or (LOSS)</v>
          </cell>
          <cell r="E60"/>
          <cell r="F60"/>
          <cell r="G60"/>
          <cell r="H60"/>
          <cell r="I60"/>
          <cell r="J60"/>
          <cell r="K60"/>
          <cell r="L60" t="str">
            <v>(Line 2 less 53)</v>
          </cell>
          <cell r="M60"/>
          <cell r="N60">
            <v>-380986</v>
          </cell>
          <cell r="O60"/>
          <cell r="P60"/>
          <cell r="Q60"/>
          <cell r="R60"/>
          <cell r="S60"/>
          <cell r="T60" t="e">
            <v>#REF!</v>
          </cell>
          <cell r="U60"/>
          <cell r="V60"/>
          <cell r="W60"/>
          <cell r="X60"/>
          <cell r="Y60">
            <v>-2475624</v>
          </cell>
          <cell r="Z60"/>
          <cell r="AA60"/>
          <cell r="AB60"/>
          <cell r="AC60"/>
          <cell r="AD60"/>
          <cell r="AE60" t="e">
            <v>#REF!</v>
          </cell>
          <cell r="AF60"/>
          <cell r="AG60"/>
          <cell r="AH60"/>
          <cell r="AI60"/>
          <cell r="AJ60">
            <v>-3.2</v>
          </cell>
          <cell r="AK60"/>
          <cell r="AL60" t="e">
            <v>#REF!</v>
          </cell>
          <cell r="AM60"/>
          <cell r="AN60"/>
          <cell r="AO60"/>
          <cell r="AP60"/>
          <cell r="AQ60">
            <v>-173797</v>
          </cell>
          <cell r="AR60"/>
          <cell r="AS60"/>
          <cell r="AT60"/>
          <cell r="AU60"/>
          <cell r="AV60"/>
          <cell r="AW60"/>
          <cell r="AX60"/>
          <cell r="AY60"/>
          <cell r="AZ60"/>
          <cell r="BA60"/>
          <cell r="BB60" t="e">
            <v>#REF!</v>
          </cell>
          <cell r="BC60"/>
          <cell r="BD60"/>
          <cell r="BE60"/>
          <cell r="BF60"/>
          <cell r="BG60">
            <v>-2468091</v>
          </cell>
          <cell r="BH60"/>
          <cell r="BI60"/>
          <cell r="BJ60"/>
          <cell r="BK60"/>
          <cell r="BL60"/>
          <cell r="BM60"/>
          <cell r="BN60"/>
          <cell r="BO60"/>
          <cell r="BP60"/>
          <cell r="BQ60"/>
          <cell r="BR60" t="e">
            <v>#REF!</v>
          </cell>
          <cell r="BS60"/>
          <cell r="BT60"/>
          <cell r="BU60"/>
          <cell r="BV60"/>
          <cell r="BW60">
            <v>-162487</v>
          </cell>
          <cell r="BX60"/>
          <cell r="BY60"/>
          <cell r="BZ60"/>
          <cell r="CA60"/>
          <cell r="CB60"/>
          <cell r="CC60"/>
          <cell r="CD60"/>
          <cell r="CE60"/>
          <cell r="CF60"/>
          <cell r="CG60"/>
          <cell r="CH60"/>
          <cell r="CI60"/>
          <cell r="CJ60"/>
          <cell r="CK60"/>
          <cell r="CL60"/>
          <cell r="CM60" t="e">
            <v>#REF!</v>
          </cell>
          <cell r="CN60"/>
          <cell r="CO60"/>
          <cell r="CP60"/>
          <cell r="CQ60"/>
          <cell r="CR60">
            <v>-710863</v>
          </cell>
          <cell r="CS60"/>
          <cell r="CT60"/>
          <cell r="CU60"/>
          <cell r="CV60"/>
          <cell r="CW60"/>
          <cell r="CX60"/>
          <cell r="CY60"/>
          <cell r="CZ60"/>
          <cell r="DA60"/>
          <cell r="DB60"/>
          <cell r="DC60"/>
          <cell r="DD60"/>
          <cell r="DE60"/>
          <cell r="DF60"/>
          <cell r="DG60"/>
          <cell r="DH60"/>
          <cell r="DI60"/>
          <cell r="DJ60" t="e">
            <v>#REF!</v>
          </cell>
          <cell r="DK60"/>
          <cell r="DL60"/>
          <cell r="DM60"/>
          <cell r="DN60"/>
          <cell r="DO60" t="str">
            <v>54</v>
          </cell>
          <cell r="DP60"/>
        </row>
        <row r="61">
          <cell r="B61" t="str">
            <v>55</v>
          </cell>
          <cell r="C61"/>
          <cell r="D61" t="str">
            <v>Net Additions &amp; Deductions to Income</v>
          </cell>
          <cell r="E61"/>
          <cell r="F61"/>
          <cell r="G61"/>
          <cell r="H61"/>
          <cell r="I61"/>
          <cell r="J61"/>
          <cell r="K61"/>
          <cell r="L61" t="str">
            <v>(Pg 3 line 71)</v>
          </cell>
          <cell r="M61" t="str">
            <v>TT31</v>
          </cell>
          <cell r="N61">
            <v>76743</v>
          </cell>
          <cell r="O61"/>
          <cell r="P61"/>
          <cell r="Q61"/>
          <cell r="R61"/>
          <cell r="S61"/>
          <cell r="T61" t="e">
            <v>#REF!</v>
          </cell>
          <cell r="U61"/>
          <cell r="V61"/>
          <cell r="W61"/>
          <cell r="X61"/>
          <cell r="Y61">
            <v>635446</v>
          </cell>
          <cell r="Z61"/>
          <cell r="AA61"/>
          <cell r="AB61"/>
          <cell r="AC61"/>
          <cell r="AD61"/>
          <cell r="AE61" t="e">
            <v>#REF!</v>
          </cell>
          <cell r="AF61"/>
          <cell r="AG61"/>
          <cell r="AH61"/>
          <cell r="AI61"/>
          <cell r="AJ61">
            <v>0.8</v>
          </cell>
          <cell r="AK61"/>
          <cell r="AL61" t="e">
            <v>#REF!</v>
          </cell>
          <cell r="AM61"/>
          <cell r="AN61"/>
          <cell r="AO61"/>
          <cell r="AP61"/>
          <cell r="AQ61"/>
          <cell r="AR61"/>
          <cell r="AS61"/>
          <cell r="AT61"/>
          <cell r="AU61"/>
          <cell r="AV61"/>
          <cell r="AW61"/>
          <cell r="AX61"/>
          <cell r="AY61"/>
          <cell r="AZ61"/>
          <cell r="BA61"/>
          <cell r="BB61"/>
          <cell r="BC61"/>
          <cell r="BD61"/>
          <cell r="BE61"/>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cell r="DG61"/>
          <cell r="DH61"/>
          <cell r="DI61"/>
          <cell r="DJ61" t="e">
            <v>#REF!</v>
          </cell>
          <cell r="DK61"/>
          <cell r="DL61"/>
          <cell r="DM61"/>
          <cell r="DN61"/>
          <cell r="DO61" t="str">
            <v>55</v>
          </cell>
          <cell r="DP61"/>
        </row>
        <row r="62">
          <cell r="B62" t="str">
            <v>56</v>
          </cell>
          <cell r="C62"/>
          <cell r="D62" t="str">
            <v>Documentary Fees</v>
          </cell>
          <cell r="E62"/>
          <cell r="F62"/>
          <cell r="G62"/>
          <cell r="H62"/>
          <cell r="I62"/>
          <cell r="J62"/>
          <cell r="K62"/>
          <cell r="L62"/>
          <cell r="M62" t="str">
            <v>8030</v>
          </cell>
          <cell r="N62">
            <v>124068</v>
          </cell>
          <cell r="O62"/>
          <cell r="P62"/>
          <cell r="Q62"/>
          <cell r="R62"/>
          <cell r="S62"/>
          <cell r="T62" t="e">
            <v>#REF!</v>
          </cell>
          <cell r="U62"/>
          <cell r="V62"/>
          <cell r="W62"/>
          <cell r="X62"/>
          <cell r="Y62">
            <v>1285452</v>
          </cell>
          <cell r="Z62"/>
          <cell r="AA62"/>
          <cell r="AB62"/>
          <cell r="AC62"/>
          <cell r="AD62"/>
          <cell r="AE62" t="e">
            <v>#REF!</v>
          </cell>
          <cell r="AF62"/>
          <cell r="AG62"/>
          <cell r="AH62"/>
          <cell r="AI62"/>
          <cell r="AJ62">
            <v>1.6</v>
          </cell>
          <cell r="AK62"/>
          <cell r="AL62" t="e">
            <v>#REF!</v>
          </cell>
          <cell r="AM62"/>
          <cell r="AN62"/>
          <cell r="AO62"/>
          <cell r="AP62"/>
          <cell r="AQ62">
            <v>83829</v>
          </cell>
          <cell r="AR62"/>
          <cell r="AS62"/>
          <cell r="AT62"/>
          <cell r="AU62"/>
          <cell r="AV62"/>
          <cell r="AW62"/>
          <cell r="AX62"/>
          <cell r="AY62"/>
          <cell r="AZ62"/>
          <cell r="BA62"/>
          <cell r="BB62" t="e">
            <v>#REF!</v>
          </cell>
          <cell r="BC62"/>
          <cell r="BD62"/>
          <cell r="BE62"/>
          <cell r="BF62"/>
          <cell r="BG62">
            <v>733152</v>
          </cell>
          <cell r="BH62"/>
          <cell r="BI62"/>
          <cell r="BJ62"/>
          <cell r="BK62"/>
          <cell r="BL62"/>
          <cell r="BM62"/>
          <cell r="BN62"/>
          <cell r="BO62"/>
          <cell r="BP62"/>
          <cell r="BQ62"/>
          <cell r="BR62" t="e">
            <v>#REF!</v>
          </cell>
          <cell r="BS62"/>
          <cell r="BT62"/>
          <cell r="BU62"/>
          <cell r="BV62"/>
          <cell r="BW62">
            <v>40239</v>
          </cell>
          <cell r="BX62"/>
          <cell r="BY62"/>
          <cell r="BZ62"/>
          <cell r="CA62"/>
          <cell r="CB62"/>
          <cell r="CC62"/>
          <cell r="CD62"/>
          <cell r="CE62"/>
          <cell r="CF62"/>
          <cell r="CG62"/>
          <cell r="CH62"/>
          <cell r="CI62"/>
          <cell r="CJ62"/>
          <cell r="CK62"/>
          <cell r="CL62"/>
          <cell r="CM62" t="e">
            <v>#REF!</v>
          </cell>
          <cell r="CN62"/>
          <cell r="CO62"/>
          <cell r="CP62"/>
          <cell r="CQ62"/>
          <cell r="CR62">
            <v>552300</v>
          </cell>
          <cell r="CS62"/>
          <cell r="CT62"/>
          <cell r="CU62"/>
          <cell r="CV62"/>
          <cell r="CW62"/>
          <cell r="CX62"/>
          <cell r="CY62"/>
          <cell r="CZ62"/>
          <cell r="DA62"/>
          <cell r="DB62"/>
          <cell r="DC62"/>
          <cell r="DD62"/>
          <cell r="DE62"/>
          <cell r="DF62"/>
          <cell r="DG62"/>
          <cell r="DH62"/>
          <cell r="DI62"/>
          <cell r="DJ62" t="e">
            <v>#REF!</v>
          </cell>
          <cell r="DK62"/>
          <cell r="DL62"/>
          <cell r="DM62"/>
          <cell r="DN62"/>
          <cell r="DO62" t="str">
            <v>56</v>
          </cell>
          <cell r="DP62"/>
        </row>
        <row r="63">
          <cell r="B63" t="str">
            <v>57</v>
          </cell>
          <cell r="C63"/>
          <cell r="D63" t="str">
            <v>Quality Growth Program and Nissan 10 Bonus</v>
          </cell>
          <cell r="E63"/>
          <cell r="F63"/>
          <cell r="G63"/>
          <cell r="H63"/>
          <cell r="I63"/>
          <cell r="J63"/>
          <cell r="K63"/>
          <cell r="L63"/>
          <cell r="M63" t="str">
            <v>8075</v>
          </cell>
          <cell r="N63">
            <v>5760</v>
          </cell>
          <cell r="O63"/>
          <cell r="P63"/>
          <cell r="Q63"/>
          <cell r="R63"/>
          <cell r="S63"/>
          <cell r="T63" t="e">
            <v>#REF!</v>
          </cell>
          <cell r="U63"/>
          <cell r="V63"/>
          <cell r="W63"/>
          <cell r="X63"/>
          <cell r="Y63">
            <v>596211</v>
          </cell>
          <cell r="Z63"/>
          <cell r="AA63"/>
          <cell r="AB63"/>
          <cell r="AC63"/>
          <cell r="AD63"/>
          <cell r="AE63" t="e">
            <v>#REF!</v>
          </cell>
          <cell r="AF63"/>
          <cell r="AG63"/>
          <cell r="AH63"/>
          <cell r="AI63"/>
          <cell r="AJ63">
            <v>0.8</v>
          </cell>
          <cell r="AK63"/>
          <cell r="AL63" t="e">
            <v>#REF!</v>
          </cell>
          <cell r="AM63"/>
          <cell r="AN63"/>
          <cell r="AO63"/>
          <cell r="AP63"/>
          <cell r="AQ63">
            <v>0</v>
          </cell>
          <cell r="AR63"/>
          <cell r="AS63"/>
          <cell r="AT63"/>
          <cell r="AU63"/>
          <cell r="AV63"/>
          <cell r="AW63"/>
          <cell r="AX63"/>
          <cell r="AY63"/>
          <cell r="AZ63"/>
          <cell r="BA63"/>
          <cell r="BB63" t="e">
            <v>#REF!</v>
          </cell>
          <cell r="BC63"/>
          <cell r="BD63"/>
          <cell r="BE63"/>
          <cell r="BF63"/>
          <cell r="BG63">
            <v>338879</v>
          </cell>
          <cell r="BH63"/>
          <cell r="BI63"/>
          <cell r="BJ63"/>
          <cell r="BK63"/>
          <cell r="BL63"/>
          <cell r="BM63"/>
          <cell r="BN63"/>
          <cell r="BO63"/>
          <cell r="BP63"/>
          <cell r="BQ63"/>
          <cell r="BR63" t="e">
            <v>#REF!</v>
          </cell>
          <cell r="BS63"/>
          <cell r="BT63"/>
          <cell r="BU63"/>
          <cell r="BV63"/>
          <cell r="BW63">
            <v>0</v>
          </cell>
          <cell r="BX63"/>
          <cell r="BY63"/>
          <cell r="BZ63"/>
          <cell r="CA63"/>
          <cell r="CB63"/>
          <cell r="CC63"/>
          <cell r="CD63"/>
          <cell r="CE63"/>
          <cell r="CF63"/>
          <cell r="CG63"/>
          <cell r="CH63"/>
          <cell r="CI63"/>
          <cell r="CJ63"/>
          <cell r="CK63"/>
          <cell r="CL63"/>
          <cell r="CM63" t="e">
            <v>#REF!</v>
          </cell>
          <cell r="CN63"/>
          <cell r="CO63"/>
          <cell r="CP63"/>
          <cell r="CQ63"/>
          <cell r="CR63">
            <v>0</v>
          </cell>
          <cell r="CS63"/>
          <cell r="CT63"/>
          <cell r="CU63"/>
          <cell r="CV63"/>
          <cell r="CW63"/>
          <cell r="CX63"/>
          <cell r="CY63"/>
          <cell r="CZ63"/>
          <cell r="DA63"/>
          <cell r="DB63"/>
          <cell r="DC63"/>
          <cell r="DD63"/>
          <cell r="DE63"/>
          <cell r="DF63"/>
          <cell r="DG63"/>
          <cell r="DH63"/>
          <cell r="DI63"/>
          <cell r="DJ63" t="e">
            <v>#REF!</v>
          </cell>
          <cell r="DK63"/>
          <cell r="DL63"/>
          <cell r="DM63"/>
          <cell r="DN63"/>
          <cell r="DO63" t="str">
            <v>57</v>
          </cell>
          <cell r="DP63"/>
        </row>
        <row r="64">
          <cell r="B64" t="str">
            <v>58</v>
          </cell>
          <cell r="C64"/>
          <cell r="D64" t="str">
            <v>Sales Growth Program (SGP)</v>
          </cell>
          <cell r="E64"/>
          <cell r="F64"/>
          <cell r="G64"/>
          <cell r="H64"/>
          <cell r="I64"/>
          <cell r="J64"/>
          <cell r="K64"/>
          <cell r="L64"/>
          <cell r="M64" t="str">
            <v>8077</v>
          </cell>
          <cell r="N64">
            <v>356000</v>
          </cell>
          <cell r="O64"/>
          <cell r="P64"/>
          <cell r="Q64"/>
          <cell r="R64"/>
          <cell r="S64"/>
          <cell r="T64" t="e">
            <v>#REF!</v>
          </cell>
          <cell r="U64"/>
          <cell r="V64"/>
          <cell r="W64"/>
          <cell r="X64"/>
          <cell r="Y64">
            <v>2159065</v>
          </cell>
          <cell r="Z64"/>
          <cell r="AA64"/>
          <cell r="AB64"/>
          <cell r="AC64"/>
          <cell r="AD64"/>
          <cell r="AE64" t="e">
            <v>#REF!</v>
          </cell>
          <cell r="AF64"/>
          <cell r="AG64"/>
          <cell r="AH64"/>
          <cell r="AI64"/>
          <cell r="AJ64">
            <v>2.8</v>
          </cell>
          <cell r="AK64"/>
          <cell r="AL64" t="e">
            <v>#REF!</v>
          </cell>
          <cell r="AM64"/>
          <cell r="AN64"/>
          <cell r="AO64"/>
          <cell r="AP64"/>
          <cell r="AQ64">
            <v>356000</v>
          </cell>
          <cell r="AR64"/>
          <cell r="AS64"/>
          <cell r="AT64"/>
          <cell r="AU64"/>
          <cell r="AV64"/>
          <cell r="AW64"/>
          <cell r="AX64"/>
          <cell r="AY64"/>
          <cell r="AZ64"/>
          <cell r="BA64"/>
          <cell r="BB64" t="e">
            <v>#REF!</v>
          </cell>
          <cell r="BC64"/>
          <cell r="BD64"/>
          <cell r="BE64"/>
          <cell r="BF64"/>
          <cell r="BG64">
            <v>2159065</v>
          </cell>
          <cell r="BH64"/>
          <cell r="BI64"/>
          <cell r="BJ64"/>
          <cell r="BK64"/>
          <cell r="BL64"/>
          <cell r="BM64"/>
          <cell r="BN64"/>
          <cell r="BO64"/>
          <cell r="BP64"/>
          <cell r="BQ64"/>
          <cell r="BR64" t="e">
            <v>#REF!</v>
          </cell>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cell r="DG64"/>
          <cell r="DH64"/>
          <cell r="DI64"/>
          <cell r="DJ64" t="e">
            <v>#REF!</v>
          </cell>
          <cell r="DK64"/>
          <cell r="DL64"/>
          <cell r="DM64"/>
          <cell r="DN64"/>
          <cell r="DO64" t="str">
            <v>58</v>
          </cell>
          <cell r="DP64"/>
        </row>
        <row r="65">
          <cell r="B65" t="str">
            <v>59</v>
          </cell>
          <cell r="C65"/>
          <cell r="D65" t="str">
            <v>Placeholder</v>
          </cell>
          <cell r="E65"/>
          <cell r="F65"/>
          <cell r="G65"/>
          <cell r="H65"/>
          <cell r="I65"/>
          <cell r="J65"/>
          <cell r="K65"/>
          <cell r="L65"/>
          <cell r="M65" t="str">
            <v>8078</v>
          </cell>
          <cell r="N65">
            <v>0</v>
          </cell>
          <cell r="O65"/>
          <cell r="P65"/>
          <cell r="Q65"/>
          <cell r="R65"/>
          <cell r="S65"/>
          <cell r="T65" t="e">
            <v>#REF!</v>
          </cell>
          <cell r="U65"/>
          <cell r="V65"/>
          <cell r="W65"/>
          <cell r="X65"/>
          <cell r="Y65">
            <v>0</v>
          </cell>
          <cell r="Z65"/>
          <cell r="AA65"/>
          <cell r="AB65"/>
          <cell r="AC65"/>
          <cell r="AD65"/>
          <cell r="AE65" t="e">
            <v>#REF!</v>
          </cell>
          <cell r="AF65"/>
          <cell r="AG65"/>
          <cell r="AH65"/>
          <cell r="AI65"/>
          <cell r="AJ65">
            <v>0</v>
          </cell>
          <cell r="AK65"/>
          <cell r="AL65" t="e">
            <v>#REF!</v>
          </cell>
          <cell r="AM65"/>
          <cell r="AN65"/>
          <cell r="AO65"/>
          <cell r="AP65"/>
          <cell r="AQ65">
            <v>0</v>
          </cell>
          <cell r="AR65"/>
          <cell r="AS65"/>
          <cell r="AT65"/>
          <cell r="AU65"/>
          <cell r="AV65"/>
          <cell r="AW65"/>
          <cell r="AX65"/>
          <cell r="AY65"/>
          <cell r="AZ65"/>
          <cell r="BA65"/>
          <cell r="BB65" t="e">
            <v>#REF!</v>
          </cell>
          <cell r="BC65"/>
          <cell r="BD65"/>
          <cell r="BE65"/>
          <cell r="BF65"/>
          <cell r="BG65">
            <v>0</v>
          </cell>
          <cell r="BH65"/>
          <cell r="BI65"/>
          <cell r="BJ65"/>
          <cell r="BK65"/>
          <cell r="BL65"/>
          <cell r="BM65"/>
          <cell r="BN65"/>
          <cell r="BO65"/>
          <cell r="BP65"/>
          <cell r="BQ65"/>
          <cell r="BR65" t="e">
            <v>#REF!</v>
          </cell>
          <cell r="BS65"/>
          <cell r="BT65"/>
          <cell r="BU65"/>
          <cell r="BV65"/>
          <cell r="BW65"/>
          <cell r="BX65"/>
          <cell r="BY65"/>
          <cell r="BZ65"/>
          <cell r="CA65"/>
          <cell r="CB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cell r="DG65"/>
          <cell r="DH65"/>
          <cell r="DI65"/>
          <cell r="DJ65" t="e">
            <v>#REF!</v>
          </cell>
          <cell r="DK65"/>
          <cell r="DL65"/>
          <cell r="DM65"/>
          <cell r="DN65"/>
          <cell r="DO65" t="str">
            <v>59</v>
          </cell>
          <cell r="DP65"/>
        </row>
        <row r="66">
          <cell r="B66" t="str">
            <v>60</v>
          </cell>
          <cell r="C66"/>
          <cell r="D66" t="str">
            <v>Miscellaneous Factory Programs</v>
          </cell>
          <cell r="E66"/>
          <cell r="F66"/>
          <cell r="G66"/>
          <cell r="H66"/>
          <cell r="I66"/>
          <cell r="J66"/>
          <cell r="K66"/>
          <cell r="L66"/>
          <cell r="M66" t="str">
            <v>8070</v>
          </cell>
          <cell r="N66">
            <v>0</v>
          </cell>
          <cell r="O66"/>
          <cell r="P66"/>
          <cell r="Q66"/>
          <cell r="R66"/>
          <cell r="S66"/>
          <cell r="T66" t="e">
            <v>#REF!</v>
          </cell>
          <cell r="U66"/>
          <cell r="V66"/>
          <cell r="W66"/>
          <cell r="X66"/>
          <cell r="Y66">
            <v>74450</v>
          </cell>
          <cell r="Z66"/>
          <cell r="AA66"/>
          <cell r="AB66"/>
          <cell r="AC66"/>
          <cell r="AD66"/>
          <cell r="AE66" t="e">
            <v>#REF!</v>
          </cell>
          <cell r="AF66"/>
          <cell r="AG66"/>
          <cell r="AH66"/>
          <cell r="AI66"/>
          <cell r="AJ66">
            <v>0.1</v>
          </cell>
          <cell r="AK66"/>
          <cell r="AL66" t="e">
            <v>#REF!</v>
          </cell>
          <cell r="AM66"/>
          <cell r="AN66"/>
          <cell r="AO66"/>
          <cell r="AP66"/>
          <cell r="AQ66">
            <v>0</v>
          </cell>
          <cell r="AR66"/>
          <cell r="AS66"/>
          <cell r="AT66"/>
          <cell r="AU66"/>
          <cell r="AV66"/>
          <cell r="AW66"/>
          <cell r="AX66"/>
          <cell r="AY66"/>
          <cell r="AZ66"/>
          <cell r="BA66"/>
          <cell r="BB66" t="e">
            <v>#REF!</v>
          </cell>
          <cell r="BC66"/>
          <cell r="BD66"/>
          <cell r="BE66"/>
          <cell r="BF66"/>
          <cell r="BG66">
            <v>74450</v>
          </cell>
          <cell r="BH66"/>
          <cell r="BI66"/>
          <cell r="BJ66"/>
          <cell r="BK66"/>
          <cell r="BL66"/>
          <cell r="BM66"/>
          <cell r="BN66"/>
          <cell r="BO66"/>
          <cell r="BP66"/>
          <cell r="BQ66"/>
          <cell r="BR66" t="e">
            <v>#REF!</v>
          </cell>
          <cell r="BS66"/>
          <cell r="BT66"/>
          <cell r="BU66"/>
          <cell r="BV66"/>
          <cell r="BW66">
            <v>0</v>
          </cell>
          <cell r="BX66"/>
          <cell r="BY66"/>
          <cell r="BZ66"/>
          <cell r="CA66"/>
          <cell r="CB66"/>
          <cell r="CC66"/>
          <cell r="CD66"/>
          <cell r="CE66"/>
          <cell r="CF66"/>
          <cell r="CG66"/>
          <cell r="CH66"/>
          <cell r="CI66"/>
          <cell r="CJ66"/>
          <cell r="CK66"/>
          <cell r="CL66"/>
          <cell r="CM66" t="e">
            <v>#REF!</v>
          </cell>
          <cell r="CN66"/>
          <cell r="CO66"/>
          <cell r="CP66"/>
          <cell r="CQ66"/>
          <cell r="CR66">
            <v>0</v>
          </cell>
          <cell r="CS66"/>
          <cell r="CT66"/>
          <cell r="CU66"/>
          <cell r="CV66"/>
          <cell r="CW66"/>
          <cell r="CX66"/>
          <cell r="CY66"/>
          <cell r="CZ66"/>
          <cell r="DA66"/>
          <cell r="DB66"/>
          <cell r="DC66"/>
          <cell r="DD66"/>
          <cell r="DE66"/>
          <cell r="DF66"/>
          <cell r="DG66"/>
          <cell r="DH66"/>
          <cell r="DI66"/>
          <cell r="DJ66" t="e">
            <v>#REF!</v>
          </cell>
          <cell r="DK66"/>
          <cell r="DL66"/>
          <cell r="DM66"/>
          <cell r="DN66"/>
          <cell r="DO66" t="str">
            <v>60</v>
          </cell>
          <cell r="DP66"/>
        </row>
        <row r="67">
          <cell r="B67" t="str">
            <v>61</v>
          </cell>
          <cell r="C67"/>
          <cell r="D67" t="str">
            <v>NET PROFIT - before bonuses &amp; Inc. tax</v>
          </cell>
          <cell r="E67"/>
          <cell r="F67"/>
          <cell r="G67"/>
          <cell r="H67"/>
          <cell r="I67"/>
          <cell r="J67"/>
          <cell r="K67"/>
          <cell r="L67" t="str">
            <v>(Lines 54 to 60)</v>
          </cell>
          <cell r="M67"/>
          <cell r="N67">
            <v>181585</v>
          </cell>
          <cell r="O67"/>
          <cell r="P67"/>
          <cell r="Q67"/>
          <cell r="R67"/>
          <cell r="S67"/>
          <cell r="T67" t="e">
            <v>#REF!</v>
          </cell>
          <cell r="U67"/>
          <cell r="V67"/>
          <cell r="W67"/>
          <cell r="X67"/>
          <cell r="Y67">
            <v>2275000</v>
          </cell>
          <cell r="Z67"/>
          <cell r="AA67"/>
          <cell r="AB67"/>
          <cell r="AC67"/>
          <cell r="AD67"/>
          <cell r="AE67" t="e">
            <v>#REF!</v>
          </cell>
          <cell r="AF67"/>
          <cell r="AG67"/>
          <cell r="AH67"/>
          <cell r="AI67"/>
          <cell r="AJ67">
            <v>2.9</v>
          </cell>
          <cell r="AK67"/>
          <cell r="AL67" t="e">
            <v>#REF!</v>
          </cell>
          <cell r="AM67"/>
          <cell r="AN67"/>
          <cell r="AO67"/>
          <cell r="AP67"/>
          <cell r="AQ67"/>
          <cell r="AR67"/>
          <cell r="AS67"/>
          <cell r="AT67"/>
          <cell r="AU67"/>
          <cell r="AV67"/>
          <cell r="AW67"/>
          <cell r="AX67"/>
          <cell r="AY67"/>
          <cell r="AZ67"/>
          <cell r="BA67"/>
          <cell r="BB67"/>
          <cell r="BC67"/>
          <cell r="BD67"/>
          <cell r="BE67"/>
          <cell r="BF67"/>
          <cell r="BG67"/>
          <cell r="BH67"/>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cell r="DG67"/>
          <cell r="DH67"/>
          <cell r="DI67"/>
          <cell r="DJ67" t="e">
            <v>#REF!</v>
          </cell>
          <cell r="DK67"/>
          <cell r="DL67"/>
          <cell r="DM67"/>
          <cell r="DN67"/>
          <cell r="DO67" t="str">
            <v>61</v>
          </cell>
          <cell r="DP67"/>
        </row>
        <row r="68">
          <cell r="B68" t="str">
            <v>62</v>
          </cell>
          <cell r="C68"/>
          <cell r="D68" t="str">
            <v>LESS - Bonuses - Employees / Owners</v>
          </cell>
          <cell r="E68"/>
          <cell r="F68"/>
          <cell r="G68"/>
          <cell r="H68"/>
          <cell r="I68"/>
          <cell r="J68"/>
          <cell r="K68"/>
          <cell r="L68"/>
          <cell r="M68" t="str">
            <v>0970/0980</v>
          </cell>
          <cell r="N68">
            <v>37438</v>
          </cell>
          <cell r="O68"/>
          <cell r="P68"/>
          <cell r="Q68"/>
          <cell r="R68"/>
          <cell r="S68"/>
          <cell r="T68" t="e">
            <v>#REF!</v>
          </cell>
          <cell r="U68"/>
          <cell r="V68"/>
          <cell r="W68"/>
          <cell r="X68"/>
          <cell r="Y68">
            <v>461565</v>
          </cell>
          <cell r="Z68"/>
          <cell r="AA68"/>
          <cell r="AB68"/>
          <cell r="AC68"/>
          <cell r="AD68"/>
          <cell r="AE68" t="e">
            <v>#REF!</v>
          </cell>
          <cell r="AF68"/>
          <cell r="AG68"/>
          <cell r="AH68"/>
          <cell r="AI68"/>
          <cell r="AJ68">
            <v>0.6</v>
          </cell>
          <cell r="AK68"/>
          <cell r="AL68" t="e">
            <v>#REF!</v>
          </cell>
          <cell r="AM68"/>
          <cell r="AN68"/>
          <cell r="AO68"/>
          <cell r="AP68"/>
          <cell r="AQ68"/>
          <cell r="AR68"/>
          <cell r="AS68"/>
          <cell r="AT68"/>
          <cell r="AU68"/>
          <cell r="AV68"/>
          <cell r="AW68"/>
          <cell r="AX68"/>
          <cell r="AY68"/>
          <cell r="AZ68"/>
          <cell r="BA68"/>
          <cell r="BB68"/>
          <cell r="BC68"/>
          <cell r="BD68"/>
          <cell r="BE68"/>
          <cell r="BF68"/>
          <cell r="BG68"/>
          <cell r="BH68"/>
          <cell r="BI68"/>
          <cell r="BJ68"/>
          <cell r="BK68"/>
          <cell r="BL68"/>
          <cell r="BM68"/>
          <cell r="BN68"/>
          <cell r="BO68"/>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cell r="DG68"/>
          <cell r="DH68"/>
          <cell r="DI68"/>
          <cell r="DJ68"/>
          <cell r="DK68"/>
          <cell r="DL68"/>
          <cell r="DM68"/>
          <cell r="DN68"/>
          <cell r="DO68" t="str">
            <v>62</v>
          </cell>
          <cell r="DP68"/>
        </row>
        <row r="69">
          <cell r="B69" t="str">
            <v>63</v>
          </cell>
          <cell r="C69"/>
          <cell r="D69" t="str">
            <v>LIFO Adjustments</v>
          </cell>
          <cell r="E69"/>
          <cell r="F69"/>
          <cell r="G69"/>
          <cell r="H69"/>
          <cell r="I69"/>
          <cell r="J69"/>
          <cell r="K69"/>
          <cell r="L69"/>
          <cell r="M69"/>
          <cell r="N69">
            <v>0</v>
          </cell>
          <cell r="O69"/>
          <cell r="P69"/>
          <cell r="Q69"/>
          <cell r="R69"/>
          <cell r="S69"/>
          <cell r="T69" t="e">
            <v>#REF!</v>
          </cell>
          <cell r="U69"/>
          <cell r="V69"/>
          <cell r="W69"/>
          <cell r="X69"/>
          <cell r="Y69">
            <v>0</v>
          </cell>
          <cell r="Z69"/>
          <cell r="AA69"/>
          <cell r="AB69"/>
          <cell r="AC69"/>
          <cell r="AD69"/>
          <cell r="AE69" t="e">
            <v>#REF!</v>
          </cell>
          <cell r="AF69"/>
          <cell r="AG69"/>
          <cell r="AH69"/>
          <cell r="AI69"/>
          <cell r="AJ69">
            <v>0</v>
          </cell>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t="str">
            <v>MONTH</v>
          </cell>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t="str">
            <v>YTD</v>
          </cell>
          <cell r="CT69"/>
          <cell r="CU69"/>
          <cell r="CV69"/>
          <cell r="CW69"/>
          <cell r="CX69"/>
          <cell r="CY69"/>
          <cell r="CZ69"/>
          <cell r="DA69"/>
          <cell r="DB69"/>
          <cell r="DC69"/>
          <cell r="DD69" t="e">
            <v>#REF!</v>
          </cell>
          <cell r="DE69"/>
          <cell r="DF69"/>
          <cell r="DG69"/>
          <cell r="DH69"/>
          <cell r="DI69"/>
          <cell r="DJ69"/>
          <cell r="DK69"/>
          <cell r="DL69"/>
          <cell r="DM69"/>
          <cell r="DN69"/>
          <cell r="DO69" t="str">
            <v>63</v>
          </cell>
          <cell r="DP69"/>
        </row>
        <row r="70">
          <cell r="B70" t="str">
            <v>64</v>
          </cell>
          <cell r="C70"/>
          <cell r="D70" t="str">
            <v>NET PROFIT (LOSS) - before income taxes</v>
          </cell>
          <cell r="E70"/>
          <cell r="F70"/>
          <cell r="G70"/>
          <cell r="H70"/>
          <cell r="I70"/>
          <cell r="J70"/>
          <cell r="K70"/>
          <cell r="L70" t="str">
            <v xml:space="preserve">(Line 61 - 63) </v>
          </cell>
          <cell r="M70"/>
          <cell r="N70">
            <v>144147</v>
          </cell>
          <cell r="O70"/>
          <cell r="P70"/>
          <cell r="Q70"/>
          <cell r="R70"/>
          <cell r="S70"/>
          <cell r="T70" t="e">
            <v>#REF!</v>
          </cell>
          <cell r="U70"/>
          <cell r="V70"/>
          <cell r="W70"/>
          <cell r="X70"/>
          <cell r="Y70">
            <v>1813435</v>
          </cell>
          <cell r="Z70"/>
          <cell r="AA70"/>
          <cell r="AB70"/>
          <cell r="AC70"/>
          <cell r="AD70"/>
          <cell r="AE70" t="e">
            <v>#REF!</v>
          </cell>
          <cell r="AF70"/>
          <cell r="AG70"/>
          <cell r="AH70"/>
          <cell r="AI70"/>
          <cell r="AJ70">
            <v>2.2999999999999998</v>
          </cell>
          <cell r="AK70"/>
          <cell r="AL70" t="e">
            <v>#REF!</v>
          </cell>
          <cell r="AM70"/>
          <cell r="AN70"/>
          <cell r="AO70"/>
          <cell r="AP70"/>
          <cell r="AQ70"/>
          <cell r="AR70" t="str">
            <v>Return on Sales %</v>
          </cell>
          <cell r="AS70"/>
          <cell r="AT70"/>
          <cell r="AU70"/>
          <cell r="AV70"/>
          <cell r="AW70"/>
          <cell r="AX70"/>
          <cell r="AY70"/>
          <cell r="AZ70"/>
          <cell r="BA70"/>
          <cell r="BB70"/>
          <cell r="BC70"/>
          <cell r="BD70"/>
          <cell r="BE70"/>
          <cell r="BF70"/>
          <cell r="BG70"/>
          <cell r="BH70"/>
          <cell r="BI70"/>
          <cell r="BJ70" t="str">
            <v>895A</v>
          </cell>
          <cell r="BK70"/>
          <cell r="BL70"/>
          <cell r="BM70"/>
          <cell r="BN70"/>
          <cell r="BO70"/>
          <cell r="BP70"/>
          <cell r="BQ70">
            <v>1.85</v>
          </cell>
          <cell r="BR70"/>
          <cell r="BS70"/>
          <cell r="BT70"/>
          <cell r="BU70"/>
          <cell r="BV70"/>
          <cell r="BW70"/>
          <cell r="BX70"/>
          <cell r="BY70"/>
          <cell r="BZ70"/>
          <cell r="CA70"/>
          <cell r="CB70"/>
          <cell r="CC70"/>
          <cell r="CD70"/>
          <cell r="CE70"/>
          <cell r="CF70"/>
          <cell r="CG70"/>
          <cell r="CH70"/>
          <cell r="CI70"/>
          <cell r="CJ70"/>
          <cell r="CK70" t="str">
            <v>895B</v>
          </cell>
          <cell r="CL70"/>
          <cell r="CM70"/>
          <cell r="CN70"/>
          <cell r="CO70"/>
          <cell r="CP70"/>
          <cell r="CQ70"/>
          <cell r="CR70"/>
          <cell r="CS70">
            <v>2.41</v>
          </cell>
          <cell r="CT70"/>
          <cell r="CU70"/>
          <cell r="CV70"/>
          <cell r="CW70"/>
          <cell r="CX70"/>
          <cell r="CY70"/>
          <cell r="CZ70"/>
          <cell r="DA70"/>
          <cell r="DB70"/>
          <cell r="DC70"/>
          <cell r="DD70"/>
          <cell r="DE70"/>
          <cell r="DF70"/>
          <cell r="DG70"/>
          <cell r="DH70"/>
          <cell r="DI70"/>
          <cell r="DJ70"/>
          <cell r="DK70"/>
          <cell r="DL70"/>
          <cell r="DM70"/>
          <cell r="DN70"/>
          <cell r="DO70" t="str">
            <v>64</v>
          </cell>
          <cell r="DP70"/>
        </row>
        <row r="71">
          <cell r="B71" t="str">
            <v>65</v>
          </cell>
          <cell r="C71"/>
          <cell r="D71" t="str">
            <v>LESS Income Taxes</v>
          </cell>
          <cell r="E71"/>
          <cell r="F71"/>
          <cell r="G71"/>
          <cell r="H71"/>
          <cell r="I71"/>
          <cell r="J71"/>
          <cell r="K71"/>
          <cell r="L71"/>
          <cell r="M71" t="str">
            <v>0990</v>
          </cell>
          <cell r="N71">
            <v>0</v>
          </cell>
          <cell r="O71"/>
          <cell r="P71"/>
          <cell r="Q71"/>
          <cell r="R71"/>
          <cell r="S71"/>
          <cell r="T71" t="e">
            <v>#REF!</v>
          </cell>
          <cell r="U71"/>
          <cell r="V71"/>
          <cell r="W71"/>
          <cell r="X71"/>
          <cell r="Y71">
            <v>0</v>
          </cell>
          <cell r="Z71"/>
          <cell r="AA71"/>
          <cell r="AB71"/>
          <cell r="AC71"/>
          <cell r="AD71"/>
          <cell r="AE71" t="e">
            <v>#REF!</v>
          </cell>
          <cell r="AF71"/>
          <cell r="AG71"/>
          <cell r="AH71"/>
          <cell r="AI71"/>
          <cell r="AJ71">
            <v>0</v>
          </cell>
          <cell r="AK71"/>
          <cell r="AL71" t="e">
            <v>#REF!</v>
          </cell>
          <cell r="AM71"/>
          <cell r="AN71"/>
          <cell r="AO71"/>
          <cell r="AP71"/>
          <cell r="AQ71"/>
          <cell r="AR71" t="str">
            <v>Return on Invest.%</v>
          </cell>
          <cell r="AS71"/>
          <cell r="AT71"/>
          <cell r="AU71"/>
          <cell r="AV71"/>
          <cell r="AW71"/>
          <cell r="AX71"/>
          <cell r="AY71"/>
          <cell r="AZ71"/>
          <cell r="BA71"/>
          <cell r="BB71"/>
          <cell r="BC71"/>
          <cell r="BD71"/>
          <cell r="BE71"/>
          <cell r="BF71"/>
          <cell r="BG71"/>
          <cell r="BH71"/>
          <cell r="BI71"/>
          <cell r="BJ71"/>
          <cell r="BK71"/>
          <cell r="BL71"/>
          <cell r="BM71"/>
          <cell r="BN71"/>
          <cell r="BO71"/>
          <cell r="BP71"/>
          <cell r="BQ71"/>
          <cell r="BR71"/>
          <cell r="BS71"/>
          <cell r="BT71"/>
          <cell r="BU71"/>
          <cell r="BV71"/>
          <cell r="BW71"/>
          <cell r="BX71"/>
          <cell r="BY71"/>
          <cell r="BZ71"/>
          <cell r="CA71"/>
          <cell r="CB71"/>
          <cell r="CC71"/>
          <cell r="CD71"/>
          <cell r="CE71"/>
          <cell r="CF71" t="e">
            <v>#REF!</v>
          </cell>
          <cell r="CG71"/>
          <cell r="CH71"/>
          <cell r="CI71"/>
          <cell r="CJ71"/>
          <cell r="CK71" t="str">
            <v>896A</v>
          </cell>
          <cell r="CL71"/>
          <cell r="CM71"/>
          <cell r="CN71"/>
          <cell r="CO71"/>
          <cell r="CP71"/>
          <cell r="CQ71"/>
          <cell r="CR71"/>
          <cell r="CS71">
            <v>40.799999999999997</v>
          </cell>
          <cell r="CT71"/>
          <cell r="CU71"/>
          <cell r="CV71"/>
          <cell r="CW71"/>
          <cell r="CX71"/>
          <cell r="CY71"/>
          <cell r="CZ71"/>
          <cell r="DA71"/>
          <cell r="DB71"/>
          <cell r="DC71"/>
          <cell r="DD71" t="e">
            <v>#REF!</v>
          </cell>
          <cell r="DE71"/>
          <cell r="DF71"/>
          <cell r="DG71"/>
          <cell r="DH71"/>
          <cell r="DI71"/>
          <cell r="DJ71"/>
          <cell r="DK71"/>
          <cell r="DL71"/>
          <cell r="DM71"/>
          <cell r="DN71"/>
          <cell r="DO71" t="str">
            <v>65</v>
          </cell>
          <cell r="DP71"/>
        </row>
        <row r="72">
          <cell r="B72" t="str">
            <v>66</v>
          </cell>
          <cell r="C72"/>
          <cell r="D72" t="str">
            <v>NET PROFIT (LOSS) - after income taxes</v>
          </cell>
          <cell r="E72"/>
          <cell r="F72"/>
          <cell r="G72"/>
          <cell r="H72"/>
          <cell r="I72"/>
          <cell r="J72"/>
          <cell r="K72"/>
          <cell r="L72" t="str">
            <v xml:space="preserve">(Line 64 less 65) </v>
          </cell>
          <cell r="M72" t="str">
            <v>TT21</v>
          </cell>
          <cell r="N72">
            <v>144147</v>
          </cell>
          <cell r="O72"/>
          <cell r="P72"/>
          <cell r="Q72"/>
          <cell r="R72"/>
          <cell r="S72"/>
          <cell r="T72" t="e">
            <v>#REF!</v>
          </cell>
          <cell r="U72"/>
          <cell r="V72"/>
          <cell r="W72"/>
          <cell r="X72"/>
          <cell r="Y72">
            <v>1813435</v>
          </cell>
          <cell r="Z72"/>
          <cell r="AA72"/>
          <cell r="AB72"/>
          <cell r="AC72"/>
          <cell r="AD72"/>
          <cell r="AE72" t="e">
            <v>#REF!</v>
          </cell>
          <cell r="AF72"/>
          <cell r="AG72"/>
          <cell r="AH72"/>
          <cell r="AI72"/>
          <cell r="AJ72">
            <v>2.2999999999999998</v>
          </cell>
          <cell r="AK72"/>
          <cell r="AL72" t="e">
            <v>#REF!</v>
          </cell>
          <cell r="AM72"/>
          <cell r="AN72"/>
          <cell r="AO72"/>
          <cell r="AP72"/>
          <cell r="AQ72"/>
          <cell r="AR72" t="str">
            <v>Fixed Absorption %</v>
          </cell>
          <cell r="AS72"/>
          <cell r="AT72"/>
          <cell r="AU72"/>
          <cell r="AV72"/>
          <cell r="AW72"/>
          <cell r="AX72"/>
          <cell r="AY72"/>
          <cell r="AZ72"/>
          <cell r="BA72"/>
          <cell r="BB72"/>
          <cell r="BC72"/>
          <cell r="BD72"/>
          <cell r="BE72"/>
          <cell r="BF72"/>
          <cell r="BG72"/>
          <cell r="BH72"/>
          <cell r="BI72"/>
          <cell r="BJ72" t="str">
            <v>897A</v>
          </cell>
          <cell r="BK72"/>
          <cell r="BL72"/>
          <cell r="BM72"/>
          <cell r="BN72"/>
          <cell r="BO72"/>
          <cell r="BP72"/>
          <cell r="BQ72">
            <v>38.700000000000003</v>
          </cell>
          <cell r="BR72"/>
          <cell r="BS72"/>
          <cell r="BT72"/>
          <cell r="BU72"/>
          <cell r="BV72"/>
          <cell r="BW72"/>
          <cell r="BX72"/>
          <cell r="BY72"/>
          <cell r="BZ72"/>
          <cell r="CA72"/>
          <cell r="CB72"/>
          <cell r="CC72"/>
          <cell r="CD72"/>
          <cell r="CE72"/>
          <cell r="CF72"/>
          <cell r="CG72"/>
          <cell r="CH72"/>
          <cell r="CI72"/>
          <cell r="CJ72"/>
          <cell r="CK72" t="str">
            <v>897B</v>
          </cell>
          <cell r="CL72"/>
          <cell r="CM72"/>
          <cell r="CN72"/>
          <cell r="CO72"/>
          <cell r="CP72"/>
          <cell r="CQ72"/>
          <cell r="CR72"/>
          <cell r="CS72">
            <v>51.1</v>
          </cell>
          <cell r="CT72"/>
          <cell r="CU72"/>
          <cell r="CV72"/>
          <cell r="CW72"/>
          <cell r="CX72"/>
          <cell r="CY72"/>
          <cell r="CZ72"/>
          <cell r="DA72"/>
          <cell r="DB72"/>
          <cell r="DC72"/>
          <cell r="DD72"/>
          <cell r="DE72"/>
          <cell r="DF72"/>
          <cell r="DG72"/>
          <cell r="DH72"/>
          <cell r="DI72"/>
          <cell r="DJ72"/>
          <cell r="DK72"/>
          <cell r="DL72"/>
          <cell r="DM72"/>
          <cell r="DN72"/>
          <cell r="DO72" t="str">
            <v>66</v>
          </cell>
          <cell r="DP72"/>
        </row>
        <row r="73">
          <cell r="B73" t="str">
            <v>67</v>
          </cell>
          <cell r="C73"/>
          <cell r="D73"/>
          <cell r="E73"/>
          <cell r="F73"/>
          <cell r="G73"/>
          <cell r="H73"/>
          <cell r="I73"/>
          <cell r="J73"/>
          <cell r="K73"/>
          <cell r="L73"/>
          <cell r="M73"/>
          <cell r="N73"/>
          <cell r="O73" t="str">
            <v>New-A</v>
          </cell>
          <cell r="P73"/>
          <cell r="Q73"/>
          <cell r="R73"/>
          <cell r="S73"/>
          <cell r="T73"/>
          <cell r="U73"/>
          <cell r="V73"/>
          <cell r="W73"/>
          <cell r="X73"/>
          <cell r="Y73" t="str">
            <v>Used-B</v>
          </cell>
          <cell r="Z73"/>
          <cell r="AA73"/>
          <cell r="AB73"/>
          <cell r="AC73"/>
          <cell r="AD73" t="str">
            <v>SVC-C</v>
          </cell>
          <cell r="AE73"/>
          <cell r="AF73"/>
          <cell r="AG73"/>
          <cell r="AH73"/>
          <cell r="AI73"/>
          <cell r="AJ73"/>
          <cell r="AK73"/>
          <cell r="AL73"/>
          <cell r="AM73"/>
          <cell r="AN73"/>
          <cell r="AO73"/>
          <cell r="AP73"/>
          <cell r="AQ73"/>
          <cell r="AR73" t="str">
            <v>EXP SVC-K</v>
          </cell>
          <cell r="AS73"/>
          <cell r="AT73"/>
          <cell r="AU73"/>
          <cell r="AV73"/>
          <cell r="AW73"/>
          <cell r="AX73"/>
          <cell r="AY73"/>
          <cell r="AZ73"/>
          <cell r="BA73"/>
          <cell r="BB73"/>
          <cell r="BC73"/>
          <cell r="BD73"/>
          <cell r="BE73"/>
          <cell r="BF73"/>
          <cell r="BG73" t="str">
            <v>P&amp;A-D</v>
          </cell>
          <cell r="BH73"/>
          <cell r="BI73"/>
          <cell r="BJ73"/>
          <cell r="BK73"/>
          <cell r="BL73"/>
          <cell r="BM73"/>
          <cell r="BN73"/>
          <cell r="BO73"/>
          <cell r="BP73" t="str">
            <v>B/S-E</v>
          </cell>
          <cell r="BQ73"/>
          <cell r="BR73"/>
          <cell r="BS73"/>
          <cell r="BT73"/>
          <cell r="BU73"/>
          <cell r="BV73"/>
          <cell r="BW73"/>
          <cell r="BX73"/>
          <cell r="BY73"/>
          <cell r="BZ73"/>
          <cell r="CA73"/>
          <cell r="CB73"/>
          <cell r="CC73"/>
          <cell r="CD73"/>
          <cell r="CE73" t="str">
            <v>NCV-F</v>
          </cell>
          <cell r="CF73"/>
          <cell r="CG73"/>
          <cell r="CH73"/>
          <cell r="CI73"/>
          <cell r="CJ73"/>
          <cell r="CK73"/>
          <cell r="CL73"/>
          <cell r="CM73"/>
          <cell r="CN73"/>
          <cell r="CO73"/>
          <cell r="CP73"/>
          <cell r="CQ73"/>
          <cell r="CR73"/>
          <cell r="CS73"/>
          <cell r="CT73"/>
          <cell r="CU73"/>
          <cell r="CV73"/>
          <cell r="CW73"/>
          <cell r="CX73"/>
          <cell r="CY73"/>
          <cell r="CZ73" t="str">
            <v>TOTAL-H</v>
          </cell>
          <cell r="DA73"/>
          <cell r="DB73"/>
          <cell r="DC73"/>
          <cell r="DD73"/>
          <cell r="DE73"/>
          <cell r="DF73"/>
          <cell r="DG73"/>
          <cell r="DH73"/>
          <cell r="DI73"/>
          <cell r="DJ73"/>
          <cell r="DK73"/>
          <cell r="DL73"/>
          <cell r="DM73"/>
          <cell r="DN73"/>
          <cell r="DO73" t="str">
            <v>67</v>
          </cell>
          <cell r="DP73"/>
        </row>
        <row r="74">
          <cell r="B74" t="str">
            <v>68</v>
          </cell>
          <cell r="C74"/>
          <cell r="D74"/>
          <cell r="E74"/>
          <cell r="F74"/>
          <cell r="G74"/>
          <cell r="H74" t="str">
            <v>Exec. - Owner</v>
          </cell>
          <cell r="I74"/>
          <cell r="J74"/>
          <cell r="K74"/>
          <cell r="L74"/>
          <cell r="M74" t="str">
            <v>001</v>
          </cell>
          <cell r="N74"/>
          <cell r="O74">
            <v>1</v>
          </cell>
          <cell r="P74"/>
          <cell r="Q74"/>
          <cell r="R74"/>
          <cell r="S74"/>
          <cell r="T74"/>
          <cell r="U74"/>
          <cell r="V74"/>
          <cell r="W74"/>
          <cell r="X74"/>
          <cell r="Y74">
            <v>0</v>
          </cell>
          <cell r="Z74"/>
          <cell r="AA74"/>
          <cell r="AB74"/>
          <cell r="AC74"/>
          <cell r="AD74">
            <v>0</v>
          </cell>
          <cell r="AE74"/>
          <cell r="AF74"/>
          <cell r="AG74"/>
          <cell r="AH74"/>
          <cell r="AI74"/>
          <cell r="AJ74"/>
          <cell r="AK74"/>
          <cell r="AL74"/>
          <cell r="AM74"/>
          <cell r="AN74"/>
          <cell r="AO74"/>
          <cell r="AP74"/>
          <cell r="AQ74"/>
          <cell r="AR74"/>
          <cell r="AS74"/>
          <cell r="AT74"/>
          <cell r="AU74"/>
          <cell r="AV74"/>
          <cell r="AW74"/>
          <cell r="AX74"/>
          <cell r="AY74"/>
          <cell r="AZ74"/>
          <cell r="BA74"/>
          <cell r="BB74"/>
          <cell r="BC74"/>
          <cell r="BD74"/>
          <cell r="BE74"/>
          <cell r="BF74"/>
          <cell r="BG74">
            <v>0</v>
          </cell>
          <cell r="BH74"/>
          <cell r="BI74"/>
          <cell r="BJ74"/>
          <cell r="BK74"/>
          <cell r="BL74"/>
          <cell r="BM74"/>
          <cell r="BN74"/>
          <cell r="BO74"/>
          <cell r="BP74">
            <v>0</v>
          </cell>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v>1</v>
          </cell>
          <cell r="DA74"/>
          <cell r="DB74"/>
          <cell r="DC74"/>
          <cell r="DD74"/>
          <cell r="DE74"/>
          <cell r="DF74"/>
          <cell r="DG74"/>
          <cell r="DH74"/>
          <cell r="DI74"/>
          <cell r="DJ74"/>
          <cell r="DK74"/>
          <cell r="DL74"/>
          <cell r="DM74"/>
          <cell r="DN74"/>
          <cell r="DO74" t="str">
            <v>68</v>
          </cell>
          <cell r="DP74"/>
        </row>
        <row r="75">
          <cell r="B75" t="str">
            <v>69</v>
          </cell>
          <cell r="C75"/>
          <cell r="D75"/>
          <cell r="E75"/>
          <cell r="F75"/>
          <cell r="G75"/>
          <cell r="H75" t="str">
            <v>Department Mgr</v>
          </cell>
          <cell r="I75"/>
          <cell r="J75"/>
          <cell r="K75"/>
          <cell r="L75"/>
          <cell r="M75" t="str">
            <v>002</v>
          </cell>
          <cell r="N75"/>
          <cell r="O75">
            <v>4</v>
          </cell>
          <cell r="P75"/>
          <cell r="Q75"/>
          <cell r="R75"/>
          <cell r="S75"/>
          <cell r="T75"/>
          <cell r="U75"/>
          <cell r="V75"/>
          <cell r="W75"/>
          <cell r="X75"/>
          <cell r="Y75">
            <v>5</v>
          </cell>
          <cell r="Z75"/>
          <cell r="AA75"/>
          <cell r="AB75"/>
          <cell r="AC75"/>
          <cell r="AD75">
            <v>2</v>
          </cell>
          <cell r="AE75"/>
          <cell r="AF75"/>
          <cell r="AG75"/>
          <cell r="AH75"/>
          <cell r="AI75"/>
          <cell r="AJ75"/>
          <cell r="AK75"/>
          <cell r="AL75"/>
          <cell r="AM75"/>
          <cell r="AN75"/>
          <cell r="AO75"/>
          <cell r="AP75"/>
          <cell r="AQ75"/>
          <cell r="AR75">
            <v>1</v>
          </cell>
          <cell r="AS75"/>
          <cell r="AT75"/>
          <cell r="AU75"/>
          <cell r="AV75"/>
          <cell r="AW75"/>
          <cell r="AX75"/>
          <cell r="AY75"/>
          <cell r="AZ75"/>
          <cell r="BA75"/>
          <cell r="BB75"/>
          <cell r="BC75"/>
          <cell r="BD75"/>
          <cell r="BE75"/>
          <cell r="BF75"/>
          <cell r="BG75">
            <v>1</v>
          </cell>
          <cell r="BH75"/>
          <cell r="BI75"/>
          <cell r="BJ75"/>
          <cell r="BK75"/>
          <cell r="BL75"/>
          <cell r="BM75"/>
          <cell r="BN75"/>
          <cell r="BO75"/>
          <cell r="BP75">
            <v>0</v>
          </cell>
          <cell r="BQ75"/>
          <cell r="BR75"/>
          <cell r="BS75"/>
          <cell r="BT75"/>
          <cell r="BU75"/>
          <cell r="BV75"/>
          <cell r="BW75"/>
          <cell r="BX75"/>
          <cell r="BY75"/>
          <cell r="BZ75"/>
          <cell r="CA75"/>
          <cell r="CB75"/>
          <cell r="CC75"/>
          <cell r="CD75"/>
          <cell r="CE75">
            <v>0</v>
          </cell>
          <cell r="CF75"/>
          <cell r="CG75"/>
          <cell r="CH75"/>
          <cell r="CI75"/>
          <cell r="CJ75"/>
          <cell r="CK75"/>
          <cell r="CL75"/>
          <cell r="CM75"/>
          <cell r="CN75"/>
          <cell r="CO75"/>
          <cell r="CP75"/>
          <cell r="CQ75"/>
          <cell r="CR75"/>
          <cell r="CS75"/>
          <cell r="CT75"/>
          <cell r="CU75"/>
          <cell r="CV75"/>
          <cell r="CW75"/>
          <cell r="CX75"/>
          <cell r="CY75"/>
          <cell r="CZ75">
            <v>13</v>
          </cell>
          <cell r="DA75"/>
          <cell r="DB75"/>
          <cell r="DC75"/>
          <cell r="DD75"/>
          <cell r="DE75"/>
          <cell r="DF75"/>
          <cell r="DG75"/>
          <cell r="DH75"/>
          <cell r="DI75"/>
          <cell r="DJ75"/>
          <cell r="DK75"/>
          <cell r="DL75"/>
          <cell r="DM75"/>
          <cell r="DN75"/>
          <cell r="DO75" t="str">
            <v>69</v>
          </cell>
          <cell r="DP75"/>
        </row>
        <row r="76">
          <cell r="B76" t="str">
            <v>70</v>
          </cell>
          <cell r="C76"/>
          <cell r="D76"/>
          <cell r="E76"/>
          <cell r="F76"/>
          <cell r="G76"/>
          <cell r="H76" t="str">
            <v>Sales People</v>
          </cell>
          <cell r="I76"/>
          <cell r="J76"/>
          <cell r="K76"/>
          <cell r="L76"/>
          <cell r="M76" t="str">
            <v>003</v>
          </cell>
          <cell r="N76"/>
          <cell r="O76">
            <v>12</v>
          </cell>
          <cell r="P76"/>
          <cell r="Q76"/>
          <cell r="R76"/>
          <cell r="S76"/>
          <cell r="T76"/>
          <cell r="U76"/>
          <cell r="V76"/>
          <cell r="W76"/>
          <cell r="X76"/>
          <cell r="Y76">
            <v>9</v>
          </cell>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cell r="BE76"/>
          <cell r="BF76"/>
          <cell r="BG76"/>
          <cell r="BH76"/>
          <cell r="BI76"/>
          <cell r="BJ76"/>
          <cell r="BK76"/>
          <cell r="BL76"/>
          <cell r="BM76"/>
          <cell r="BN76"/>
          <cell r="BO76"/>
          <cell r="BP76"/>
          <cell r="BQ76"/>
          <cell r="BR76"/>
          <cell r="BS76"/>
          <cell r="BT76"/>
          <cell r="BU76"/>
          <cell r="BV76"/>
          <cell r="BW76"/>
          <cell r="BX76"/>
          <cell r="BY76"/>
          <cell r="BZ76"/>
          <cell r="CA76"/>
          <cell r="CB76"/>
          <cell r="CC76"/>
          <cell r="CD76"/>
          <cell r="CE76">
            <v>0</v>
          </cell>
          <cell r="CF76"/>
          <cell r="CG76"/>
          <cell r="CH76"/>
          <cell r="CI76"/>
          <cell r="CJ76"/>
          <cell r="CK76"/>
          <cell r="CL76"/>
          <cell r="CM76"/>
          <cell r="CN76"/>
          <cell r="CO76"/>
          <cell r="CP76"/>
          <cell r="CQ76"/>
          <cell r="CR76"/>
          <cell r="CS76"/>
          <cell r="CT76"/>
          <cell r="CU76"/>
          <cell r="CV76"/>
          <cell r="CW76"/>
          <cell r="CX76"/>
          <cell r="CY76"/>
          <cell r="CZ76">
            <v>21</v>
          </cell>
          <cell r="DA76"/>
          <cell r="DB76"/>
          <cell r="DC76"/>
          <cell r="DD76"/>
          <cell r="DE76"/>
          <cell r="DF76"/>
          <cell r="DG76"/>
          <cell r="DH76"/>
          <cell r="DI76"/>
          <cell r="DJ76" t="e">
            <v>#REF!</v>
          </cell>
          <cell r="DK76"/>
          <cell r="DL76"/>
          <cell r="DM76"/>
          <cell r="DN76"/>
          <cell r="DO76" t="str">
            <v>70</v>
          </cell>
          <cell r="DP76"/>
        </row>
        <row r="77">
          <cell r="B77" t="str">
            <v>71</v>
          </cell>
          <cell r="C77"/>
          <cell r="D77"/>
          <cell r="E77"/>
          <cell r="F77"/>
          <cell r="G77"/>
          <cell r="H77" t="str">
            <v>F&amp;I Manager</v>
          </cell>
          <cell r="I77"/>
          <cell r="J77"/>
          <cell r="K77"/>
          <cell r="L77"/>
          <cell r="M77" t="str">
            <v>013</v>
          </cell>
          <cell r="N77"/>
          <cell r="O77">
            <v>2</v>
          </cell>
          <cell r="P77"/>
          <cell r="Q77"/>
          <cell r="R77"/>
          <cell r="S77"/>
          <cell r="T77"/>
          <cell r="U77"/>
          <cell r="V77"/>
          <cell r="W77"/>
          <cell r="X77"/>
          <cell r="Y77">
            <v>2</v>
          </cell>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cell r="BD77"/>
          <cell r="BE77"/>
          <cell r="BF77"/>
          <cell r="BG77"/>
          <cell r="BH77"/>
          <cell r="BI77"/>
          <cell r="BJ77"/>
          <cell r="BK77"/>
          <cell r="BL77"/>
          <cell r="BM77"/>
          <cell r="BN77"/>
          <cell r="BO77"/>
          <cell r="BP77"/>
          <cell r="BQ77"/>
          <cell r="BR77"/>
          <cell r="BS77"/>
          <cell r="BT77"/>
          <cell r="BU77"/>
          <cell r="BV77"/>
          <cell r="BW77"/>
          <cell r="BX77"/>
          <cell r="BY77"/>
          <cell r="BZ77"/>
          <cell r="CA77"/>
          <cell r="CB77"/>
          <cell r="CC77"/>
          <cell r="CD77"/>
          <cell r="CE77">
            <v>0</v>
          </cell>
          <cell r="CF77"/>
          <cell r="CG77"/>
          <cell r="CH77"/>
          <cell r="CI77"/>
          <cell r="CJ77"/>
          <cell r="CK77"/>
          <cell r="CL77"/>
          <cell r="CM77"/>
          <cell r="CN77"/>
          <cell r="CO77"/>
          <cell r="CP77"/>
          <cell r="CQ77"/>
          <cell r="CR77"/>
          <cell r="CS77"/>
          <cell r="CT77"/>
          <cell r="CU77"/>
          <cell r="CV77"/>
          <cell r="CW77"/>
          <cell r="CX77"/>
          <cell r="CY77"/>
          <cell r="CZ77">
            <v>4</v>
          </cell>
          <cell r="DA77"/>
          <cell r="DB77"/>
          <cell r="DC77"/>
          <cell r="DD77"/>
          <cell r="DE77"/>
          <cell r="DF77"/>
          <cell r="DG77"/>
          <cell r="DH77"/>
          <cell r="DI77"/>
          <cell r="DJ77" t="e">
            <v>#REF!</v>
          </cell>
          <cell r="DK77"/>
          <cell r="DL77"/>
          <cell r="DM77"/>
          <cell r="DN77"/>
          <cell r="DO77" t="str">
            <v>71</v>
          </cell>
          <cell r="DP77"/>
        </row>
        <row r="78">
          <cell r="B78" t="str">
            <v>72</v>
          </cell>
          <cell r="C78"/>
          <cell r="D78"/>
          <cell r="E78"/>
          <cell r="F78"/>
          <cell r="G78"/>
          <cell r="H78" t="str">
            <v>Service Advisors</v>
          </cell>
          <cell r="I78"/>
          <cell r="J78"/>
          <cell r="K78"/>
          <cell r="L78"/>
          <cell r="M78" t="str">
            <v>007</v>
          </cell>
          <cell r="N78"/>
          <cell r="O78"/>
          <cell r="P78"/>
          <cell r="Q78"/>
          <cell r="R78"/>
          <cell r="S78"/>
          <cell r="T78"/>
          <cell r="U78"/>
          <cell r="V78"/>
          <cell r="W78"/>
          <cell r="X78"/>
          <cell r="Y78"/>
          <cell r="Z78"/>
          <cell r="AA78"/>
          <cell r="AB78"/>
          <cell r="AC78"/>
          <cell r="AD78">
            <v>2</v>
          </cell>
          <cell r="AE78"/>
          <cell r="AF78"/>
          <cell r="AG78"/>
          <cell r="AH78"/>
          <cell r="AI78"/>
          <cell r="AJ78"/>
          <cell r="AK78"/>
          <cell r="AL78"/>
          <cell r="AM78"/>
          <cell r="AN78"/>
          <cell r="AO78"/>
          <cell r="AP78"/>
          <cell r="AQ78"/>
          <cell r="AR78">
            <v>2</v>
          </cell>
          <cell r="AS78"/>
          <cell r="AT78"/>
          <cell r="AU78"/>
          <cell r="AV78"/>
          <cell r="AW78"/>
          <cell r="AX78"/>
          <cell r="AY78"/>
          <cell r="AZ78"/>
          <cell r="BA78"/>
          <cell r="BB78"/>
          <cell r="BC78"/>
          <cell r="BD78"/>
          <cell r="BE78"/>
          <cell r="BF78"/>
          <cell r="BG78"/>
          <cell r="BH78"/>
          <cell r="BI78"/>
          <cell r="BJ78"/>
          <cell r="BK78"/>
          <cell r="BL78"/>
          <cell r="BM78"/>
          <cell r="BN78"/>
          <cell r="BO78"/>
          <cell r="BP78">
            <v>0</v>
          </cell>
          <cell r="BQ78"/>
          <cell r="BR78"/>
          <cell r="BS78"/>
          <cell r="BT78"/>
          <cell r="BU78"/>
          <cell r="BV78"/>
          <cell r="BW78"/>
          <cell r="BX78"/>
          <cell r="BY78"/>
          <cell r="BZ78"/>
          <cell r="CA78"/>
          <cell r="CB78"/>
          <cell r="CC78"/>
          <cell r="CD78"/>
          <cell r="CE78">
            <v>0</v>
          </cell>
          <cell r="CF78"/>
          <cell r="CG78"/>
          <cell r="CH78"/>
          <cell r="CI78"/>
          <cell r="CJ78"/>
          <cell r="CK78"/>
          <cell r="CL78"/>
          <cell r="CM78"/>
          <cell r="CN78"/>
          <cell r="CO78"/>
          <cell r="CP78"/>
          <cell r="CQ78"/>
          <cell r="CR78"/>
          <cell r="CS78"/>
          <cell r="CT78"/>
          <cell r="CU78"/>
          <cell r="CV78"/>
          <cell r="CW78"/>
          <cell r="CX78"/>
          <cell r="CY78"/>
          <cell r="CZ78">
            <v>4</v>
          </cell>
          <cell r="DA78"/>
          <cell r="DB78"/>
          <cell r="DC78"/>
          <cell r="DD78"/>
          <cell r="DE78"/>
          <cell r="DF78"/>
          <cell r="DG78"/>
          <cell r="DH78"/>
          <cell r="DI78"/>
          <cell r="DJ78" t="e">
            <v>#REF!</v>
          </cell>
          <cell r="DK78"/>
          <cell r="DL78"/>
          <cell r="DM78"/>
          <cell r="DN78"/>
          <cell r="DO78" t="str">
            <v>72</v>
          </cell>
          <cell r="DP78"/>
        </row>
        <row r="79">
          <cell r="B79" t="str">
            <v>73</v>
          </cell>
          <cell r="C79"/>
          <cell r="D79"/>
          <cell r="E79"/>
          <cell r="F79"/>
          <cell r="G79"/>
          <cell r="H79" t="str">
            <v>Technicians</v>
          </cell>
          <cell r="I79"/>
          <cell r="J79"/>
          <cell r="K79"/>
          <cell r="L79"/>
          <cell r="M79" t="str">
            <v>006</v>
          </cell>
          <cell r="N79"/>
          <cell r="O79"/>
          <cell r="P79"/>
          <cell r="Q79"/>
          <cell r="R79"/>
          <cell r="S79"/>
          <cell r="T79"/>
          <cell r="U79"/>
          <cell r="V79"/>
          <cell r="W79"/>
          <cell r="X79"/>
          <cell r="Y79"/>
          <cell r="Z79"/>
          <cell r="AA79"/>
          <cell r="AB79"/>
          <cell r="AC79"/>
          <cell r="AD79">
            <v>11</v>
          </cell>
          <cell r="AE79"/>
          <cell r="AF79"/>
          <cell r="AG79"/>
          <cell r="AH79"/>
          <cell r="AI79"/>
          <cell r="AJ79"/>
          <cell r="AK79"/>
          <cell r="AL79"/>
          <cell r="AM79"/>
          <cell r="AN79"/>
          <cell r="AO79"/>
          <cell r="AP79"/>
          <cell r="AQ79"/>
          <cell r="AR79">
            <v>10</v>
          </cell>
          <cell r="AS79"/>
          <cell r="AT79"/>
          <cell r="AU79"/>
          <cell r="AV79"/>
          <cell r="AW79"/>
          <cell r="AX79"/>
          <cell r="AY79"/>
          <cell r="AZ79"/>
          <cell r="BA79"/>
          <cell r="BB79"/>
          <cell r="BC79"/>
          <cell r="BD79"/>
          <cell r="BE79"/>
          <cell r="BF79"/>
          <cell r="BG79"/>
          <cell r="BH79"/>
          <cell r="BI79"/>
          <cell r="BJ79"/>
          <cell r="BK79"/>
          <cell r="BL79"/>
          <cell r="BM79"/>
          <cell r="BN79"/>
          <cell r="BO79"/>
          <cell r="BP79">
            <v>0</v>
          </cell>
          <cell r="BQ79"/>
          <cell r="BR79"/>
          <cell r="BS79"/>
          <cell r="BT79"/>
          <cell r="BU79"/>
          <cell r="BV79"/>
          <cell r="BW79"/>
          <cell r="BX79"/>
          <cell r="BY79"/>
          <cell r="BZ79"/>
          <cell r="CA79"/>
          <cell r="CB79"/>
          <cell r="CC79"/>
          <cell r="CD79"/>
          <cell r="CE79">
            <v>0</v>
          </cell>
          <cell r="CF79"/>
          <cell r="CG79"/>
          <cell r="CH79"/>
          <cell r="CI79"/>
          <cell r="CJ79"/>
          <cell r="CK79"/>
          <cell r="CL79"/>
          <cell r="CM79"/>
          <cell r="CN79"/>
          <cell r="CO79"/>
          <cell r="CP79"/>
          <cell r="CQ79"/>
          <cell r="CR79"/>
          <cell r="CS79"/>
          <cell r="CT79"/>
          <cell r="CU79"/>
          <cell r="CV79"/>
          <cell r="CW79"/>
          <cell r="CX79"/>
          <cell r="CY79"/>
          <cell r="CZ79">
            <v>21</v>
          </cell>
          <cell r="DA79"/>
          <cell r="DB79"/>
          <cell r="DC79"/>
          <cell r="DD79"/>
          <cell r="DE79"/>
          <cell r="DF79"/>
          <cell r="DG79"/>
          <cell r="DH79"/>
          <cell r="DI79"/>
          <cell r="DJ79" t="e">
            <v>#REF!</v>
          </cell>
          <cell r="DK79"/>
          <cell r="DL79"/>
          <cell r="DM79"/>
          <cell r="DN79"/>
          <cell r="DO79" t="str">
            <v>73</v>
          </cell>
          <cell r="DP79"/>
        </row>
        <row r="80">
          <cell r="B80" t="str">
            <v>74</v>
          </cell>
          <cell r="C80"/>
          <cell r="D80"/>
          <cell r="E80"/>
          <cell r="F80"/>
          <cell r="G80"/>
          <cell r="H80" t="str">
            <v xml:space="preserve">Parts Counter </v>
          </cell>
          <cell r="I80"/>
          <cell r="J80"/>
          <cell r="K80"/>
          <cell r="L80"/>
          <cell r="M80" t="str">
            <v>008</v>
          </cell>
          <cell r="N80"/>
          <cell r="O80"/>
          <cell r="P80"/>
          <cell r="Q80"/>
          <cell r="R80"/>
          <cell r="S80"/>
          <cell r="T80"/>
          <cell r="U80"/>
          <cell r="V80"/>
          <cell r="W80"/>
          <cell r="X80"/>
          <cell r="Y80"/>
          <cell r="Z80"/>
          <cell r="AA80"/>
          <cell r="AB80"/>
          <cell r="AC80"/>
          <cell r="AD80"/>
          <cell r="AE80"/>
          <cell r="AF80"/>
          <cell r="AG80"/>
          <cell r="AH80"/>
          <cell r="AI80"/>
          <cell r="AJ80"/>
          <cell r="AK80"/>
          <cell r="AL80"/>
          <cell r="AM80"/>
          <cell r="AN80"/>
          <cell r="AO80"/>
          <cell r="AP80"/>
          <cell r="AQ80"/>
          <cell r="AR80"/>
          <cell r="AS80"/>
          <cell r="AT80"/>
          <cell r="AU80"/>
          <cell r="AV80"/>
          <cell r="AW80"/>
          <cell r="AX80"/>
          <cell r="AY80"/>
          <cell r="AZ80"/>
          <cell r="BA80"/>
          <cell r="BB80"/>
          <cell r="BC80"/>
          <cell r="BD80"/>
          <cell r="BE80"/>
          <cell r="BF80"/>
          <cell r="BG80">
            <v>3</v>
          </cell>
          <cell r="BH80"/>
          <cell r="BI80"/>
          <cell r="BJ80"/>
          <cell r="BK80"/>
          <cell r="BL80"/>
          <cell r="BM80"/>
          <cell r="BN80"/>
          <cell r="BO80"/>
          <cell r="BP80"/>
          <cell r="BQ80"/>
          <cell r="BR80"/>
          <cell r="BS80"/>
          <cell r="BT80"/>
          <cell r="BU80"/>
          <cell r="BV80"/>
          <cell r="BW80"/>
          <cell r="BX80"/>
          <cell r="BY80"/>
          <cell r="BZ80"/>
          <cell r="CA80"/>
          <cell r="CB80"/>
          <cell r="CC80"/>
          <cell r="CD80"/>
          <cell r="CE80">
            <v>0</v>
          </cell>
          <cell r="CF80"/>
          <cell r="CG80"/>
          <cell r="CH80"/>
          <cell r="CI80"/>
          <cell r="CJ80"/>
          <cell r="CK80"/>
          <cell r="CL80"/>
          <cell r="CM80"/>
          <cell r="CN80"/>
          <cell r="CO80"/>
          <cell r="CP80"/>
          <cell r="CQ80"/>
          <cell r="CR80"/>
          <cell r="CS80"/>
          <cell r="CT80"/>
          <cell r="CU80"/>
          <cell r="CV80"/>
          <cell r="CW80"/>
          <cell r="CX80"/>
          <cell r="CY80"/>
          <cell r="CZ80">
            <v>3</v>
          </cell>
          <cell r="DA80"/>
          <cell r="DB80"/>
          <cell r="DC80"/>
          <cell r="DD80"/>
          <cell r="DE80"/>
          <cell r="DF80"/>
          <cell r="DG80"/>
          <cell r="DH80"/>
          <cell r="DI80"/>
          <cell r="DJ80" t="e">
            <v>#REF!</v>
          </cell>
          <cell r="DK80"/>
          <cell r="DL80"/>
          <cell r="DM80"/>
          <cell r="DN80"/>
          <cell r="DO80" t="str">
            <v>74</v>
          </cell>
          <cell r="DP80"/>
        </row>
        <row r="81">
          <cell r="B81" t="str">
            <v>75</v>
          </cell>
          <cell r="C81"/>
          <cell r="D81"/>
          <cell r="E81"/>
          <cell r="F81"/>
          <cell r="G81"/>
          <cell r="H81" t="str">
            <v>Porters</v>
          </cell>
          <cell r="I81"/>
          <cell r="J81"/>
          <cell r="K81"/>
          <cell r="L81"/>
          <cell r="M81" t="str">
            <v>009</v>
          </cell>
          <cell r="N81"/>
          <cell r="O81">
            <v>3</v>
          </cell>
          <cell r="P81"/>
          <cell r="Q81"/>
          <cell r="R81"/>
          <cell r="S81"/>
          <cell r="T81"/>
          <cell r="U81"/>
          <cell r="V81"/>
          <cell r="W81"/>
          <cell r="X81"/>
          <cell r="Y81">
            <v>2</v>
          </cell>
          <cell r="Z81"/>
          <cell r="AA81"/>
          <cell r="AB81"/>
          <cell r="AC81"/>
          <cell r="AD81">
            <v>6</v>
          </cell>
          <cell r="AE81"/>
          <cell r="AF81"/>
          <cell r="AG81"/>
          <cell r="AH81"/>
          <cell r="AI81"/>
          <cell r="AJ81"/>
          <cell r="AK81"/>
          <cell r="AL81"/>
          <cell r="AM81"/>
          <cell r="AN81"/>
          <cell r="AO81"/>
          <cell r="AP81"/>
          <cell r="AQ81"/>
          <cell r="AR81">
            <v>3</v>
          </cell>
          <cell r="AS81"/>
          <cell r="AT81"/>
          <cell r="AU81"/>
          <cell r="AV81"/>
          <cell r="AW81"/>
          <cell r="AX81"/>
          <cell r="AY81"/>
          <cell r="AZ81"/>
          <cell r="BA81"/>
          <cell r="BB81"/>
          <cell r="BC81"/>
          <cell r="BD81"/>
          <cell r="BE81"/>
          <cell r="BF81"/>
          <cell r="BG81">
            <v>0</v>
          </cell>
          <cell r="BH81"/>
          <cell r="BI81"/>
          <cell r="BJ81"/>
          <cell r="BK81"/>
          <cell r="BL81"/>
          <cell r="BM81"/>
          <cell r="BN81"/>
          <cell r="BO81"/>
          <cell r="BP81">
            <v>0</v>
          </cell>
          <cell r="BQ81"/>
          <cell r="BR81"/>
          <cell r="BS81"/>
          <cell r="BT81"/>
          <cell r="BU81"/>
          <cell r="BV81"/>
          <cell r="BW81"/>
          <cell r="BX81"/>
          <cell r="BY81"/>
          <cell r="BZ81"/>
          <cell r="CA81"/>
          <cell r="CB81"/>
          <cell r="CC81"/>
          <cell r="CD81"/>
          <cell r="CE81">
            <v>0</v>
          </cell>
          <cell r="CF81"/>
          <cell r="CG81"/>
          <cell r="CH81"/>
          <cell r="CI81"/>
          <cell r="CJ81"/>
          <cell r="CK81"/>
          <cell r="CL81"/>
          <cell r="CM81"/>
          <cell r="CN81"/>
          <cell r="CO81"/>
          <cell r="CP81"/>
          <cell r="CQ81"/>
          <cell r="CR81"/>
          <cell r="CS81"/>
          <cell r="CT81"/>
          <cell r="CU81"/>
          <cell r="CV81"/>
          <cell r="CW81"/>
          <cell r="CX81"/>
          <cell r="CY81"/>
          <cell r="CZ81">
            <v>14</v>
          </cell>
          <cell r="DA81"/>
          <cell r="DB81"/>
          <cell r="DC81"/>
          <cell r="DD81"/>
          <cell r="DE81"/>
          <cell r="DF81"/>
          <cell r="DG81"/>
          <cell r="DH81"/>
          <cell r="DI81"/>
          <cell r="DJ81" t="e">
            <v>#REF!</v>
          </cell>
          <cell r="DK81"/>
          <cell r="DL81"/>
          <cell r="DM81"/>
          <cell r="DN81"/>
          <cell r="DO81" t="str">
            <v>75</v>
          </cell>
          <cell r="DP81"/>
        </row>
        <row r="82">
          <cell r="B82" t="str">
            <v>76</v>
          </cell>
          <cell r="C82"/>
          <cell r="D82"/>
          <cell r="E82"/>
          <cell r="F82"/>
          <cell r="G82"/>
          <cell r="H82" t="str">
            <v>Office</v>
          </cell>
          <cell r="I82"/>
          <cell r="J82"/>
          <cell r="K82"/>
          <cell r="L82"/>
          <cell r="M82" t="str">
            <v>004</v>
          </cell>
          <cell r="N82"/>
          <cell r="O82">
            <v>3</v>
          </cell>
          <cell r="P82"/>
          <cell r="Q82"/>
          <cell r="R82"/>
          <cell r="S82"/>
          <cell r="T82"/>
          <cell r="U82"/>
          <cell r="V82"/>
          <cell r="W82"/>
          <cell r="X82"/>
          <cell r="Y82">
            <v>3</v>
          </cell>
          <cell r="Z82"/>
          <cell r="AA82"/>
          <cell r="AB82"/>
          <cell r="AC82"/>
          <cell r="AD82">
            <v>2</v>
          </cell>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v>0</v>
          </cell>
          <cell r="BH82"/>
          <cell r="BI82"/>
          <cell r="BJ82"/>
          <cell r="BK82"/>
          <cell r="BL82"/>
          <cell r="BM82"/>
          <cell r="BN82"/>
          <cell r="BO82"/>
          <cell r="BP82">
            <v>0</v>
          </cell>
          <cell r="BQ82"/>
          <cell r="BR82"/>
          <cell r="BS82"/>
          <cell r="BT82"/>
          <cell r="BU82"/>
          <cell r="BV82"/>
          <cell r="BW82"/>
          <cell r="BX82"/>
          <cell r="BY82"/>
          <cell r="BZ82"/>
          <cell r="CA82"/>
          <cell r="CB82"/>
          <cell r="CC82"/>
          <cell r="CD82"/>
          <cell r="CE82">
            <v>0</v>
          </cell>
          <cell r="CF82"/>
          <cell r="CG82"/>
          <cell r="CH82"/>
          <cell r="CI82"/>
          <cell r="CJ82"/>
          <cell r="CK82"/>
          <cell r="CL82"/>
          <cell r="CM82"/>
          <cell r="CN82"/>
          <cell r="CO82"/>
          <cell r="CP82"/>
          <cell r="CQ82"/>
          <cell r="CR82"/>
          <cell r="CS82"/>
          <cell r="CT82"/>
          <cell r="CU82"/>
          <cell r="CV82"/>
          <cell r="CW82"/>
          <cell r="CX82"/>
          <cell r="CY82"/>
          <cell r="CZ82">
            <v>8</v>
          </cell>
          <cell r="DA82"/>
          <cell r="DB82"/>
          <cell r="DC82"/>
          <cell r="DD82"/>
          <cell r="DE82"/>
          <cell r="DF82"/>
          <cell r="DG82"/>
          <cell r="DH82"/>
          <cell r="DI82"/>
          <cell r="DJ82" t="e">
            <v>#REF!</v>
          </cell>
          <cell r="DK82"/>
          <cell r="DL82"/>
          <cell r="DM82"/>
          <cell r="DN82"/>
          <cell r="DO82" t="str">
            <v>76</v>
          </cell>
          <cell r="DP82"/>
        </row>
        <row r="83">
          <cell r="B83" t="str">
            <v>77</v>
          </cell>
          <cell r="C83"/>
          <cell r="D83"/>
          <cell r="E83"/>
          <cell r="F83"/>
          <cell r="G83"/>
          <cell r="H83" t="str">
            <v>Other</v>
          </cell>
          <cell r="I83"/>
          <cell r="J83"/>
          <cell r="K83"/>
          <cell r="L83"/>
          <cell r="M83" t="str">
            <v>005</v>
          </cell>
          <cell r="N83"/>
          <cell r="O83">
            <v>3</v>
          </cell>
          <cell r="P83"/>
          <cell r="Q83"/>
          <cell r="R83"/>
          <cell r="S83"/>
          <cell r="T83"/>
          <cell r="U83"/>
          <cell r="V83"/>
          <cell r="W83"/>
          <cell r="X83"/>
          <cell r="Y83">
            <v>3</v>
          </cell>
          <cell r="Z83"/>
          <cell r="AA83"/>
          <cell r="AB83"/>
          <cell r="AC83"/>
          <cell r="AD83">
            <v>3</v>
          </cell>
          <cell r="AE83"/>
          <cell r="AF83"/>
          <cell r="AG83"/>
          <cell r="AH83"/>
          <cell r="AI83"/>
          <cell r="AJ83"/>
          <cell r="AK83"/>
          <cell r="AL83"/>
          <cell r="AM83"/>
          <cell r="AN83"/>
          <cell r="AO83"/>
          <cell r="AP83"/>
          <cell r="AQ83"/>
          <cell r="AR83">
            <v>0</v>
          </cell>
          <cell r="AS83"/>
          <cell r="AT83"/>
          <cell r="AU83"/>
          <cell r="AV83"/>
          <cell r="AW83"/>
          <cell r="AX83"/>
          <cell r="AY83"/>
          <cell r="AZ83"/>
          <cell r="BA83"/>
          <cell r="BB83"/>
          <cell r="BC83"/>
          <cell r="BD83"/>
          <cell r="BE83"/>
          <cell r="BF83"/>
          <cell r="BG83">
            <v>2</v>
          </cell>
          <cell r="BH83"/>
          <cell r="BI83"/>
          <cell r="BJ83"/>
          <cell r="BK83"/>
          <cell r="BL83"/>
          <cell r="BM83"/>
          <cell r="BN83"/>
          <cell r="BO83"/>
          <cell r="BP83">
            <v>0</v>
          </cell>
          <cell r="BQ83"/>
          <cell r="BR83"/>
          <cell r="BS83"/>
          <cell r="BT83"/>
          <cell r="BU83"/>
          <cell r="BV83"/>
          <cell r="BW83"/>
          <cell r="BX83"/>
          <cell r="BY83"/>
          <cell r="BZ83"/>
          <cell r="CA83"/>
          <cell r="CB83"/>
          <cell r="CC83"/>
          <cell r="CD83"/>
          <cell r="CE83">
            <v>0</v>
          </cell>
          <cell r="CF83"/>
          <cell r="CG83"/>
          <cell r="CH83"/>
          <cell r="CI83"/>
          <cell r="CJ83"/>
          <cell r="CK83"/>
          <cell r="CL83"/>
          <cell r="CM83"/>
          <cell r="CN83"/>
          <cell r="CO83"/>
          <cell r="CP83"/>
          <cell r="CQ83"/>
          <cell r="CR83"/>
          <cell r="CS83"/>
          <cell r="CT83"/>
          <cell r="CU83"/>
          <cell r="CV83"/>
          <cell r="CW83"/>
          <cell r="CX83"/>
          <cell r="CY83"/>
          <cell r="CZ83">
            <v>11</v>
          </cell>
          <cell r="DA83"/>
          <cell r="DB83"/>
          <cell r="DC83"/>
          <cell r="DD83"/>
          <cell r="DE83"/>
          <cell r="DF83"/>
          <cell r="DG83"/>
          <cell r="DH83"/>
          <cell r="DI83"/>
          <cell r="DJ83" t="e">
            <v>#REF!</v>
          </cell>
          <cell r="DK83"/>
          <cell r="DL83"/>
          <cell r="DM83"/>
          <cell r="DN83"/>
          <cell r="DO83" t="str">
            <v>77</v>
          </cell>
          <cell r="DP83"/>
        </row>
        <row r="84">
          <cell r="B84" t="str">
            <v>78</v>
          </cell>
          <cell r="C84"/>
          <cell r="D84"/>
          <cell r="E84"/>
          <cell r="F84"/>
          <cell r="G84"/>
          <cell r="H84" t="str">
            <v>Total</v>
          </cell>
          <cell r="I84"/>
          <cell r="J84"/>
          <cell r="K84"/>
          <cell r="L84"/>
          <cell r="M84" t="str">
            <v>TT30</v>
          </cell>
          <cell r="N84"/>
          <cell r="O84">
            <v>28</v>
          </cell>
          <cell r="P84"/>
          <cell r="Q84"/>
          <cell r="R84"/>
          <cell r="S84"/>
          <cell r="T84"/>
          <cell r="U84"/>
          <cell r="V84"/>
          <cell r="W84"/>
          <cell r="X84"/>
          <cell r="Y84">
            <v>24</v>
          </cell>
          <cell r="Z84"/>
          <cell r="AA84"/>
          <cell r="AB84"/>
          <cell r="AC84"/>
          <cell r="AD84">
            <v>26</v>
          </cell>
          <cell r="AE84"/>
          <cell r="AF84"/>
          <cell r="AG84"/>
          <cell r="AH84"/>
          <cell r="AI84"/>
          <cell r="AJ84"/>
          <cell r="AK84"/>
          <cell r="AL84"/>
          <cell r="AM84"/>
          <cell r="AN84"/>
          <cell r="AO84"/>
          <cell r="AP84"/>
          <cell r="AQ84"/>
          <cell r="AR84">
            <v>16</v>
          </cell>
          <cell r="AS84"/>
          <cell r="AT84"/>
          <cell r="AU84"/>
          <cell r="AV84"/>
          <cell r="AW84"/>
          <cell r="AX84"/>
          <cell r="AY84"/>
          <cell r="AZ84"/>
          <cell r="BA84"/>
          <cell r="BB84"/>
          <cell r="BC84"/>
          <cell r="BD84"/>
          <cell r="BE84"/>
          <cell r="BF84"/>
          <cell r="BG84">
            <v>6</v>
          </cell>
          <cell r="BH84"/>
          <cell r="BI84"/>
          <cell r="BJ84"/>
          <cell r="BK84"/>
          <cell r="BL84"/>
          <cell r="BM84"/>
          <cell r="BN84"/>
          <cell r="BO84"/>
          <cell r="BP84">
            <v>0</v>
          </cell>
          <cell r="BQ84"/>
          <cell r="BR84"/>
          <cell r="BS84"/>
          <cell r="BT84"/>
          <cell r="BU84"/>
          <cell r="BV84"/>
          <cell r="BW84"/>
          <cell r="BX84"/>
          <cell r="BY84"/>
          <cell r="BZ84"/>
          <cell r="CA84"/>
          <cell r="CB84"/>
          <cell r="CC84"/>
          <cell r="CD84"/>
          <cell r="CE84">
            <v>0</v>
          </cell>
          <cell r="CF84"/>
          <cell r="CG84"/>
          <cell r="CH84"/>
          <cell r="CI84"/>
          <cell r="CJ84"/>
          <cell r="CK84"/>
          <cell r="CL84"/>
          <cell r="CM84"/>
          <cell r="CN84"/>
          <cell r="CO84"/>
          <cell r="CP84"/>
          <cell r="CQ84"/>
          <cell r="CR84"/>
          <cell r="CS84"/>
          <cell r="CT84"/>
          <cell r="CU84"/>
          <cell r="CV84"/>
          <cell r="CW84"/>
          <cell r="CX84"/>
          <cell r="CY84"/>
          <cell r="CZ84">
            <v>100</v>
          </cell>
          <cell r="DA84"/>
          <cell r="DB84"/>
          <cell r="DC84"/>
          <cell r="DD84"/>
          <cell r="DE84"/>
          <cell r="DF84"/>
          <cell r="DG84"/>
          <cell r="DH84"/>
          <cell r="DI84"/>
          <cell r="DJ84" t="e">
            <v>#REF!</v>
          </cell>
          <cell r="DK84"/>
          <cell r="DL84"/>
          <cell r="DM84"/>
          <cell r="DN84"/>
          <cell r="DO84" t="str">
            <v>78</v>
          </cell>
          <cell r="DP84"/>
        </row>
        <row r="85">
          <cell r="B85"/>
          <cell r="C85"/>
          <cell r="D85"/>
          <cell r="E85"/>
          <cell r="F85"/>
          <cell r="G85"/>
          <cell r="H85"/>
          <cell r="I85"/>
          <cell r="J85"/>
          <cell r="K85"/>
          <cell r="L85"/>
          <cell r="M85"/>
          <cell r="N85"/>
          <cell r="O85"/>
          <cell r="P85"/>
          <cell r="Q85"/>
          <cell r="R85"/>
          <cell r="S85"/>
          <cell r="T85"/>
          <cell r="U85"/>
          <cell r="V85"/>
          <cell r="W85"/>
          <cell r="X85"/>
          <cell r="Y85"/>
          <cell r="Z85"/>
          <cell r="AA85"/>
          <cell r="AB85"/>
          <cell r="AC85"/>
          <cell r="AD85"/>
          <cell r="AE85"/>
          <cell r="AF85"/>
          <cell r="AG85"/>
          <cell r="AH85"/>
          <cell r="AI85"/>
          <cell r="AJ85"/>
          <cell r="AK85"/>
          <cell r="AL85"/>
          <cell r="AM85"/>
          <cell r="AN85"/>
          <cell r="AO85"/>
          <cell r="AP85"/>
          <cell r="AQ85"/>
          <cell r="AR85"/>
          <cell r="AS85"/>
          <cell r="AT85"/>
          <cell r="AU85"/>
          <cell r="AV85"/>
          <cell r="AW85"/>
          <cell r="AX85"/>
          <cell r="AY85"/>
          <cell r="AZ85"/>
          <cell r="BA85"/>
          <cell r="BB85"/>
          <cell r="BC85"/>
          <cell r="BD85"/>
          <cell r="BE85"/>
          <cell r="BF85"/>
          <cell r="BG85"/>
          <cell r="BH85"/>
          <cell r="BI85"/>
          <cell r="BJ85"/>
          <cell r="BK85"/>
          <cell r="BL85"/>
          <cell r="BM85"/>
          <cell r="BN85"/>
          <cell r="BO85"/>
          <cell r="BP85"/>
          <cell r="BQ85"/>
          <cell r="BR85"/>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cell r="DG85"/>
          <cell r="DH85"/>
          <cell r="DI85"/>
          <cell r="DJ85" t="e">
            <v>#REF!</v>
          </cell>
          <cell r="DK85"/>
          <cell r="DL85"/>
          <cell r="DM85"/>
          <cell r="DN85"/>
          <cell r="DO85"/>
          <cell r="DP85"/>
        </row>
        <row r="86">
          <cell r="B86"/>
          <cell r="C86"/>
          <cell r="D86"/>
          <cell r="E86"/>
          <cell r="F86"/>
          <cell r="G86"/>
          <cell r="H86"/>
          <cell r="I86"/>
          <cell r="J86"/>
          <cell r="K86"/>
          <cell r="L86"/>
          <cell r="M86"/>
          <cell r="N86"/>
          <cell r="O86"/>
          <cell r="P86"/>
          <cell r="Q86"/>
          <cell r="R86"/>
          <cell r="S86"/>
          <cell r="T86"/>
          <cell r="U86"/>
          <cell r="V86"/>
          <cell r="W86"/>
          <cell r="X86"/>
          <cell r="Y86"/>
          <cell r="Z86"/>
          <cell r="AA86"/>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cell r="DG86"/>
          <cell r="DH86"/>
          <cell r="DI86"/>
          <cell r="DJ86"/>
          <cell r="DK86"/>
          <cell r="DL86"/>
          <cell r="DM86"/>
          <cell r="DN86"/>
          <cell r="DO86"/>
          <cell r="DP86"/>
        </row>
        <row r="87">
          <cell r="B87"/>
          <cell r="C87"/>
          <cell r="D87"/>
          <cell r="E87"/>
          <cell r="F87"/>
          <cell r="G87"/>
          <cell r="H87"/>
          <cell r="I87"/>
          <cell r="J87"/>
          <cell r="K87"/>
          <cell r="L87"/>
          <cell r="M87"/>
          <cell r="N87"/>
          <cell r="O87"/>
          <cell r="P87"/>
          <cell r="Q87"/>
          <cell r="R87"/>
          <cell r="S87"/>
          <cell r="T87"/>
          <cell r="U87"/>
          <cell r="V87"/>
          <cell r="W87"/>
          <cell r="X87"/>
          <cell r="Y87"/>
          <cell r="Z87"/>
          <cell r="AA87"/>
          <cell r="AB87"/>
          <cell r="AC87"/>
          <cell r="AD87"/>
          <cell r="AE87"/>
          <cell r="AF87"/>
          <cell r="AG87"/>
          <cell r="AH87"/>
          <cell r="AI87"/>
          <cell r="AJ87"/>
          <cell r="AK87"/>
          <cell r="AL87"/>
          <cell r="AM87"/>
          <cell r="AN87"/>
          <cell r="AO87"/>
          <cell r="AP87"/>
          <cell r="AQ87"/>
          <cell r="AR87"/>
          <cell r="AS87"/>
          <cell r="AT87"/>
          <cell r="AU87"/>
          <cell r="AV87"/>
          <cell r="AW87"/>
          <cell r="AX87"/>
          <cell r="AY87"/>
          <cell r="AZ87"/>
          <cell r="BA87"/>
          <cell r="BB87"/>
          <cell r="BC87"/>
          <cell r="BD87"/>
          <cell r="BE87"/>
          <cell r="BF87"/>
          <cell r="BG87"/>
          <cell r="BH87"/>
          <cell r="BI87"/>
          <cell r="BJ87"/>
          <cell r="BK87"/>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cell r="DG87"/>
          <cell r="DH87"/>
          <cell r="DI87"/>
          <cell r="DJ87"/>
          <cell r="DK87"/>
          <cell r="DL87"/>
          <cell r="DM87"/>
          <cell r="DN87"/>
          <cell r="DO87"/>
          <cell r="DP87"/>
        </row>
        <row r="88">
          <cell r="L88"/>
        </row>
        <row r="89">
          <cell r="L89"/>
          <cell r="T89"/>
          <cell r="U89"/>
          <cell r="V89"/>
          <cell r="W89"/>
          <cell r="X89"/>
          <cell r="AE89"/>
          <cell r="AF89"/>
          <cell r="AG89"/>
          <cell r="AH89"/>
          <cell r="AI89"/>
          <cell r="AL89"/>
          <cell r="AM89"/>
          <cell r="AN89"/>
          <cell r="AO89"/>
          <cell r="AP89"/>
          <cell r="AS89"/>
          <cell r="AT89"/>
          <cell r="AU89"/>
          <cell r="AV89"/>
          <cell r="AW89"/>
          <cell r="BB89"/>
          <cell r="BC89"/>
          <cell r="BD89"/>
          <cell r="BE89"/>
          <cell r="BF89"/>
          <cell r="BK89"/>
          <cell r="BL89"/>
          <cell r="BM89"/>
          <cell r="BN89"/>
          <cell r="BO89"/>
          <cell r="BR89"/>
          <cell r="BS89"/>
          <cell r="BT89"/>
          <cell r="BU89"/>
          <cell r="BV89"/>
          <cell r="BY89"/>
          <cell r="BZ89"/>
          <cell r="CA89"/>
          <cell r="CB89"/>
          <cell r="CC89"/>
          <cell r="CF89"/>
          <cell r="CG89"/>
          <cell r="CH89"/>
          <cell r="CI89"/>
          <cell r="CJ89"/>
          <cell r="CM89"/>
          <cell r="CN89"/>
          <cell r="CO89"/>
          <cell r="CP89"/>
          <cell r="CQ89"/>
          <cell r="CS89"/>
          <cell r="CT89"/>
          <cell r="CU89"/>
          <cell r="CV89"/>
          <cell r="CW89"/>
          <cell r="CX89"/>
          <cell r="CY89" t="str">
            <v xml:space="preserve"> </v>
          </cell>
          <cell r="CZ89"/>
          <cell r="DA89"/>
          <cell r="DB89"/>
          <cell r="DD89"/>
          <cell r="DE89"/>
          <cell r="DF89"/>
          <cell r="DG89"/>
          <cell r="DH89"/>
          <cell r="DJ89"/>
          <cell r="DK89"/>
          <cell r="DL89"/>
          <cell r="DM89"/>
          <cell r="DN89"/>
        </row>
      </sheetData>
      <sheetData sheetId="2" refreshError="1">
        <row r="1">
          <cell r="B1"/>
          <cell r="C1"/>
          <cell r="D1"/>
          <cell r="E1" t="str">
            <v>Departmental Income and Expense</v>
          </cell>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cell r="BE1"/>
          <cell r="BF1"/>
          <cell r="BG1"/>
          <cell r="BH1"/>
          <cell r="BI1"/>
          <cell r="BJ1"/>
          <cell r="BK1"/>
          <cell r="BL1"/>
          <cell r="BM1"/>
          <cell r="BN1"/>
          <cell r="BO1"/>
          <cell r="BP1"/>
          <cell r="BQ1"/>
          <cell r="BR1"/>
          <cell r="BS1"/>
          <cell r="BT1"/>
          <cell r="BU1"/>
          <cell r="BV1"/>
          <cell r="BW1"/>
          <cell r="BX1"/>
          <cell r="BY1"/>
          <cell r="BZ1"/>
          <cell r="CA1"/>
          <cell r="CB1"/>
          <cell r="CC1"/>
          <cell r="CD1"/>
          <cell r="CE1"/>
          <cell r="CF1"/>
          <cell r="CG1"/>
          <cell r="CH1"/>
          <cell r="CI1"/>
          <cell r="CJ1"/>
          <cell r="CK1"/>
          <cell r="CL1"/>
          <cell r="CM1"/>
          <cell r="CN1"/>
          <cell r="CO1"/>
          <cell r="CP1"/>
          <cell r="CQ1"/>
          <cell r="CR1"/>
          <cell r="CS1"/>
          <cell r="CT1"/>
          <cell r="CU1"/>
          <cell r="CV1"/>
          <cell r="CW1"/>
        </row>
        <row r="2">
          <cell r="B2" t="str">
            <v>PAGE 3</v>
          </cell>
          <cell r="C2"/>
          <cell r="D2"/>
          <cell r="E2"/>
          <cell r="F2"/>
          <cell r="G2"/>
          <cell r="H2"/>
          <cell r="I2"/>
          <cell r="J2"/>
          <cell r="K2"/>
          <cell r="L2" t="str">
            <v>(Month, Year)</v>
          </cell>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cell r="BF2"/>
          <cell r="BG2"/>
          <cell r="BH2"/>
          <cell r="BI2"/>
          <cell r="BJ2"/>
          <cell r="BK2"/>
          <cell r="BL2"/>
          <cell r="BM2"/>
          <cell r="BN2"/>
          <cell r="BO2"/>
          <cell r="BP2"/>
          <cell r="BQ2"/>
          <cell r="BR2"/>
          <cell r="BS2"/>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row>
        <row r="3">
          <cell r="B3" t="str">
            <v>LINE</v>
          </cell>
          <cell r="C3"/>
          <cell r="D3" t="str">
            <v>NAME OF ACCOUNT</v>
          </cell>
          <cell r="E3"/>
          <cell r="F3"/>
          <cell r="G3"/>
          <cell r="H3"/>
          <cell r="I3"/>
          <cell r="J3"/>
          <cell r="K3"/>
          <cell r="L3"/>
          <cell r="M3"/>
          <cell r="N3"/>
          <cell r="O3"/>
          <cell r="P3"/>
          <cell r="Q3"/>
          <cell r="R3" t="str">
            <v>ACCT</v>
          </cell>
          <cell r="S3" t="str">
            <v>C - SERVICE DEPARTMENT</v>
          </cell>
          <cell r="T3"/>
          <cell r="U3"/>
          <cell r="V3"/>
          <cell r="W3"/>
          <cell r="X3"/>
          <cell r="Y3"/>
          <cell r="Z3"/>
          <cell r="AA3"/>
          <cell r="AB3"/>
          <cell r="AC3"/>
          <cell r="AD3"/>
          <cell r="AE3"/>
          <cell r="AF3"/>
          <cell r="AG3"/>
          <cell r="AH3"/>
          <cell r="AI3"/>
          <cell r="AJ3"/>
          <cell r="AK3"/>
          <cell r="AL3"/>
          <cell r="AM3"/>
          <cell r="AN3"/>
          <cell r="AO3"/>
          <cell r="AP3"/>
          <cell r="AQ3"/>
          <cell r="AR3"/>
          <cell r="AS3"/>
          <cell r="AT3"/>
          <cell r="AU3"/>
          <cell r="AV3"/>
          <cell r="AW3"/>
          <cell r="AX3"/>
          <cell r="AY3" t="str">
            <v>D - PARTS AND ACC. DEPT.</v>
          </cell>
          <cell r="AZ3"/>
          <cell r="BA3"/>
          <cell r="BB3"/>
          <cell r="BC3"/>
          <cell r="BD3"/>
          <cell r="BE3"/>
          <cell r="BF3"/>
          <cell r="BG3"/>
          <cell r="BH3"/>
          <cell r="BI3"/>
          <cell r="BJ3"/>
          <cell r="BK3"/>
          <cell r="BL3"/>
          <cell r="BM3"/>
          <cell r="BN3"/>
          <cell r="BO3"/>
          <cell r="BP3"/>
          <cell r="BQ3"/>
          <cell r="BR3"/>
          <cell r="BS3"/>
          <cell r="BT3"/>
          <cell r="BU3" t="str">
            <v>E-BODY SHOP DEPARTMENT</v>
          </cell>
          <cell r="BV3"/>
          <cell r="BW3"/>
          <cell r="BX3"/>
          <cell r="BY3"/>
          <cell r="BZ3"/>
          <cell r="CA3"/>
          <cell r="CB3"/>
          <cell r="CC3"/>
          <cell r="CD3"/>
          <cell r="CE3"/>
          <cell r="CF3"/>
          <cell r="CG3"/>
          <cell r="CH3"/>
          <cell r="CI3"/>
          <cell r="CJ3"/>
          <cell r="CK3"/>
          <cell r="CL3"/>
          <cell r="CM3"/>
          <cell r="CN3"/>
          <cell r="CO3"/>
          <cell r="CP3"/>
          <cell r="CQ3"/>
          <cell r="CR3"/>
          <cell r="CS3"/>
          <cell r="CT3"/>
          <cell r="CU3"/>
          <cell r="CV3" t="str">
            <v>LINE</v>
          </cell>
          <cell r="CW3"/>
          <cell r="CX3"/>
        </row>
        <row r="4">
          <cell r="B4" t="str">
            <v>NO</v>
          </cell>
          <cell r="C4"/>
          <cell r="D4"/>
          <cell r="E4"/>
          <cell r="F4"/>
          <cell r="G4"/>
          <cell r="H4"/>
          <cell r="I4"/>
          <cell r="J4"/>
          <cell r="K4"/>
          <cell r="L4"/>
          <cell r="M4"/>
          <cell r="N4"/>
          <cell r="O4"/>
          <cell r="P4"/>
          <cell r="Q4"/>
          <cell r="R4" t="str">
            <v>NO</v>
          </cell>
          <cell r="S4" t="str">
            <v>MONTH</v>
          </cell>
          <cell r="T4"/>
          <cell r="U4"/>
          <cell r="V4"/>
          <cell r="W4"/>
          <cell r="X4"/>
          <cell r="Y4"/>
          <cell r="Z4"/>
          <cell r="AA4"/>
          <cell r="AB4"/>
          <cell r="AC4"/>
          <cell r="AD4"/>
          <cell r="AE4"/>
          <cell r="AF4"/>
          <cell r="AG4"/>
          <cell r="AH4"/>
          <cell r="AI4" t="str">
            <v>YEAR TO DATE</v>
          </cell>
          <cell r="AJ4"/>
          <cell r="AK4"/>
          <cell r="AL4"/>
          <cell r="AM4"/>
          <cell r="AN4"/>
          <cell r="AO4"/>
          <cell r="AP4"/>
          <cell r="AQ4"/>
          <cell r="AR4"/>
          <cell r="AS4"/>
          <cell r="AT4"/>
          <cell r="AU4"/>
          <cell r="AV4"/>
          <cell r="AW4"/>
          <cell r="AX4"/>
          <cell r="AY4" t="str">
            <v>MONTH</v>
          </cell>
          <cell r="AZ4"/>
          <cell r="BA4"/>
          <cell r="BB4"/>
          <cell r="BC4"/>
          <cell r="BD4"/>
          <cell r="BE4"/>
          <cell r="BF4"/>
          <cell r="BG4"/>
          <cell r="BH4"/>
          <cell r="BI4"/>
          <cell r="BJ4" t="str">
            <v>YEAR TO DATE</v>
          </cell>
          <cell r="BK4"/>
          <cell r="BL4"/>
          <cell r="BM4"/>
          <cell r="BN4"/>
          <cell r="BO4"/>
          <cell r="BP4"/>
          <cell r="BQ4"/>
          <cell r="BR4"/>
          <cell r="BS4"/>
          <cell r="BT4"/>
          <cell r="BU4" t="str">
            <v>MONTH</v>
          </cell>
          <cell r="BV4"/>
          <cell r="BW4"/>
          <cell r="BX4"/>
          <cell r="BY4"/>
          <cell r="BZ4"/>
          <cell r="CA4"/>
          <cell r="CB4"/>
          <cell r="CC4"/>
          <cell r="CD4"/>
          <cell r="CE4"/>
          <cell r="CF4" t="str">
            <v>YEAR TO DATE</v>
          </cell>
          <cell r="CG4"/>
          <cell r="CH4"/>
          <cell r="CI4"/>
          <cell r="CJ4"/>
          <cell r="CK4"/>
          <cell r="CL4"/>
          <cell r="CM4"/>
          <cell r="CN4"/>
          <cell r="CO4"/>
          <cell r="CP4"/>
          <cell r="CQ4"/>
          <cell r="CR4"/>
          <cell r="CS4"/>
          <cell r="CT4"/>
          <cell r="CU4"/>
          <cell r="CV4" t="str">
            <v>NO</v>
          </cell>
          <cell r="CW4"/>
          <cell r="CX4"/>
        </row>
        <row r="5">
          <cell r="B5" t="str">
            <v>1</v>
          </cell>
          <cell r="C5"/>
          <cell r="D5" t="str">
            <v>TOTAL SALES</v>
          </cell>
          <cell r="E5"/>
          <cell r="F5"/>
          <cell r="G5"/>
          <cell r="H5"/>
          <cell r="I5"/>
          <cell r="J5"/>
          <cell r="K5"/>
          <cell r="L5"/>
          <cell r="M5"/>
          <cell r="N5"/>
          <cell r="O5"/>
          <cell r="P5"/>
          <cell r="Q5" t="str">
            <v>(From Page 6)</v>
          </cell>
          <cell r="R5"/>
          <cell r="S5">
            <v>387924</v>
          </cell>
          <cell r="T5"/>
          <cell r="U5"/>
          <cell r="V5"/>
          <cell r="W5"/>
          <cell r="X5"/>
          <cell r="Y5"/>
          <cell r="Z5"/>
          <cell r="AA5"/>
          <cell r="AB5"/>
          <cell r="AC5"/>
          <cell r="AD5" t="e">
            <v>#REF!</v>
          </cell>
          <cell r="AE5"/>
          <cell r="AF5"/>
          <cell r="AG5"/>
          <cell r="AH5"/>
          <cell r="AI5">
            <v>4652948</v>
          </cell>
          <cell r="AJ5"/>
          <cell r="AK5"/>
          <cell r="AL5"/>
          <cell r="AM5"/>
          <cell r="AN5"/>
          <cell r="AO5"/>
          <cell r="AP5"/>
          <cell r="AQ5"/>
          <cell r="AR5"/>
          <cell r="AS5"/>
          <cell r="AT5" t="e">
            <v>#REF!</v>
          </cell>
          <cell r="AU5"/>
          <cell r="AV5"/>
          <cell r="AW5"/>
          <cell r="AX5"/>
          <cell r="AY5">
            <v>277447</v>
          </cell>
          <cell r="AZ5"/>
          <cell r="BA5"/>
          <cell r="BB5"/>
          <cell r="BC5"/>
          <cell r="BD5"/>
          <cell r="BE5" t="e">
            <v>#REF!</v>
          </cell>
          <cell r="BF5"/>
          <cell r="BG5"/>
          <cell r="BH5"/>
          <cell r="BI5"/>
          <cell r="BJ5">
            <v>3525840</v>
          </cell>
          <cell r="BK5"/>
          <cell r="BL5"/>
          <cell r="BM5"/>
          <cell r="BN5"/>
          <cell r="BO5"/>
          <cell r="BP5" t="e">
            <v>#REF!</v>
          </cell>
          <cell r="BQ5"/>
          <cell r="BR5"/>
          <cell r="BS5"/>
          <cell r="BT5"/>
          <cell r="BU5">
            <v>0</v>
          </cell>
          <cell r="BV5"/>
          <cell r="BW5"/>
          <cell r="BX5"/>
          <cell r="BY5"/>
          <cell r="BZ5"/>
          <cell r="CA5" t="e">
            <v>#REF!</v>
          </cell>
          <cell r="CB5"/>
          <cell r="CC5"/>
          <cell r="CD5"/>
          <cell r="CE5"/>
          <cell r="CF5">
            <v>0</v>
          </cell>
          <cell r="CG5"/>
          <cell r="CH5"/>
          <cell r="CI5"/>
          <cell r="CJ5"/>
          <cell r="CK5"/>
          <cell r="CL5"/>
          <cell r="CM5"/>
          <cell r="CN5"/>
          <cell r="CO5"/>
          <cell r="CP5"/>
          <cell r="CQ5" t="e">
            <v>#REF!</v>
          </cell>
          <cell r="CR5"/>
          <cell r="CS5"/>
          <cell r="CT5"/>
          <cell r="CU5"/>
          <cell r="CV5" t="str">
            <v>1</v>
          </cell>
          <cell r="CW5"/>
          <cell r="CX5"/>
          <cell r="CY5">
            <v>300103</v>
          </cell>
          <cell r="CZ5">
            <v>300105</v>
          </cell>
          <cell r="DA5">
            <v>300107</v>
          </cell>
          <cell r="DB5">
            <v>300109</v>
          </cell>
          <cell r="DC5">
            <v>300111</v>
          </cell>
          <cell r="DD5">
            <v>300113</v>
          </cell>
        </row>
        <row r="6">
          <cell r="B6" t="str">
            <v>2</v>
          </cell>
          <cell r="C6"/>
          <cell r="D6" t="str">
            <v>TOTAL GROSS PROFIT</v>
          </cell>
          <cell r="E6"/>
          <cell r="F6"/>
          <cell r="G6"/>
          <cell r="H6"/>
          <cell r="I6"/>
          <cell r="J6"/>
          <cell r="K6"/>
          <cell r="L6"/>
          <cell r="M6"/>
          <cell r="N6"/>
          <cell r="O6"/>
          <cell r="P6"/>
          <cell r="Q6" t="str">
            <v>(From Page 6)</v>
          </cell>
          <cell r="R6"/>
          <cell r="S6">
            <v>208203</v>
          </cell>
          <cell r="T6"/>
          <cell r="U6"/>
          <cell r="V6"/>
          <cell r="W6"/>
          <cell r="X6"/>
          <cell r="Y6"/>
          <cell r="Z6"/>
          <cell r="AA6"/>
          <cell r="AB6"/>
          <cell r="AC6"/>
          <cell r="AD6" t="e">
            <v>#REF!</v>
          </cell>
          <cell r="AE6"/>
          <cell r="AF6"/>
          <cell r="AG6"/>
          <cell r="AH6"/>
          <cell r="AI6">
            <v>2872729</v>
          </cell>
          <cell r="AJ6"/>
          <cell r="AK6"/>
          <cell r="AL6"/>
          <cell r="AM6"/>
          <cell r="AN6"/>
          <cell r="AO6"/>
          <cell r="AP6"/>
          <cell r="AQ6"/>
          <cell r="AR6"/>
          <cell r="AS6"/>
          <cell r="AT6" t="e">
            <v>#REF!</v>
          </cell>
          <cell r="AU6"/>
          <cell r="AV6"/>
          <cell r="AW6"/>
          <cell r="AX6"/>
          <cell r="AY6">
            <v>83331</v>
          </cell>
          <cell r="AZ6"/>
          <cell r="BA6"/>
          <cell r="BB6"/>
          <cell r="BC6"/>
          <cell r="BD6"/>
          <cell r="BE6" t="e">
            <v>#REF!</v>
          </cell>
          <cell r="BF6"/>
          <cell r="BG6"/>
          <cell r="BH6"/>
          <cell r="BI6"/>
          <cell r="BJ6">
            <v>1112405</v>
          </cell>
          <cell r="BK6"/>
          <cell r="BL6"/>
          <cell r="BM6"/>
          <cell r="BN6"/>
          <cell r="BO6"/>
          <cell r="BP6" t="e">
            <v>#REF!</v>
          </cell>
          <cell r="BQ6"/>
          <cell r="BR6"/>
          <cell r="BS6"/>
          <cell r="BT6"/>
          <cell r="BU6">
            <v>0</v>
          </cell>
          <cell r="BV6"/>
          <cell r="BW6"/>
          <cell r="BX6"/>
          <cell r="BY6"/>
          <cell r="BZ6"/>
          <cell r="CA6" t="e">
            <v>#REF!</v>
          </cell>
          <cell r="CB6"/>
          <cell r="CC6"/>
          <cell r="CD6"/>
          <cell r="CE6"/>
          <cell r="CF6">
            <v>0</v>
          </cell>
          <cell r="CG6"/>
          <cell r="CH6"/>
          <cell r="CI6"/>
          <cell r="CJ6"/>
          <cell r="CK6"/>
          <cell r="CL6"/>
          <cell r="CM6"/>
          <cell r="CN6"/>
          <cell r="CO6"/>
          <cell r="CP6"/>
          <cell r="CQ6" t="e">
            <v>#REF!</v>
          </cell>
          <cell r="CR6"/>
          <cell r="CS6"/>
          <cell r="CT6"/>
          <cell r="CU6"/>
          <cell r="CV6" t="str">
            <v>2</v>
          </cell>
          <cell r="CW6"/>
          <cell r="CX6"/>
          <cell r="CY6">
            <v>300203</v>
          </cell>
          <cell r="CZ6">
            <v>300205</v>
          </cell>
          <cell r="DA6">
            <v>300207</v>
          </cell>
          <cell r="DB6">
            <v>300209</v>
          </cell>
          <cell r="DC6">
            <v>300211</v>
          </cell>
          <cell r="DD6">
            <v>300213</v>
          </cell>
        </row>
        <row r="7">
          <cell r="B7" t="str">
            <v>3</v>
          </cell>
          <cell r="C7"/>
          <cell r="D7" t="str">
            <v>Commissions &amp; Incentives</v>
          </cell>
          <cell r="E7"/>
          <cell r="F7"/>
          <cell r="G7"/>
          <cell r="H7"/>
          <cell r="I7"/>
          <cell r="J7"/>
          <cell r="K7"/>
          <cell r="L7"/>
          <cell r="M7"/>
          <cell r="N7"/>
          <cell r="O7"/>
          <cell r="P7"/>
          <cell r="Q7"/>
          <cell r="R7" t="str">
            <v>0100</v>
          </cell>
          <cell r="S7">
            <v>46674</v>
          </cell>
          <cell r="T7"/>
          <cell r="U7"/>
          <cell r="V7"/>
          <cell r="W7"/>
          <cell r="X7"/>
          <cell r="Y7"/>
          <cell r="Z7"/>
          <cell r="AA7"/>
          <cell r="AB7"/>
          <cell r="AC7"/>
          <cell r="AD7" t="e">
            <v>#REF!</v>
          </cell>
          <cell r="AE7"/>
          <cell r="AF7"/>
          <cell r="AG7"/>
          <cell r="AH7"/>
          <cell r="AI7">
            <v>414101</v>
          </cell>
          <cell r="AJ7"/>
          <cell r="AK7"/>
          <cell r="AL7"/>
          <cell r="AM7"/>
          <cell r="AN7"/>
          <cell r="AO7"/>
          <cell r="AP7"/>
          <cell r="AQ7"/>
          <cell r="AR7"/>
          <cell r="AS7"/>
          <cell r="AT7" t="e">
            <v>#REF!</v>
          </cell>
          <cell r="AU7"/>
          <cell r="AV7"/>
          <cell r="AW7"/>
          <cell r="AX7"/>
          <cell r="AY7">
            <v>8317</v>
          </cell>
          <cell r="AZ7"/>
          <cell r="BA7"/>
          <cell r="BB7"/>
          <cell r="BC7"/>
          <cell r="BD7"/>
          <cell r="BE7" t="e">
            <v>#REF!</v>
          </cell>
          <cell r="BF7"/>
          <cell r="BG7"/>
          <cell r="BH7"/>
          <cell r="BI7"/>
          <cell r="BJ7">
            <v>110108</v>
          </cell>
          <cell r="BK7"/>
          <cell r="BL7"/>
          <cell r="BM7"/>
          <cell r="BN7"/>
          <cell r="BO7"/>
          <cell r="BP7" t="e">
            <v>#REF!</v>
          </cell>
          <cell r="BQ7"/>
          <cell r="BR7"/>
          <cell r="BS7"/>
          <cell r="BT7"/>
          <cell r="BU7">
            <v>0</v>
          </cell>
          <cell r="BV7"/>
          <cell r="BW7"/>
          <cell r="BX7"/>
          <cell r="BY7"/>
          <cell r="BZ7"/>
          <cell r="CA7" t="e">
            <v>#REF!</v>
          </cell>
          <cell r="CB7"/>
          <cell r="CC7"/>
          <cell r="CD7"/>
          <cell r="CE7"/>
          <cell r="CF7">
            <v>0</v>
          </cell>
          <cell r="CG7"/>
          <cell r="CH7"/>
          <cell r="CI7"/>
          <cell r="CJ7"/>
          <cell r="CK7"/>
          <cell r="CL7"/>
          <cell r="CM7"/>
          <cell r="CN7"/>
          <cell r="CO7"/>
          <cell r="CP7"/>
          <cell r="CQ7" t="e">
            <v>#REF!</v>
          </cell>
          <cell r="CR7"/>
          <cell r="CS7"/>
          <cell r="CT7"/>
          <cell r="CU7"/>
          <cell r="CV7" t="str">
            <v>3</v>
          </cell>
          <cell r="CW7"/>
          <cell r="CX7"/>
          <cell r="CY7">
            <v>300303</v>
          </cell>
          <cell r="CZ7">
            <v>300305</v>
          </cell>
          <cell r="DA7">
            <v>300307</v>
          </cell>
          <cell r="DB7">
            <v>300309</v>
          </cell>
          <cell r="DC7">
            <v>300311</v>
          </cell>
          <cell r="DD7">
            <v>300313</v>
          </cell>
        </row>
        <row r="8">
          <cell r="B8" t="str">
            <v>4</v>
          </cell>
          <cell r="C8"/>
          <cell r="D8" t="str">
            <v>Salaries - Salespeople</v>
          </cell>
          <cell r="E8"/>
          <cell r="F8"/>
          <cell r="G8"/>
          <cell r="H8"/>
          <cell r="I8"/>
          <cell r="J8"/>
          <cell r="K8"/>
          <cell r="L8"/>
          <cell r="M8"/>
          <cell r="N8"/>
          <cell r="O8"/>
          <cell r="P8"/>
          <cell r="Q8"/>
          <cell r="R8" t="str">
            <v>0280</v>
          </cell>
          <cell r="S8">
            <v>0</v>
          </cell>
          <cell r="T8"/>
          <cell r="U8"/>
          <cell r="V8"/>
          <cell r="W8"/>
          <cell r="X8"/>
          <cell r="Y8"/>
          <cell r="Z8"/>
          <cell r="AA8"/>
          <cell r="AB8"/>
          <cell r="AC8"/>
          <cell r="AD8" t="e">
            <v>#REF!</v>
          </cell>
          <cell r="AE8"/>
          <cell r="AF8"/>
          <cell r="AG8"/>
          <cell r="AH8"/>
          <cell r="AI8">
            <v>0</v>
          </cell>
          <cell r="AJ8"/>
          <cell r="AK8"/>
          <cell r="AL8"/>
          <cell r="AM8"/>
          <cell r="AN8"/>
          <cell r="AO8"/>
          <cell r="AP8"/>
          <cell r="AQ8"/>
          <cell r="AR8"/>
          <cell r="AS8"/>
          <cell r="AT8" t="e">
            <v>#REF!</v>
          </cell>
          <cell r="AU8"/>
          <cell r="AV8"/>
          <cell r="AW8"/>
          <cell r="AX8"/>
          <cell r="AY8">
            <v>0</v>
          </cell>
          <cell r="AZ8"/>
          <cell r="BA8"/>
          <cell r="BB8"/>
          <cell r="BC8"/>
          <cell r="BD8"/>
          <cell r="BE8" t="e">
            <v>#REF!</v>
          </cell>
          <cell r="BF8"/>
          <cell r="BG8"/>
          <cell r="BH8"/>
          <cell r="BI8"/>
          <cell r="BJ8">
            <v>0</v>
          </cell>
          <cell r="BK8"/>
          <cell r="BL8"/>
          <cell r="BM8"/>
          <cell r="BN8"/>
          <cell r="BO8"/>
          <cell r="BP8" t="e">
            <v>#REF!</v>
          </cell>
          <cell r="BQ8"/>
          <cell r="BR8"/>
          <cell r="BS8"/>
          <cell r="BT8"/>
          <cell r="BU8">
            <v>0</v>
          </cell>
          <cell r="BV8"/>
          <cell r="BW8"/>
          <cell r="BX8"/>
          <cell r="BY8"/>
          <cell r="BZ8"/>
          <cell r="CA8" t="e">
            <v>#REF!</v>
          </cell>
          <cell r="CB8"/>
          <cell r="CC8"/>
          <cell r="CD8"/>
          <cell r="CE8"/>
          <cell r="CF8">
            <v>0</v>
          </cell>
          <cell r="CG8"/>
          <cell r="CH8"/>
          <cell r="CI8"/>
          <cell r="CJ8"/>
          <cell r="CK8"/>
          <cell r="CL8"/>
          <cell r="CM8"/>
          <cell r="CN8"/>
          <cell r="CO8"/>
          <cell r="CP8"/>
          <cell r="CQ8" t="e">
            <v>#REF!</v>
          </cell>
          <cell r="CR8"/>
          <cell r="CS8"/>
          <cell r="CT8"/>
          <cell r="CU8"/>
          <cell r="CV8" t="str">
            <v>4</v>
          </cell>
          <cell r="CW8"/>
          <cell r="CX8"/>
          <cell r="CY8">
            <v>300403</v>
          </cell>
          <cell r="CZ8">
            <v>300405</v>
          </cell>
          <cell r="DA8">
            <v>300407</v>
          </cell>
          <cell r="DB8">
            <v>300409</v>
          </cell>
          <cell r="DC8">
            <v>300411</v>
          </cell>
          <cell r="DD8">
            <v>300413</v>
          </cell>
        </row>
        <row r="9">
          <cell r="B9" t="str">
            <v>5</v>
          </cell>
          <cell r="C9"/>
          <cell r="D9" t="str">
            <v>F &amp; I Commissions &amp; Incentives</v>
          </cell>
          <cell r="E9"/>
          <cell r="F9"/>
          <cell r="G9"/>
          <cell r="H9"/>
          <cell r="I9"/>
          <cell r="J9"/>
          <cell r="K9"/>
          <cell r="L9"/>
          <cell r="M9"/>
          <cell r="N9"/>
          <cell r="O9"/>
          <cell r="P9"/>
          <cell r="Q9"/>
          <cell r="R9" t="str">
            <v>0090</v>
          </cell>
          <cell r="S9"/>
          <cell r="T9"/>
          <cell r="U9"/>
          <cell r="V9"/>
          <cell r="W9"/>
          <cell r="X9"/>
          <cell r="Y9"/>
          <cell r="Z9"/>
          <cell r="AA9"/>
          <cell r="AB9"/>
          <cell r="AC9"/>
          <cell r="AD9"/>
          <cell r="AE9"/>
          <cell r="AF9"/>
          <cell r="AG9"/>
          <cell r="AH9"/>
          <cell r="AI9"/>
          <cell r="AJ9"/>
          <cell r="AK9"/>
          <cell r="AL9"/>
          <cell r="AM9"/>
          <cell r="AN9"/>
          <cell r="AO9"/>
          <cell r="AP9"/>
          <cell r="AQ9"/>
          <cell r="AR9"/>
          <cell r="AS9"/>
          <cell r="AT9"/>
          <cell r="AU9"/>
          <cell r="AV9"/>
          <cell r="AW9"/>
          <cell r="AX9"/>
          <cell r="AY9"/>
          <cell r="AZ9"/>
          <cell r="BA9"/>
          <cell r="BB9"/>
          <cell r="BC9"/>
          <cell r="BD9"/>
          <cell r="BE9"/>
          <cell r="BF9"/>
          <cell r="BG9"/>
          <cell r="BH9"/>
          <cell r="BI9"/>
          <cell r="BJ9"/>
          <cell r="BK9"/>
          <cell r="BL9"/>
          <cell r="BM9"/>
          <cell r="BN9"/>
          <cell r="BO9"/>
          <cell r="BP9"/>
          <cell r="BQ9"/>
          <cell r="BR9"/>
          <cell r="BS9"/>
          <cell r="BT9"/>
          <cell r="BU9"/>
          <cell r="BV9"/>
          <cell r="BW9"/>
          <cell r="BX9"/>
          <cell r="BY9"/>
          <cell r="BZ9"/>
          <cell r="CA9"/>
          <cell r="CB9"/>
          <cell r="CC9"/>
          <cell r="CD9"/>
          <cell r="CE9"/>
          <cell r="CF9"/>
          <cell r="CG9"/>
          <cell r="CH9"/>
          <cell r="CI9"/>
          <cell r="CJ9"/>
          <cell r="CK9"/>
          <cell r="CL9"/>
          <cell r="CM9"/>
          <cell r="CN9"/>
          <cell r="CO9"/>
          <cell r="CP9"/>
          <cell r="CQ9" t="e">
            <v>#REF!</v>
          </cell>
          <cell r="CR9"/>
          <cell r="CS9"/>
          <cell r="CT9"/>
          <cell r="CU9"/>
          <cell r="CV9" t="str">
            <v>5</v>
          </cell>
          <cell r="CW9"/>
          <cell r="CX9"/>
          <cell r="CY9">
            <v>300503</v>
          </cell>
          <cell r="CZ9">
            <v>300505</v>
          </cell>
          <cell r="DA9">
            <v>300507</v>
          </cell>
          <cell r="DB9">
            <v>300509</v>
          </cell>
          <cell r="DC9">
            <v>300511</v>
          </cell>
          <cell r="DD9">
            <v>300513</v>
          </cell>
        </row>
        <row r="10">
          <cell r="B10" t="str">
            <v>6</v>
          </cell>
          <cell r="C10"/>
          <cell r="D10" t="str">
            <v>Delivery Expense</v>
          </cell>
          <cell r="E10"/>
          <cell r="F10"/>
          <cell r="G10"/>
          <cell r="H10"/>
          <cell r="I10"/>
          <cell r="J10"/>
          <cell r="K10"/>
          <cell r="L10"/>
          <cell r="M10"/>
          <cell r="N10"/>
          <cell r="O10"/>
          <cell r="P10"/>
          <cell r="Q10"/>
          <cell r="R10" t="str">
            <v>0110</v>
          </cell>
          <cell r="S10"/>
          <cell r="T10"/>
          <cell r="U10"/>
          <cell r="V10"/>
          <cell r="W10"/>
          <cell r="X10"/>
          <cell r="Y10"/>
          <cell r="Z10"/>
          <cell r="AA10"/>
          <cell r="AB10"/>
          <cell r="AC10"/>
          <cell r="AD10"/>
          <cell r="AE10"/>
          <cell r="AF10"/>
          <cell r="AG10"/>
          <cell r="AH10"/>
          <cell r="AI10"/>
          <cell r="AJ10"/>
          <cell r="AK10"/>
          <cell r="AL10"/>
          <cell r="AM10"/>
          <cell r="AN10"/>
          <cell r="AO10"/>
          <cell r="AP10"/>
          <cell r="AQ10"/>
          <cell r="AR10"/>
          <cell r="AS10"/>
          <cell r="AT10"/>
          <cell r="AU10"/>
          <cell r="AV10"/>
          <cell r="AW10"/>
          <cell r="AX10"/>
          <cell r="AY10"/>
          <cell r="AZ10"/>
          <cell r="BA10"/>
          <cell r="BB10"/>
          <cell r="BC10"/>
          <cell r="BD10"/>
          <cell r="BE10"/>
          <cell r="BF10"/>
          <cell r="BG10"/>
          <cell r="BH10"/>
          <cell r="BI10"/>
          <cell r="BJ10"/>
          <cell r="BK10"/>
          <cell r="BL10"/>
          <cell r="BM10"/>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t="e">
            <v>#REF!</v>
          </cell>
          <cell r="CR10"/>
          <cell r="CS10"/>
          <cell r="CT10"/>
          <cell r="CU10"/>
          <cell r="CV10" t="str">
            <v>6</v>
          </cell>
          <cell r="CW10"/>
          <cell r="CX10"/>
          <cell r="CY10">
            <v>300603</v>
          </cell>
          <cell r="CZ10">
            <v>300605</v>
          </cell>
          <cell r="DA10">
            <v>300607</v>
          </cell>
          <cell r="DB10">
            <v>300609</v>
          </cell>
          <cell r="DC10">
            <v>300611</v>
          </cell>
          <cell r="DD10">
            <v>300613</v>
          </cell>
        </row>
        <row r="11">
          <cell r="B11" t="str">
            <v>7</v>
          </cell>
          <cell r="C11"/>
          <cell r="D11" t="str">
            <v>Policy Adjustment</v>
          </cell>
          <cell r="E11"/>
          <cell r="F11"/>
          <cell r="G11"/>
          <cell r="H11"/>
          <cell r="I11"/>
          <cell r="J11"/>
          <cell r="K11"/>
          <cell r="L11"/>
          <cell r="M11"/>
          <cell r="N11"/>
          <cell r="O11"/>
          <cell r="P11"/>
          <cell r="Q11"/>
          <cell r="R11" t="str">
            <v>0130</v>
          </cell>
          <cell r="S11">
            <v>2849</v>
          </cell>
          <cell r="T11"/>
          <cell r="U11"/>
          <cell r="V11"/>
          <cell r="W11"/>
          <cell r="X11"/>
          <cell r="Y11"/>
          <cell r="Z11"/>
          <cell r="AA11"/>
          <cell r="AB11"/>
          <cell r="AC11"/>
          <cell r="AD11" t="e">
            <v>#REF!</v>
          </cell>
          <cell r="AE11"/>
          <cell r="AF11"/>
          <cell r="AG11"/>
          <cell r="AH11"/>
          <cell r="AI11">
            <v>52741</v>
          </cell>
          <cell r="AJ11"/>
          <cell r="AK11"/>
          <cell r="AL11"/>
          <cell r="AM11"/>
          <cell r="AN11"/>
          <cell r="AO11"/>
          <cell r="AP11"/>
          <cell r="AQ11"/>
          <cell r="AR11"/>
          <cell r="AS11"/>
          <cell r="AT11" t="e">
            <v>#REF!</v>
          </cell>
          <cell r="AU11"/>
          <cell r="AV11"/>
          <cell r="AW11"/>
          <cell r="AX11"/>
          <cell r="AY11">
            <v>75</v>
          </cell>
          <cell r="AZ11"/>
          <cell r="BA11"/>
          <cell r="BB11"/>
          <cell r="BC11"/>
          <cell r="BD11"/>
          <cell r="BE11" t="e">
            <v>#REF!</v>
          </cell>
          <cell r="BF11"/>
          <cell r="BG11"/>
          <cell r="BH11"/>
          <cell r="BI11"/>
          <cell r="BJ11">
            <v>1195</v>
          </cell>
          <cell r="BK11"/>
          <cell r="BL11"/>
          <cell r="BM11"/>
          <cell r="BN11"/>
          <cell r="BO11"/>
          <cell r="BP11" t="e">
            <v>#REF!</v>
          </cell>
          <cell r="BQ11"/>
          <cell r="BR11"/>
          <cell r="BS11"/>
          <cell r="BT11"/>
          <cell r="BU11">
            <v>0</v>
          </cell>
          <cell r="BV11"/>
          <cell r="BW11"/>
          <cell r="BX11"/>
          <cell r="BY11"/>
          <cell r="BZ11"/>
          <cell r="CA11" t="e">
            <v>#REF!</v>
          </cell>
          <cell r="CB11"/>
          <cell r="CC11"/>
          <cell r="CD11"/>
          <cell r="CE11"/>
          <cell r="CF11">
            <v>0</v>
          </cell>
          <cell r="CG11"/>
          <cell r="CH11"/>
          <cell r="CI11"/>
          <cell r="CJ11"/>
          <cell r="CK11"/>
          <cell r="CL11"/>
          <cell r="CM11"/>
          <cell r="CN11"/>
          <cell r="CO11"/>
          <cell r="CP11"/>
          <cell r="CQ11" t="e">
            <v>#REF!</v>
          </cell>
          <cell r="CR11"/>
          <cell r="CS11"/>
          <cell r="CT11"/>
          <cell r="CU11"/>
          <cell r="CV11" t="str">
            <v>7</v>
          </cell>
          <cell r="CW11"/>
          <cell r="CX11"/>
          <cell r="CY11">
            <v>300703</v>
          </cell>
          <cell r="CZ11">
            <v>300705</v>
          </cell>
          <cell r="DA11">
            <v>300707</v>
          </cell>
          <cell r="DB11">
            <v>300709</v>
          </cell>
          <cell r="DC11">
            <v>300711</v>
          </cell>
          <cell r="DD11">
            <v>300713</v>
          </cell>
        </row>
        <row r="12">
          <cell r="B12" t="str">
            <v>8</v>
          </cell>
          <cell r="C12"/>
          <cell r="D12" t="str">
            <v>Demonstration</v>
          </cell>
          <cell r="E12"/>
          <cell r="F12"/>
          <cell r="G12"/>
          <cell r="H12"/>
          <cell r="I12"/>
          <cell r="J12"/>
          <cell r="K12"/>
          <cell r="L12"/>
          <cell r="M12"/>
          <cell r="N12"/>
          <cell r="O12"/>
          <cell r="P12"/>
          <cell r="Q12"/>
          <cell r="R12" t="str">
            <v>0140</v>
          </cell>
          <cell r="S12"/>
          <cell r="T12"/>
          <cell r="U12"/>
          <cell r="V12"/>
          <cell r="W12"/>
          <cell r="X12"/>
          <cell r="Y12"/>
          <cell r="Z12"/>
          <cell r="AA12"/>
          <cell r="AB12"/>
          <cell r="AC12"/>
          <cell r="AD12"/>
          <cell r="AE12"/>
          <cell r="AF12"/>
          <cell r="AG12"/>
          <cell r="AH12"/>
          <cell r="AI12"/>
          <cell r="AJ12"/>
          <cell r="AK12"/>
          <cell r="AL12"/>
          <cell r="AM12"/>
          <cell r="AN12"/>
          <cell r="AO12"/>
          <cell r="AP12"/>
          <cell r="AQ12"/>
          <cell r="AR12"/>
          <cell r="AS12"/>
          <cell r="AT12"/>
          <cell r="AU12"/>
          <cell r="AV12"/>
          <cell r="AW12"/>
          <cell r="AX12"/>
          <cell r="AY12"/>
          <cell r="AZ12"/>
          <cell r="BA12"/>
          <cell r="BB12"/>
          <cell r="BC12"/>
          <cell r="BD12"/>
          <cell r="BE12"/>
          <cell r="BF12"/>
          <cell r="BG12"/>
          <cell r="BH12"/>
          <cell r="BI12"/>
          <cell r="BJ12"/>
          <cell r="BK12"/>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t="e">
            <v>#REF!</v>
          </cell>
          <cell r="CR12"/>
          <cell r="CS12"/>
          <cell r="CT12"/>
          <cell r="CU12"/>
          <cell r="CV12" t="str">
            <v>8</v>
          </cell>
          <cell r="CW12"/>
          <cell r="CX12"/>
          <cell r="CY12">
            <v>300803</v>
          </cell>
          <cell r="CZ12">
            <v>300805</v>
          </cell>
          <cell r="DA12">
            <v>300807</v>
          </cell>
          <cell r="DB12">
            <v>300809</v>
          </cell>
          <cell r="DC12">
            <v>300811</v>
          </cell>
          <cell r="DD12">
            <v>300813</v>
          </cell>
        </row>
        <row r="13">
          <cell r="B13" t="str">
            <v>9</v>
          </cell>
          <cell r="C13"/>
          <cell r="D13" t="str">
            <v>Advertising</v>
          </cell>
          <cell r="E13"/>
          <cell r="F13"/>
          <cell r="G13"/>
          <cell r="H13"/>
          <cell r="I13"/>
          <cell r="J13"/>
          <cell r="K13"/>
          <cell r="L13"/>
          <cell r="M13"/>
          <cell r="N13"/>
          <cell r="O13"/>
          <cell r="P13"/>
          <cell r="Q13"/>
          <cell r="R13" t="str">
            <v>0150</v>
          </cell>
          <cell r="S13">
            <v>9494</v>
          </cell>
          <cell r="T13"/>
          <cell r="U13"/>
          <cell r="V13"/>
          <cell r="W13"/>
          <cell r="X13"/>
          <cell r="Y13"/>
          <cell r="Z13"/>
          <cell r="AA13"/>
          <cell r="AB13"/>
          <cell r="AC13"/>
          <cell r="AD13" t="e">
            <v>#REF!</v>
          </cell>
          <cell r="AE13"/>
          <cell r="AF13"/>
          <cell r="AG13"/>
          <cell r="AH13"/>
          <cell r="AI13">
            <v>107679</v>
          </cell>
          <cell r="AJ13"/>
          <cell r="AK13"/>
          <cell r="AL13"/>
          <cell r="AM13"/>
          <cell r="AN13"/>
          <cell r="AO13"/>
          <cell r="AP13"/>
          <cell r="AQ13"/>
          <cell r="AR13"/>
          <cell r="AS13"/>
          <cell r="AT13" t="e">
            <v>#REF!</v>
          </cell>
          <cell r="AU13"/>
          <cell r="AV13"/>
          <cell r="AW13"/>
          <cell r="AX13"/>
          <cell r="AY13">
            <v>563</v>
          </cell>
          <cell r="AZ13"/>
          <cell r="BA13"/>
          <cell r="BB13"/>
          <cell r="BC13"/>
          <cell r="BD13"/>
          <cell r="BE13" t="e">
            <v>#REF!</v>
          </cell>
          <cell r="BF13"/>
          <cell r="BG13"/>
          <cell r="BH13"/>
          <cell r="BI13"/>
          <cell r="BJ13">
            <v>12597</v>
          </cell>
          <cell r="BK13"/>
          <cell r="BL13"/>
          <cell r="BM13"/>
          <cell r="BN13"/>
          <cell r="BO13"/>
          <cell r="BP13" t="e">
            <v>#REF!</v>
          </cell>
          <cell r="BQ13"/>
          <cell r="BR13"/>
          <cell r="BS13"/>
          <cell r="BT13"/>
          <cell r="BU13">
            <v>0</v>
          </cell>
          <cell r="BV13"/>
          <cell r="BW13"/>
          <cell r="BX13"/>
          <cell r="BY13"/>
          <cell r="BZ13"/>
          <cell r="CA13" t="e">
            <v>#REF!</v>
          </cell>
          <cell r="CB13"/>
          <cell r="CC13"/>
          <cell r="CD13"/>
          <cell r="CE13"/>
          <cell r="CF13">
            <v>0</v>
          </cell>
          <cell r="CG13"/>
          <cell r="CH13"/>
          <cell r="CI13"/>
          <cell r="CJ13"/>
          <cell r="CK13"/>
          <cell r="CL13"/>
          <cell r="CM13"/>
          <cell r="CN13"/>
          <cell r="CO13"/>
          <cell r="CP13"/>
          <cell r="CQ13" t="e">
            <v>#REF!</v>
          </cell>
          <cell r="CR13"/>
          <cell r="CS13"/>
          <cell r="CT13"/>
          <cell r="CU13"/>
          <cell r="CV13" t="str">
            <v>9</v>
          </cell>
          <cell r="CW13"/>
          <cell r="CX13"/>
          <cell r="CY13">
            <v>300903</v>
          </cell>
          <cell r="CZ13">
            <v>300905</v>
          </cell>
          <cell r="DA13">
            <v>300907</v>
          </cell>
          <cell r="DB13">
            <v>300909</v>
          </cell>
          <cell r="DC13">
            <v>300911</v>
          </cell>
          <cell r="DD13">
            <v>300913</v>
          </cell>
        </row>
        <row r="14">
          <cell r="B14" t="str">
            <v>10</v>
          </cell>
          <cell r="C14"/>
          <cell r="D14" t="str">
            <v>LESS Advertising Reimbursement / Allowances</v>
          </cell>
          <cell r="E14"/>
          <cell r="F14"/>
          <cell r="G14"/>
          <cell r="H14"/>
          <cell r="I14"/>
          <cell r="J14"/>
          <cell r="K14"/>
          <cell r="L14"/>
          <cell r="M14"/>
          <cell r="N14"/>
          <cell r="O14"/>
          <cell r="P14"/>
          <cell r="Q14"/>
          <cell r="R14" t="str">
            <v>0170</v>
          </cell>
          <cell r="S14">
            <v>0</v>
          </cell>
          <cell r="T14"/>
          <cell r="U14"/>
          <cell r="V14"/>
          <cell r="W14"/>
          <cell r="X14"/>
          <cell r="Y14"/>
          <cell r="Z14"/>
          <cell r="AA14"/>
          <cell r="AB14"/>
          <cell r="AC14"/>
          <cell r="AD14" t="e">
            <v>#REF!</v>
          </cell>
          <cell r="AE14"/>
          <cell r="AF14"/>
          <cell r="AG14"/>
          <cell r="AH14"/>
          <cell r="AI14">
            <v>0</v>
          </cell>
          <cell r="AJ14"/>
          <cell r="AK14"/>
          <cell r="AL14"/>
          <cell r="AM14"/>
          <cell r="AN14"/>
          <cell r="AO14"/>
          <cell r="AP14"/>
          <cell r="AQ14"/>
          <cell r="AR14"/>
          <cell r="AS14"/>
          <cell r="AT14" t="e">
            <v>#REF!</v>
          </cell>
          <cell r="AU14"/>
          <cell r="AV14"/>
          <cell r="AW14"/>
          <cell r="AX14"/>
          <cell r="AY14">
            <v>0</v>
          </cell>
          <cell r="AZ14"/>
          <cell r="BA14"/>
          <cell r="BB14"/>
          <cell r="BC14"/>
          <cell r="BD14"/>
          <cell r="BE14" t="e">
            <v>#REF!</v>
          </cell>
          <cell r="BF14"/>
          <cell r="BG14"/>
          <cell r="BH14"/>
          <cell r="BI14"/>
          <cell r="BJ14">
            <v>0</v>
          </cell>
          <cell r="BK14"/>
          <cell r="BL14"/>
          <cell r="BM14"/>
          <cell r="BN14"/>
          <cell r="BO14"/>
          <cell r="BP14" t="e">
            <v>#REF!</v>
          </cell>
          <cell r="BQ14"/>
          <cell r="BR14"/>
          <cell r="BS14"/>
          <cell r="BT14"/>
          <cell r="BU14">
            <v>0</v>
          </cell>
          <cell r="BV14"/>
          <cell r="BW14"/>
          <cell r="BX14"/>
          <cell r="BY14"/>
          <cell r="BZ14"/>
          <cell r="CA14" t="e">
            <v>#REF!</v>
          </cell>
          <cell r="CB14"/>
          <cell r="CC14"/>
          <cell r="CD14"/>
          <cell r="CE14"/>
          <cell r="CF14">
            <v>0</v>
          </cell>
          <cell r="CG14"/>
          <cell r="CH14"/>
          <cell r="CI14"/>
          <cell r="CJ14"/>
          <cell r="CK14"/>
          <cell r="CL14"/>
          <cell r="CM14"/>
          <cell r="CN14"/>
          <cell r="CO14"/>
          <cell r="CP14"/>
          <cell r="CQ14" t="e">
            <v>#REF!</v>
          </cell>
          <cell r="CR14"/>
          <cell r="CS14"/>
          <cell r="CT14"/>
          <cell r="CU14"/>
          <cell r="CV14" t="str">
            <v>10</v>
          </cell>
          <cell r="CW14"/>
          <cell r="CX14"/>
          <cell r="CY14">
            <v>301003</v>
          </cell>
          <cell r="CZ14">
            <v>301005</v>
          </cell>
          <cell r="DA14">
            <v>301007</v>
          </cell>
          <cell r="DB14">
            <v>301009</v>
          </cell>
          <cell r="DC14">
            <v>301011</v>
          </cell>
          <cell r="DD14">
            <v>301013</v>
          </cell>
        </row>
        <row r="15">
          <cell r="B15" t="str">
            <v>11</v>
          </cell>
          <cell r="C15"/>
          <cell r="D15" t="str">
            <v>Interest - Floor Plan - Vehicles</v>
          </cell>
          <cell r="E15"/>
          <cell r="F15"/>
          <cell r="G15"/>
          <cell r="H15"/>
          <cell r="I15"/>
          <cell r="J15"/>
          <cell r="K15"/>
          <cell r="L15"/>
          <cell r="M15"/>
          <cell r="N15"/>
          <cell r="O15"/>
          <cell r="P15"/>
          <cell r="Q15"/>
          <cell r="R15" t="str">
            <v>0160</v>
          </cell>
          <cell r="S15"/>
          <cell r="T15"/>
          <cell r="U15"/>
          <cell r="V15"/>
          <cell r="W15"/>
          <cell r="X15"/>
          <cell r="Y15"/>
          <cell r="Z15"/>
          <cell r="AA15"/>
          <cell r="AB15"/>
          <cell r="AC15"/>
          <cell r="AD15"/>
          <cell r="AE15"/>
          <cell r="AF15"/>
          <cell r="AG15"/>
          <cell r="AH15"/>
          <cell r="AI15"/>
          <cell r="AJ15"/>
          <cell r="AK15"/>
          <cell r="AL15"/>
          <cell r="AM15"/>
          <cell r="AN15"/>
          <cell r="AO15"/>
          <cell r="AP15"/>
          <cell r="AQ15"/>
          <cell r="AR15"/>
          <cell r="AS15"/>
          <cell r="AT15"/>
          <cell r="AU15"/>
          <cell r="AV15"/>
          <cell r="AW15"/>
          <cell r="AX15"/>
          <cell r="AY15"/>
          <cell r="AZ15"/>
          <cell r="BA15"/>
          <cell r="BB15"/>
          <cell r="BC15"/>
          <cell r="BD15"/>
          <cell r="BE15"/>
          <cell r="BF15"/>
          <cell r="BG15"/>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t="e">
            <v>#REF!</v>
          </cell>
          <cell r="CR15"/>
          <cell r="CS15"/>
          <cell r="CT15"/>
          <cell r="CU15"/>
          <cell r="CV15" t="str">
            <v>11</v>
          </cell>
          <cell r="CW15"/>
          <cell r="CX15"/>
          <cell r="CY15">
            <v>301103</v>
          </cell>
          <cell r="CZ15">
            <v>301105</v>
          </cell>
          <cell r="DA15">
            <v>301107</v>
          </cell>
          <cell r="DB15">
            <v>301109</v>
          </cell>
          <cell r="DC15">
            <v>301111</v>
          </cell>
          <cell r="DD15">
            <v>301113</v>
          </cell>
        </row>
        <row r="16">
          <cell r="B16" t="str">
            <v>12</v>
          </cell>
          <cell r="C16"/>
          <cell r="D16" t="str">
            <v>LESS Floor Plan Assistance</v>
          </cell>
          <cell r="E16"/>
          <cell r="F16"/>
          <cell r="G16"/>
          <cell r="H16"/>
          <cell r="I16"/>
          <cell r="J16"/>
          <cell r="K16"/>
          <cell r="L16"/>
          <cell r="M16"/>
          <cell r="N16"/>
          <cell r="O16"/>
          <cell r="P16"/>
          <cell r="Q16"/>
          <cell r="R16" t="str">
            <v>0180</v>
          </cell>
          <cell r="S16"/>
          <cell r="T16"/>
          <cell r="U16"/>
          <cell r="V16"/>
          <cell r="W16"/>
          <cell r="X16"/>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cell r="BE16"/>
          <cell r="BF16"/>
          <cell r="BG16"/>
          <cell r="BH16"/>
          <cell r="BI16"/>
          <cell r="BJ16"/>
          <cell r="BK16"/>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t="e">
            <v>#REF!</v>
          </cell>
          <cell r="CR16"/>
          <cell r="CS16"/>
          <cell r="CT16"/>
          <cell r="CU16"/>
          <cell r="CV16" t="str">
            <v>12</v>
          </cell>
          <cell r="CW16"/>
          <cell r="CX16"/>
          <cell r="CY16">
            <v>301203</v>
          </cell>
          <cell r="CZ16">
            <v>301205</v>
          </cell>
          <cell r="DA16">
            <v>301207</v>
          </cell>
          <cell r="DB16">
            <v>301209</v>
          </cell>
          <cell r="DC16">
            <v>301211</v>
          </cell>
          <cell r="DD16">
            <v>301213</v>
          </cell>
        </row>
        <row r="17">
          <cell r="B17" t="str">
            <v>13</v>
          </cell>
          <cell r="C17"/>
          <cell r="D17" t="str">
            <v>Vehicle Maintenance</v>
          </cell>
          <cell r="E17"/>
          <cell r="F17"/>
          <cell r="G17"/>
          <cell r="H17"/>
          <cell r="I17"/>
          <cell r="J17"/>
          <cell r="K17"/>
          <cell r="L17"/>
          <cell r="M17"/>
          <cell r="N17"/>
          <cell r="O17"/>
          <cell r="P17"/>
          <cell r="Q17"/>
          <cell r="R17" t="str">
            <v>0190</v>
          </cell>
          <cell r="S17"/>
          <cell r="T17"/>
          <cell r="U17"/>
          <cell r="V17"/>
          <cell r="W17"/>
          <cell r="X17"/>
          <cell r="Y17"/>
          <cell r="Z17"/>
          <cell r="AA17"/>
          <cell r="AB17"/>
          <cell r="AC17"/>
          <cell r="AD17"/>
          <cell r="AE17"/>
          <cell r="AF17"/>
          <cell r="AG17"/>
          <cell r="AH17"/>
          <cell r="AI17"/>
          <cell r="AJ17"/>
          <cell r="AK17"/>
          <cell r="AL17"/>
          <cell r="AM17"/>
          <cell r="AN17"/>
          <cell r="AO17"/>
          <cell r="AP17"/>
          <cell r="AQ17"/>
          <cell r="AR17"/>
          <cell r="AS17"/>
          <cell r="AT17"/>
          <cell r="AU17"/>
          <cell r="AV17"/>
          <cell r="AW17"/>
          <cell r="AX17"/>
          <cell r="AY17"/>
          <cell r="AZ17"/>
          <cell r="BA17"/>
          <cell r="BB17"/>
          <cell r="BC17"/>
          <cell r="BD17"/>
          <cell r="BE17"/>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t="e">
            <v>#REF!</v>
          </cell>
          <cell r="CR17"/>
          <cell r="CS17"/>
          <cell r="CT17"/>
          <cell r="CU17"/>
          <cell r="CV17" t="str">
            <v>13</v>
          </cell>
          <cell r="CW17"/>
          <cell r="CX17"/>
          <cell r="CY17">
            <v>301303</v>
          </cell>
          <cell r="CZ17">
            <v>301305</v>
          </cell>
          <cell r="DA17">
            <v>301307</v>
          </cell>
          <cell r="DB17">
            <v>301309</v>
          </cell>
          <cell r="DC17">
            <v>301311</v>
          </cell>
          <cell r="DD17">
            <v>301313</v>
          </cell>
        </row>
        <row r="18">
          <cell r="B18" t="str">
            <v>14</v>
          </cell>
          <cell r="C18"/>
          <cell r="D18" t="str">
            <v>TOTAL VARIABLE SELLING EXPENSE</v>
          </cell>
          <cell r="E18"/>
          <cell r="F18"/>
          <cell r="G18"/>
          <cell r="H18"/>
          <cell r="I18"/>
          <cell r="J18"/>
          <cell r="K18"/>
          <cell r="L18"/>
          <cell r="M18"/>
          <cell r="N18"/>
          <cell r="O18"/>
          <cell r="P18"/>
          <cell r="Q18" t="str">
            <v xml:space="preserve">(Lines 3 to 13) </v>
          </cell>
          <cell r="R18"/>
          <cell r="S18">
            <v>59017</v>
          </cell>
          <cell r="T18"/>
          <cell r="U18"/>
          <cell r="V18"/>
          <cell r="W18"/>
          <cell r="X18"/>
          <cell r="Y18"/>
          <cell r="Z18"/>
          <cell r="AA18"/>
          <cell r="AB18"/>
          <cell r="AC18"/>
          <cell r="AD18" t="e">
            <v>#REF!</v>
          </cell>
          <cell r="AE18"/>
          <cell r="AF18"/>
          <cell r="AG18"/>
          <cell r="AH18"/>
          <cell r="AI18">
            <v>574521</v>
          </cell>
          <cell r="AJ18"/>
          <cell r="AK18"/>
          <cell r="AL18"/>
          <cell r="AM18"/>
          <cell r="AN18"/>
          <cell r="AO18"/>
          <cell r="AP18"/>
          <cell r="AQ18"/>
          <cell r="AR18"/>
          <cell r="AS18"/>
          <cell r="AT18" t="e">
            <v>#REF!</v>
          </cell>
          <cell r="AU18"/>
          <cell r="AV18"/>
          <cell r="AW18"/>
          <cell r="AX18"/>
          <cell r="AY18">
            <v>8955</v>
          </cell>
          <cell r="AZ18"/>
          <cell r="BA18"/>
          <cell r="BB18"/>
          <cell r="BC18"/>
          <cell r="BD18"/>
          <cell r="BE18" t="e">
            <v>#REF!</v>
          </cell>
          <cell r="BF18"/>
          <cell r="BG18"/>
          <cell r="BH18"/>
          <cell r="BI18"/>
          <cell r="BJ18">
            <v>123900</v>
          </cell>
          <cell r="BK18"/>
          <cell r="BL18"/>
          <cell r="BM18"/>
          <cell r="BN18"/>
          <cell r="BO18"/>
          <cell r="BP18" t="e">
            <v>#REF!</v>
          </cell>
          <cell r="BQ18"/>
          <cell r="BR18"/>
          <cell r="BS18"/>
          <cell r="BT18"/>
          <cell r="BU18">
            <v>0</v>
          </cell>
          <cell r="BV18"/>
          <cell r="BW18"/>
          <cell r="BX18"/>
          <cell r="BY18"/>
          <cell r="BZ18"/>
          <cell r="CA18" t="e">
            <v>#REF!</v>
          </cell>
          <cell r="CB18"/>
          <cell r="CC18"/>
          <cell r="CD18"/>
          <cell r="CE18"/>
          <cell r="CF18">
            <v>0</v>
          </cell>
          <cell r="CG18"/>
          <cell r="CH18"/>
          <cell r="CI18"/>
          <cell r="CJ18"/>
          <cell r="CK18"/>
          <cell r="CL18"/>
          <cell r="CM18"/>
          <cell r="CN18"/>
          <cell r="CO18"/>
          <cell r="CP18"/>
          <cell r="CQ18" t="e">
            <v>#REF!</v>
          </cell>
          <cell r="CR18"/>
          <cell r="CS18"/>
          <cell r="CT18"/>
          <cell r="CU18"/>
          <cell r="CV18" t="str">
            <v>14</v>
          </cell>
          <cell r="CW18"/>
          <cell r="CX18"/>
          <cell r="CY18">
            <v>301403</v>
          </cell>
          <cell r="CZ18">
            <v>301405</v>
          </cell>
          <cell r="DA18">
            <v>301407</v>
          </cell>
          <cell r="DB18">
            <v>301409</v>
          </cell>
          <cell r="DC18">
            <v>301411</v>
          </cell>
          <cell r="DD18">
            <v>301413</v>
          </cell>
        </row>
        <row r="19">
          <cell r="B19" t="str">
            <v>15</v>
          </cell>
          <cell r="C19"/>
          <cell r="D19" t="str">
            <v>Salaries - Owners</v>
          </cell>
          <cell r="E19"/>
          <cell r="F19"/>
          <cell r="G19"/>
          <cell r="H19"/>
          <cell r="I19"/>
          <cell r="J19"/>
          <cell r="K19"/>
          <cell r="L19"/>
          <cell r="M19"/>
          <cell r="N19"/>
          <cell r="O19"/>
          <cell r="P19"/>
          <cell r="Q19"/>
          <cell r="R19" t="str">
            <v>0200</v>
          </cell>
          <cell r="S19">
            <v>17288</v>
          </cell>
          <cell r="T19"/>
          <cell r="U19"/>
          <cell r="V19"/>
          <cell r="W19"/>
          <cell r="X19"/>
          <cell r="Y19"/>
          <cell r="Z19"/>
          <cell r="AA19"/>
          <cell r="AB19"/>
          <cell r="AC19"/>
          <cell r="AD19" t="e">
            <v>#REF!</v>
          </cell>
          <cell r="AE19"/>
          <cell r="AF19"/>
          <cell r="AG19"/>
          <cell r="AH19"/>
          <cell r="AI19">
            <v>171249</v>
          </cell>
          <cell r="AJ19"/>
          <cell r="AK19"/>
          <cell r="AL19"/>
          <cell r="AM19"/>
          <cell r="AN19"/>
          <cell r="AO19"/>
          <cell r="AP19"/>
          <cell r="AQ19"/>
          <cell r="AR19"/>
          <cell r="AS19"/>
          <cell r="AT19" t="e">
            <v>#REF!</v>
          </cell>
          <cell r="AU19"/>
          <cell r="AV19"/>
          <cell r="AW19"/>
          <cell r="AX19"/>
          <cell r="AY19">
            <v>7330</v>
          </cell>
          <cell r="AZ19"/>
          <cell r="BA19"/>
          <cell r="BB19"/>
          <cell r="BC19"/>
          <cell r="BD19"/>
          <cell r="BE19" t="e">
            <v>#REF!</v>
          </cell>
          <cell r="BF19"/>
          <cell r="BG19"/>
          <cell r="BH19"/>
          <cell r="BI19"/>
          <cell r="BJ19">
            <v>60416</v>
          </cell>
          <cell r="BK19"/>
          <cell r="BL19"/>
          <cell r="BM19"/>
          <cell r="BN19"/>
          <cell r="BO19"/>
          <cell r="BP19" t="e">
            <v>#REF!</v>
          </cell>
          <cell r="BQ19"/>
          <cell r="BR19"/>
          <cell r="BS19"/>
          <cell r="BT19"/>
          <cell r="BU19">
            <v>0</v>
          </cell>
          <cell r="BV19"/>
          <cell r="BW19"/>
          <cell r="BX19"/>
          <cell r="BY19"/>
          <cell r="BZ19"/>
          <cell r="CA19" t="e">
            <v>#REF!</v>
          </cell>
          <cell r="CB19"/>
          <cell r="CC19"/>
          <cell r="CD19"/>
          <cell r="CE19"/>
          <cell r="CF19">
            <v>0</v>
          </cell>
          <cell r="CG19"/>
          <cell r="CH19"/>
          <cell r="CI19"/>
          <cell r="CJ19"/>
          <cell r="CK19"/>
          <cell r="CL19"/>
          <cell r="CM19"/>
          <cell r="CN19"/>
          <cell r="CO19"/>
          <cell r="CP19"/>
          <cell r="CQ19" t="e">
            <v>#REF!</v>
          </cell>
          <cell r="CR19"/>
          <cell r="CS19"/>
          <cell r="CT19"/>
          <cell r="CU19"/>
          <cell r="CV19" t="str">
            <v>15</v>
          </cell>
          <cell r="CW19"/>
          <cell r="CX19"/>
          <cell r="CY19">
            <v>301503</v>
          </cell>
          <cell r="CZ19">
            <v>301505</v>
          </cell>
          <cell r="DA19">
            <v>301507</v>
          </cell>
          <cell r="DB19">
            <v>301509</v>
          </cell>
          <cell r="DC19">
            <v>301511</v>
          </cell>
          <cell r="DD19">
            <v>301513</v>
          </cell>
        </row>
        <row r="20">
          <cell r="B20" t="str">
            <v>16</v>
          </cell>
          <cell r="C20"/>
          <cell r="D20" t="str">
            <v>Salaries - Supervision</v>
          </cell>
          <cell r="E20"/>
          <cell r="F20"/>
          <cell r="G20"/>
          <cell r="H20"/>
          <cell r="I20"/>
          <cell r="J20"/>
          <cell r="K20"/>
          <cell r="L20"/>
          <cell r="M20"/>
          <cell r="N20"/>
          <cell r="O20"/>
          <cell r="P20"/>
          <cell r="Q20"/>
          <cell r="R20" t="str">
            <v>0210</v>
          </cell>
          <cell r="S20">
            <v>22564</v>
          </cell>
          <cell r="T20"/>
          <cell r="U20"/>
          <cell r="V20"/>
          <cell r="W20"/>
          <cell r="X20"/>
          <cell r="Y20"/>
          <cell r="Z20"/>
          <cell r="AA20"/>
          <cell r="AB20"/>
          <cell r="AC20"/>
          <cell r="AD20" t="e">
            <v>#REF!</v>
          </cell>
          <cell r="AE20"/>
          <cell r="AF20"/>
          <cell r="AG20"/>
          <cell r="AH20"/>
          <cell r="AI20">
            <v>275748</v>
          </cell>
          <cell r="AJ20"/>
          <cell r="AK20"/>
          <cell r="AL20"/>
          <cell r="AM20"/>
          <cell r="AN20"/>
          <cell r="AO20"/>
          <cell r="AP20"/>
          <cell r="AQ20"/>
          <cell r="AR20"/>
          <cell r="AS20"/>
          <cell r="AT20" t="e">
            <v>#REF!</v>
          </cell>
          <cell r="AU20"/>
          <cell r="AV20"/>
          <cell r="AW20"/>
          <cell r="AX20"/>
          <cell r="AY20">
            <v>17139</v>
          </cell>
          <cell r="AZ20"/>
          <cell r="BA20"/>
          <cell r="BB20"/>
          <cell r="BC20"/>
          <cell r="BD20"/>
          <cell r="BE20" t="e">
            <v>#REF!</v>
          </cell>
          <cell r="BF20"/>
          <cell r="BG20"/>
          <cell r="BH20"/>
          <cell r="BI20"/>
          <cell r="BJ20">
            <v>194856</v>
          </cell>
          <cell r="BK20"/>
          <cell r="BL20"/>
          <cell r="BM20"/>
          <cell r="BN20"/>
          <cell r="BO20"/>
          <cell r="BP20" t="e">
            <v>#REF!</v>
          </cell>
          <cell r="BQ20"/>
          <cell r="BR20"/>
          <cell r="BS20"/>
          <cell r="BT20"/>
          <cell r="BU20">
            <v>0</v>
          </cell>
          <cell r="BV20"/>
          <cell r="BW20"/>
          <cell r="BX20"/>
          <cell r="BY20"/>
          <cell r="BZ20"/>
          <cell r="CA20" t="e">
            <v>#REF!</v>
          </cell>
          <cell r="CB20"/>
          <cell r="CC20"/>
          <cell r="CD20"/>
          <cell r="CE20"/>
          <cell r="CF20">
            <v>0</v>
          </cell>
          <cell r="CG20"/>
          <cell r="CH20"/>
          <cell r="CI20"/>
          <cell r="CJ20"/>
          <cell r="CK20"/>
          <cell r="CL20"/>
          <cell r="CM20"/>
          <cell r="CN20"/>
          <cell r="CO20"/>
          <cell r="CP20"/>
          <cell r="CQ20" t="e">
            <v>#REF!</v>
          </cell>
          <cell r="CR20"/>
          <cell r="CS20"/>
          <cell r="CT20"/>
          <cell r="CU20"/>
          <cell r="CV20" t="str">
            <v>16</v>
          </cell>
          <cell r="CW20"/>
          <cell r="CX20"/>
          <cell r="CY20">
            <v>301603</v>
          </cell>
          <cell r="CZ20">
            <v>301605</v>
          </cell>
          <cell r="DA20">
            <v>301607</v>
          </cell>
          <cell r="DB20">
            <v>301609</v>
          </cell>
          <cell r="DC20">
            <v>301611</v>
          </cell>
          <cell r="DD20">
            <v>301613</v>
          </cell>
        </row>
        <row r="21">
          <cell r="B21" t="str">
            <v>17</v>
          </cell>
          <cell r="C21"/>
          <cell r="D21" t="str">
            <v>Salaries - Clerical</v>
          </cell>
          <cell r="E21"/>
          <cell r="F21"/>
          <cell r="G21"/>
          <cell r="H21"/>
          <cell r="I21"/>
          <cell r="J21"/>
          <cell r="K21"/>
          <cell r="L21"/>
          <cell r="M21"/>
          <cell r="N21"/>
          <cell r="O21"/>
          <cell r="P21"/>
          <cell r="Q21"/>
          <cell r="R21" t="str">
            <v>0220</v>
          </cell>
          <cell r="S21">
            <v>918</v>
          </cell>
          <cell r="T21"/>
          <cell r="U21"/>
          <cell r="V21"/>
          <cell r="W21"/>
          <cell r="X21"/>
          <cell r="Y21"/>
          <cell r="Z21"/>
          <cell r="AA21"/>
          <cell r="AB21"/>
          <cell r="AC21"/>
          <cell r="AD21" t="e">
            <v>#REF!</v>
          </cell>
          <cell r="AE21"/>
          <cell r="AF21"/>
          <cell r="AG21"/>
          <cell r="AH21"/>
          <cell r="AI21">
            <v>39758</v>
          </cell>
          <cell r="AJ21"/>
          <cell r="AK21"/>
          <cell r="AL21"/>
          <cell r="AM21"/>
          <cell r="AN21"/>
          <cell r="AO21"/>
          <cell r="AP21"/>
          <cell r="AQ21"/>
          <cell r="AR21"/>
          <cell r="AS21"/>
          <cell r="AT21" t="e">
            <v>#REF!</v>
          </cell>
          <cell r="AU21"/>
          <cell r="AV21"/>
          <cell r="AW21"/>
          <cell r="AX21"/>
          <cell r="AY21">
            <v>559</v>
          </cell>
          <cell r="AZ21"/>
          <cell r="BA21"/>
          <cell r="BB21"/>
          <cell r="BC21"/>
          <cell r="BD21"/>
          <cell r="BE21" t="e">
            <v>#REF!</v>
          </cell>
          <cell r="BF21"/>
          <cell r="BG21"/>
          <cell r="BH21"/>
          <cell r="BI21"/>
          <cell r="BJ21">
            <v>16574</v>
          </cell>
          <cell r="BK21"/>
          <cell r="BL21"/>
          <cell r="BM21"/>
          <cell r="BN21"/>
          <cell r="BO21"/>
          <cell r="BP21" t="e">
            <v>#REF!</v>
          </cell>
          <cell r="BQ21"/>
          <cell r="BR21"/>
          <cell r="BS21"/>
          <cell r="BT21"/>
          <cell r="BU21">
            <v>0</v>
          </cell>
          <cell r="BV21"/>
          <cell r="BW21"/>
          <cell r="BX21"/>
          <cell r="BY21"/>
          <cell r="BZ21"/>
          <cell r="CA21" t="e">
            <v>#REF!</v>
          </cell>
          <cell r="CB21"/>
          <cell r="CC21"/>
          <cell r="CD21"/>
          <cell r="CE21"/>
          <cell r="CF21">
            <v>0</v>
          </cell>
          <cell r="CG21"/>
          <cell r="CH21"/>
          <cell r="CI21"/>
          <cell r="CJ21"/>
          <cell r="CK21"/>
          <cell r="CL21"/>
          <cell r="CM21"/>
          <cell r="CN21"/>
          <cell r="CO21"/>
          <cell r="CP21"/>
          <cell r="CQ21" t="e">
            <v>#REF!</v>
          </cell>
          <cell r="CR21"/>
          <cell r="CS21"/>
          <cell r="CT21"/>
          <cell r="CU21"/>
          <cell r="CV21" t="str">
            <v>17</v>
          </cell>
          <cell r="CW21"/>
          <cell r="CX21"/>
          <cell r="CY21">
            <v>301703</v>
          </cell>
          <cell r="CZ21">
            <v>301705</v>
          </cell>
          <cell r="DA21">
            <v>301707</v>
          </cell>
          <cell r="DB21">
            <v>301709</v>
          </cell>
          <cell r="DC21">
            <v>301711</v>
          </cell>
          <cell r="DD21">
            <v>301713</v>
          </cell>
        </row>
        <row r="22">
          <cell r="B22" t="str">
            <v>18</v>
          </cell>
          <cell r="C22"/>
          <cell r="D22" t="str">
            <v>Other Salaries &amp; Wages</v>
          </cell>
          <cell r="E22"/>
          <cell r="F22"/>
          <cell r="G22"/>
          <cell r="H22"/>
          <cell r="I22"/>
          <cell r="J22"/>
          <cell r="K22"/>
          <cell r="L22"/>
          <cell r="M22"/>
          <cell r="N22"/>
          <cell r="O22"/>
          <cell r="P22"/>
          <cell r="Q22"/>
          <cell r="R22" t="str">
            <v>0230</v>
          </cell>
          <cell r="S22">
            <v>24876</v>
          </cell>
          <cell r="T22"/>
          <cell r="U22"/>
          <cell r="V22"/>
          <cell r="W22"/>
          <cell r="X22"/>
          <cell r="Y22"/>
          <cell r="Z22"/>
          <cell r="AA22"/>
          <cell r="AB22"/>
          <cell r="AC22"/>
          <cell r="AD22" t="e">
            <v>#REF!</v>
          </cell>
          <cell r="AE22"/>
          <cell r="AF22"/>
          <cell r="AG22"/>
          <cell r="AH22"/>
          <cell r="AI22">
            <v>190916</v>
          </cell>
          <cell r="AJ22"/>
          <cell r="AK22"/>
          <cell r="AL22"/>
          <cell r="AM22"/>
          <cell r="AN22"/>
          <cell r="AO22"/>
          <cell r="AP22"/>
          <cell r="AQ22"/>
          <cell r="AR22"/>
          <cell r="AS22"/>
          <cell r="AT22" t="e">
            <v>#REF!</v>
          </cell>
          <cell r="AU22"/>
          <cell r="AV22"/>
          <cell r="AW22"/>
          <cell r="AX22"/>
          <cell r="AY22">
            <v>12014</v>
          </cell>
          <cell r="AZ22"/>
          <cell r="BA22"/>
          <cell r="BB22"/>
          <cell r="BC22"/>
          <cell r="BD22"/>
          <cell r="BE22" t="e">
            <v>#REF!</v>
          </cell>
          <cell r="BF22"/>
          <cell r="BG22"/>
          <cell r="BH22"/>
          <cell r="BI22"/>
          <cell r="BJ22">
            <v>68511</v>
          </cell>
          <cell r="BK22"/>
          <cell r="BL22"/>
          <cell r="BM22"/>
          <cell r="BN22"/>
          <cell r="BO22"/>
          <cell r="BP22" t="e">
            <v>#REF!</v>
          </cell>
          <cell r="BQ22"/>
          <cell r="BR22"/>
          <cell r="BS22"/>
          <cell r="BT22"/>
          <cell r="BU22">
            <v>0</v>
          </cell>
          <cell r="BV22"/>
          <cell r="BW22"/>
          <cell r="BX22"/>
          <cell r="BY22"/>
          <cell r="BZ22"/>
          <cell r="CA22" t="e">
            <v>#REF!</v>
          </cell>
          <cell r="CB22"/>
          <cell r="CC22"/>
          <cell r="CD22"/>
          <cell r="CE22"/>
          <cell r="CF22">
            <v>0</v>
          </cell>
          <cell r="CG22"/>
          <cell r="CH22"/>
          <cell r="CI22"/>
          <cell r="CJ22"/>
          <cell r="CK22"/>
          <cell r="CL22"/>
          <cell r="CM22"/>
          <cell r="CN22"/>
          <cell r="CO22"/>
          <cell r="CP22"/>
          <cell r="CQ22" t="e">
            <v>#REF!</v>
          </cell>
          <cell r="CR22"/>
          <cell r="CS22"/>
          <cell r="CT22"/>
          <cell r="CU22"/>
          <cell r="CV22" t="str">
            <v>18</v>
          </cell>
          <cell r="CW22"/>
          <cell r="CX22"/>
          <cell r="CY22">
            <v>301803</v>
          </cell>
          <cell r="CZ22">
            <v>301805</v>
          </cell>
          <cell r="DA22">
            <v>301807</v>
          </cell>
          <cell r="DB22">
            <v>301809</v>
          </cell>
          <cell r="DC22">
            <v>301811</v>
          </cell>
          <cell r="DD22">
            <v>301813</v>
          </cell>
        </row>
        <row r="23">
          <cell r="B23" t="str">
            <v>19</v>
          </cell>
          <cell r="C23"/>
          <cell r="D23" t="str">
            <v>Absentee Wages - Productive Personnel</v>
          </cell>
          <cell r="E23"/>
          <cell r="F23"/>
          <cell r="G23"/>
          <cell r="H23"/>
          <cell r="I23"/>
          <cell r="J23"/>
          <cell r="K23"/>
          <cell r="L23"/>
          <cell r="M23"/>
          <cell r="N23"/>
          <cell r="O23"/>
          <cell r="P23"/>
          <cell r="Q23"/>
          <cell r="R23" t="str">
            <v>0240</v>
          </cell>
          <cell r="S23">
            <v>10613</v>
          </cell>
          <cell r="T23"/>
          <cell r="U23"/>
          <cell r="V23"/>
          <cell r="W23"/>
          <cell r="X23"/>
          <cell r="Y23"/>
          <cell r="Z23"/>
          <cell r="AA23"/>
          <cell r="AB23"/>
          <cell r="AC23"/>
          <cell r="AD23" t="e">
            <v>#REF!</v>
          </cell>
          <cell r="AE23"/>
          <cell r="AF23"/>
          <cell r="AG23"/>
          <cell r="AH23"/>
          <cell r="AI23">
            <v>45198</v>
          </cell>
          <cell r="AJ23"/>
          <cell r="AK23"/>
          <cell r="AL23"/>
          <cell r="AM23"/>
          <cell r="AN23"/>
          <cell r="AO23"/>
          <cell r="AP23"/>
          <cell r="AQ23"/>
          <cell r="AR23"/>
          <cell r="AS23"/>
          <cell r="AT23" t="e">
            <v>#REF!</v>
          </cell>
          <cell r="AU23"/>
          <cell r="AV23"/>
          <cell r="AW23"/>
          <cell r="AX23"/>
          <cell r="AY23"/>
          <cell r="AZ23"/>
          <cell r="BA23"/>
          <cell r="BB23"/>
          <cell r="BC23"/>
          <cell r="BD23"/>
          <cell r="BE23"/>
          <cell r="BF23"/>
          <cell r="BG23"/>
          <cell r="BH23"/>
          <cell r="BI23"/>
          <cell r="BJ23"/>
          <cell r="BK23"/>
          <cell r="BL23"/>
          <cell r="BM23"/>
          <cell r="BN23"/>
          <cell r="BO23"/>
          <cell r="BP23" t="e">
            <v>#REF!</v>
          </cell>
          <cell r="BQ23"/>
          <cell r="BR23"/>
          <cell r="BS23"/>
          <cell r="BT23"/>
          <cell r="BU23">
            <v>0</v>
          </cell>
          <cell r="BV23"/>
          <cell r="BW23"/>
          <cell r="BX23"/>
          <cell r="BY23"/>
          <cell r="BZ23"/>
          <cell r="CA23" t="e">
            <v>#REF!</v>
          </cell>
          <cell r="CB23"/>
          <cell r="CC23"/>
          <cell r="CD23"/>
          <cell r="CE23"/>
          <cell r="CF23">
            <v>0</v>
          </cell>
          <cell r="CG23"/>
          <cell r="CH23"/>
          <cell r="CI23"/>
          <cell r="CJ23"/>
          <cell r="CK23"/>
          <cell r="CL23"/>
          <cell r="CM23"/>
          <cell r="CN23"/>
          <cell r="CO23"/>
          <cell r="CP23"/>
          <cell r="CQ23" t="e">
            <v>#REF!</v>
          </cell>
          <cell r="CR23"/>
          <cell r="CS23"/>
          <cell r="CT23"/>
          <cell r="CU23"/>
          <cell r="CV23" t="str">
            <v>19</v>
          </cell>
          <cell r="CW23"/>
          <cell r="CX23"/>
          <cell r="CY23">
            <v>301903</v>
          </cell>
          <cell r="CZ23">
            <v>301905</v>
          </cell>
          <cell r="DA23">
            <v>301907</v>
          </cell>
          <cell r="DB23">
            <v>301909</v>
          </cell>
          <cell r="DC23">
            <v>301911</v>
          </cell>
          <cell r="DD23">
            <v>301913</v>
          </cell>
        </row>
        <row r="24">
          <cell r="B24" t="str">
            <v>20</v>
          </cell>
          <cell r="C24"/>
          <cell r="D24" t="str">
            <v>Taxes - Payroll</v>
          </cell>
          <cell r="E24"/>
          <cell r="F24"/>
          <cell r="G24"/>
          <cell r="H24"/>
          <cell r="I24"/>
          <cell r="J24"/>
          <cell r="K24"/>
          <cell r="L24"/>
          <cell r="M24"/>
          <cell r="N24"/>
          <cell r="O24"/>
          <cell r="P24"/>
          <cell r="Q24"/>
          <cell r="R24" t="str">
            <v>0250</v>
          </cell>
          <cell r="S24">
            <v>15286</v>
          </cell>
          <cell r="T24"/>
          <cell r="U24"/>
          <cell r="V24"/>
          <cell r="W24"/>
          <cell r="X24"/>
          <cell r="Y24"/>
          <cell r="Z24"/>
          <cell r="AA24"/>
          <cell r="AB24"/>
          <cell r="AC24"/>
          <cell r="AD24" t="e">
            <v>#REF!</v>
          </cell>
          <cell r="AE24"/>
          <cell r="AF24"/>
          <cell r="AG24"/>
          <cell r="AH24"/>
          <cell r="AI24">
            <v>165959</v>
          </cell>
          <cell r="AJ24"/>
          <cell r="AK24"/>
          <cell r="AL24"/>
          <cell r="AM24"/>
          <cell r="AN24"/>
          <cell r="AO24"/>
          <cell r="AP24"/>
          <cell r="AQ24"/>
          <cell r="AR24"/>
          <cell r="AS24"/>
          <cell r="AT24" t="e">
            <v>#REF!</v>
          </cell>
          <cell r="AU24"/>
          <cell r="AV24"/>
          <cell r="AW24"/>
          <cell r="AX24"/>
          <cell r="AY24">
            <v>2279</v>
          </cell>
          <cell r="AZ24"/>
          <cell r="BA24"/>
          <cell r="BB24"/>
          <cell r="BC24"/>
          <cell r="BD24"/>
          <cell r="BE24" t="e">
            <v>#REF!</v>
          </cell>
          <cell r="BF24"/>
          <cell r="BG24"/>
          <cell r="BH24"/>
          <cell r="BI24"/>
          <cell r="BJ24">
            <v>31159</v>
          </cell>
          <cell r="BK24"/>
          <cell r="BL24"/>
          <cell r="BM24"/>
          <cell r="BN24"/>
          <cell r="BO24"/>
          <cell r="BP24" t="e">
            <v>#REF!</v>
          </cell>
          <cell r="BQ24"/>
          <cell r="BR24"/>
          <cell r="BS24"/>
          <cell r="BT24"/>
          <cell r="BU24">
            <v>0</v>
          </cell>
          <cell r="BV24"/>
          <cell r="BW24"/>
          <cell r="BX24"/>
          <cell r="BY24"/>
          <cell r="BZ24"/>
          <cell r="CA24" t="e">
            <v>#REF!</v>
          </cell>
          <cell r="CB24"/>
          <cell r="CC24"/>
          <cell r="CD24"/>
          <cell r="CE24"/>
          <cell r="CF24">
            <v>0</v>
          </cell>
          <cell r="CG24"/>
          <cell r="CH24"/>
          <cell r="CI24"/>
          <cell r="CJ24"/>
          <cell r="CK24"/>
          <cell r="CL24"/>
          <cell r="CM24"/>
          <cell r="CN24"/>
          <cell r="CO24"/>
          <cell r="CP24"/>
          <cell r="CQ24" t="e">
            <v>#REF!</v>
          </cell>
          <cell r="CR24"/>
          <cell r="CS24"/>
          <cell r="CT24"/>
          <cell r="CU24"/>
          <cell r="CV24" t="str">
            <v>20</v>
          </cell>
          <cell r="CW24"/>
          <cell r="CX24"/>
          <cell r="CY24">
            <v>302003</v>
          </cell>
          <cell r="CZ24">
            <v>302005</v>
          </cell>
          <cell r="DA24">
            <v>302007</v>
          </cell>
          <cell r="DB24">
            <v>302009</v>
          </cell>
          <cell r="DC24">
            <v>302011</v>
          </cell>
          <cell r="DD24">
            <v>302013</v>
          </cell>
        </row>
        <row r="25">
          <cell r="B25" t="str">
            <v>21</v>
          </cell>
          <cell r="C25"/>
          <cell r="D25" t="str">
            <v>Employee Benefits / Pension Fund / 401 K</v>
          </cell>
          <cell r="E25"/>
          <cell r="F25"/>
          <cell r="G25"/>
          <cell r="H25"/>
          <cell r="I25"/>
          <cell r="J25"/>
          <cell r="K25"/>
          <cell r="L25"/>
          <cell r="M25"/>
          <cell r="N25"/>
          <cell r="O25"/>
          <cell r="P25"/>
          <cell r="Q25"/>
          <cell r="R25" t="str">
            <v>0260</v>
          </cell>
          <cell r="S25">
            <v>14048</v>
          </cell>
          <cell r="T25"/>
          <cell r="U25"/>
          <cell r="V25"/>
          <cell r="W25"/>
          <cell r="X25"/>
          <cell r="Y25"/>
          <cell r="Z25"/>
          <cell r="AA25"/>
          <cell r="AB25"/>
          <cell r="AC25"/>
          <cell r="AD25" t="e">
            <v>#REF!</v>
          </cell>
          <cell r="AE25"/>
          <cell r="AF25"/>
          <cell r="AG25"/>
          <cell r="AH25"/>
          <cell r="AI25">
            <v>128599</v>
          </cell>
          <cell r="AJ25"/>
          <cell r="AK25"/>
          <cell r="AL25"/>
          <cell r="AM25"/>
          <cell r="AN25"/>
          <cell r="AO25"/>
          <cell r="AP25"/>
          <cell r="AQ25"/>
          <cell r="AR25"/>
          <cell r="AS25"/>
          <cell r="AT25" t="e">
            <v>#REF!</v>
          </cell>
          <cell r="AU25"/>
          <cell r="AV25"/>
          <cell r="AW25"/>
          <cell r="AX25"/>
          <cell r="AY25">
            <v>5877</v>
          </cell>
          <cell r="AZ25"/>
          <cell r="BA25"/>
          <cell r="BB25"/>
          <cell r="BC25"/>
          <cell r="BD25"/>
          <cell r="BE25" t="e">
            <v>#REF!</v>
          </cell>
          <cell r="BF25"/>
          <cell r="BG25"/>
          <cell r="BH25"/>
          <cell r="BI25"/>
          <cell r="BJ25">
            <v>44023</v>
          </cell>
          <cell r="BK25"/>
          <cell r="BL25"/>
          <cell r="BM25"/>
          <cell r="BN25"/>
          <cell r="BO25"/>
          <cell r="BP25" t="e">
            <v>#REF!</v>
          </cell>
          <cell r="BQ25"/>
          <cell r="BR25"/>
          <cell r="BS25"/>
          <cell r="BT25"/>
          <cell r="BU25">
            <v>0</v>
          </cell>
          <cell r="BV25"/>
          <cell r="BW25"/>
          <cell r="BX25"/>
          <cell r="BY25"/>
          <cell r="BZ25"/>
          <cell r="CA25" t="e">
            <v>#REF!</v>
          </cell>
          <cell r="CB25"/>
          <cell r="CC25"/>
          <cell r="CD25"/>
          <cell r="CE25"/>
          <cell r="CF25">
            <v>0</v>
          </cell>
          <cell r="CG25"/>
          <cell r="CH25"/>
          <cell r="CI25"/>
          <cell r="CJ25"/>
          <cell r="CK25"/>
          <cell r="CL25"/>
          <cell r="CM25"/>
          <cell r="CN25"/>
          <cell r="CO25"/>
          <cell r="CP25"/>
          <cell r="CQ25" t="e">
            <v>#REF!</v>
          </cell>
          <cell r="CR25"/>
          <cell r="CS25"/>
          <cell r="CT25"/>
          <cell r="CU25"/>
          <cell r="CV25" t="str">
            <v>21</v>
          </cell>
          <cell r="CW25"/>
          <cell r="CX25"/>
          <cell r="CY25">
            <v>302103</v>
          </cell>
          <cell r="CZ25">
            <v>302105</v>
          </cell>
          <cell r="DA25">
            <v>302107</v>
          </cell>
          <cell r="DB25">
            <v>302109</v>
          </cell>
          <cell r="DC25">
            <v>302111</v>
          </cell>
          <cell r="DD25">
            <v>302113</v>
          </cell>
        </row>
        <row r="26">
          <cell r="B26" t="str">
            <v>22</v>
          </cell>
          <cell r="C26"/>
          <cell r="D26" t="str">
            <v>TOTAL SALARY &amp; WAGE GROUP</v>
          </cell>
          <cell r="E26"/>
          <cell r="F26"/>
          <cell r="G26"/>
          <cell r="H26"/>
          <cell r="I26"/>
          <cell r="J26"/>
          <cell r="K26"/>
          <cell r="L26"/>
          <cell r="M26"/>
          <cell r="N26"/>
          <cell r="O26"/>
          <cell r="P26"/>
          <cell r="Q26" t="str">
            <v xml:space="preserve">(Lines 15 to 21) </v>
          </cell>
          <cell r="R26"/>
          <cell r="S26">
            <v>105593</v>
          </cell>
          <cell r="T26"/>
          <cell r="U26"/>
          <cell r="V26"/>
          <cell r="W26"/>
          <cell r="X26"/>
          <cell r="Y26"/>
          <cell r="Z26"/>
          <cell r="AA26"/>
          <cell r="AB26"/>
          <cell r="AC26"/>
          <cell r="AD26" t="e">
            <v>#REF!</v>
          </cell>
          <cell r="AE26"/>
          <cell r="AF26"/>
          <cell r="AG26"/>
          <cell r="AH26"/>
          <cell r="AI26">
            <v>1017427</v>
          </cell>
          <cell r="AJ26"/>
          <cell r="AK26"/>
          <cell r="AL26"/>
          <cell r="AM26"/>
          <cell r="AN26"/>
          <cell r="AO26"/>
          <cell r="AP26"/>
          <cell r="AQ26"/>
          <cell r="AR26"/>
          <cell r="AS26"/>
          <cell r="AT26" t="e">
            <v>#REF!</v>
          </cell>
          <cell r="AU26"/>
          <cell r="AV26"/>
          <cell r="AW26"/>
          <cell r="AX26"/>
          <cell r="AY26">
            <v>45198</v>
          </cell>
          <cell r="AZ26"/>
          <cell r="BA26"/>
          <cell r="BB26"/>
          <cell r="BC26"/>
          <cell r="BD26"/>
          <cell r="BE26" t="e">
            <v>#REF!</v>
          </cell>
          <cell r="BF26"/>
          <cell r="BG26"/>
          <cell r="BH26"/>
          <cell r="BI26"/>
          <cell r="BJ26">
            <v>415539</v>
          </cell>
          <cell r="BK26"/>
          <cell r="BL26"/>
          <cell r="BM26"/>
          <cell r="BN26"/>
          <cell r="BO26"/>
          <cell r="BP26" t="e">
            <v>#REF!</v>
          </cell>
          <cell r="BQ26"/>
          <cell r="BR26"/>
          <cell r="BS26"/>
          <cell r="BT26"/>
          <cell r="BU26">
            <v>0</v>
          </cell>
          <cell r="BV26"/>
          <cell r="BW26"/>
          <cell r="BX26"/>
          <cell r="BY26"/>
          <cell r="BZ26"/>
          <cell r="CA26" t="e">
            <v>#REF!</v>
          </cell>
          <cell r="CB26"/>
          <cell r="CC26"/>
          <cell r="CD26"/>
          <cell r="CE26"/>
          <cell r="CF26">
            <v>0</v>
          </cell>
          <cell r="CG26"/>
          <cell r="CH26"/>
          <cell r="CI26"/>
          <cell r="CJ26"/>
          <cell r="CK26"/>
          <cell r="CL26"/>
          <cell r="CM26"/>
          <cell r="CN26"/>
          <cell r="CO26"/>
          <cell r="CP26"/>
          <cell r="CQ26" t="e">
            <v>#REF!</v>
          </cell>
          <cell r="CR26"/>
          <cell r="CS26"/>
          <cell r="CT26"/>
          <cell r="CU26"/>
          <cell r="CV26" t="str">
            <v>22</v>
          </cell>
          <cell r="CW26"/>
          <cell r="CX26"/>
          <cell r="CY26">
            <v>302203</v>
          </cell>
          <cell r="CZ26">
            <v>302205</v>
          </cell>
          <cell r="DA26">
            <v>302207</v>
          </cell>
          <cell r="DB26">
            <v>302209</v>
          </cell>
          <cell r="DC26">
            <v>302211</v>
          </cell>
          <cell r="DD26">
            <v>302213</v>
          </cell>
        </row>
        <row r="27">
          <cell r="B27" t="str">
            <v>23</v>
          </cell>
          <cell r="C27"/>
          <cell r="D27" t="str">
            <v>Company Vehicle</v>
          </cell>
          <cell r="E27"/>
          <cell r="F27"/>
          <cell r="G27"/>
          <cell r="H27"/>
          <cell r="I27"/>
          <cell r="J27"/>
          <cell r="K27"/>
          <cell r="L27"/>
          <cell r="M27"/>
          <cell r="N27"/>
          <cell r="O27"/>
          <cell r="P27"/>
          <cell r="Q27"/>
          <cell r="R27" t="str">
            <v>0310</v>
          </cell>
          <cell r="S27">
            <v>536</v>
          </cell>
          <cell r="T27"/>
          <cell r="U27"/>
          <cell r="V27"/>
          <cell r="W27"/>
          <cell r="X27"/>
          <cell r="Y27"/>
          <cell r="Z27"/>
          <cell r="AA27"/>
          <cell r="AB27"/>
          <cell r="AC27"/>
          <cell r="AD27" t="e">
            <v>#REF!</v>
          </cell>
          <cell r="AE27"/>
          <cell r="AF27"/>
          <cell r="AG27"/>
          <cell r="AH27"/>
          <cell r="AI27">
            <v>3797</v>
          </cell>
          <cell r="AJ27"/>
          <cell r="AK27"/>
          <cell r="AL27"/>
          <cell r="AM27"/>
          <cell r="AN27"/>
          <cell r="AO27"/>
          <cell r="AP27"/>
          <cell r="AQ27"/>
          <cell r="AR27"/>
          <cell r="AS27"/>
          <cell r="AT27" t="e">
            <v>#REF!</v>
          </cell>
          <cell r="AU27"/>
          <cell r="AV27"/>
          <cell r="AW27"/>
          <cell r="AX27"/>
          <cell r="AY27">
            <v>609</v>
          </cell>
          <cell r="AZ27"/>
          <cell r="BA27"/>
          <cell r="BB27"/>
          <cell r="BC27"/>
          <cell r="BD27"/>
          <cell r="BE27" t="e">
            <v>#REF!</v>
          </cell>
          <cell r="BF27"/>
          <cell r="BG27"/>
          <cell r="BH27"/>
          <cell r="BI27"/>
          <cell r="BJ27">
            <v>4202</v>
          </cell>
          <cell r="BK27"/>
          <cell r="BL27"/>
          <cell r="BM27"/>
          <cell r="BN27"/>
          <cell r="BO27"/>
          <cell r="BP27" t="e">
            <v>#REF!</v>
          </cell>
          <cell r="BQ27"/>
          <cell r="BR27"/>
          <cell r="BS27"/>
          <cell r="BT27"/>
          <cell r="BU27">
            <v>0</v>
          </cell>
          <cell r="BV27"/>
          <cell r="BW27"/>
          <cell r="BX27"/>
          <cell r="BY27"/>
          <cell r="BZ27"/>
          <cell r="CA27" t="e">
            <v>#REF!</v>
          </cell>
          <cell r="CB27"/>
          <cell r="CC27"/>
          <cell r="CD27"/>
          <cell r="CE27"/>
          <cell r="CF27">
            <v>0</v>
          </cell>
          <cell r="CG27"/>
          <cell r="CH27"/>
          <cell r="CI27"/>
          <cell r="CJ27"/>
          <cell r="CK27"/>
          <cell r="CL27"/>
          <cell r="CM27"/>
          <cell r="CN27"/>
          <cell r="CO27"/>
          <cell r="CP27"/>
          <cell r="CQ27" t="e">
            <v>#REF!</v>
          </cell>
          <cell r="CR27"/>
          <cell r="CS27"/>
          <cell r="CT27"/>
          <cell r="CU27"/>
          <cell r="CV27" t="str">
            <v>23</v>
          </cell>
          <cell r="CW27"/>
          <cell r="CX27"/>
          <cell r="CY27">
            <v>302303</v>
          </cell>
          <cell r="CZ27">
            <v>302305</v>
          </cell>
          <cell r="DA27">
            <v>302307</v>
          </cell>
          <cell r="DB27">
            <v>302309</v>
          </cell>
          <cell r="DC27">
            <v>302311</v>
          </cell>
          <cell r="DD27">
            <v>302313</v>
          </cell>
        </row>
        <row r="28">
          <cell r="B28" t="str">
            <v>24</v>
          </cell>
          <cell r="C28"/>
          <cell r="D28" t="str">
            <v>Small Tools</v>
          </cell>
          <cell r="E28"/>
          <cell r="F28"/>
          <cell r="G28"/>
          <cell r="H28"/>
          <cell r="I28"/>
          <cell r="J28"/>
          <cell r="K28"/>
          <cell r="L28"/>
          <cell r="M28"/>
          <cell r="N28"/>
          <cell r="O28"/>
          <cell r="P28"/>
          <cell r="Q28"/>
          <cell r="R28" t="str">
            <v>0320</v>
          </cell>
          <cell r="S28">
            <v>120</v>
          </cell>
          <cell r="T28"/>
          <cell r="U28"/>
          <cell r="V28"/>
          <cell r="W28"/>
          <cell r="X28"/>
          <cell r="Y28"/>
          <cell r="Z28"/>
          <cell r="AA28"/>
          <cell r="AB28"/>
          <cell r="AC28"/>
          <cell r="AD28" t="e">
            <v>#REF!</v>
          </cell>
          <cell r="AE28"/>
          <cell r="AF28"/>
          <cell r="AG28"/>
          <cell r="AH28"/>
          <cell r="AI28">
            <v>9932</v>
          </cell>
          <cell r="AJ28"/>
          <cell r="AK28"/>
          <cell r="AL28"/>
          <cell r="AM28"/>
          <cell r="AN28"/>
          <cell r="AO28"/>
          <cell r="AP28"/>
          <cell r="AQ28"/>
          <cell r="AR28"/>
          <cell r="AS28"/>
          <cell r="AT28" t="e">
            <v>#REF!</v>
          </cell>
          <cell r="AU28"/>
          <cell r="AV28"/>
          <cell r="AW28"/>
          <cell r="AX28"/>
          <cell r="AY28"/>
          <cell r="AZ28"/>
          <cell r="BA28"/>
          <cell r="BB28"/>
          <cell r="BC28"/>
          <cell r="BD28"/>
          <cell r="BE28"/>
          <cell r="BF28"/>
          <cell r="BG28"/>
          <cell r="BH28"/>
          <cell r="BI28"/>
          <cell r="BJ28"/>
          <cell r="BK28"/>
          <cell r="BL28"/>
          <cell r="BM28"/>
          <cell r="BN28"/>
          <cell r="BO28"/>
          <cell r="BP28" t="e">
            <v>#REF!</v>
          </cell>
          <cell r="BQ28"/>
          <cell r="BR28"/>
          <cell r="BS28"/>
          <cell r="BT28"/>
          <cell r="BU28">
            <v>0</v>
          </cell>
          <cell r="BV28"/>
          <cell r="BW28"/>
          <cell r="BX28"/>
          <cell r="BY28"/>
          <cell r="BZ28"/>
          <cell r="CA28" t="e">
            <v>#REF!</v>
          </cell>
          <cell r="CB28"/>
          <cell r="CC28"/>
          <cell r="CD28"/>
          <cell r="CE28"/>
          <cell r="CF28">
            <v>0</v>
          </cell>
          <cell r="CG28"/>
          <cell r="CH28"/>
          <cell r="CI28"/>
          <cell r="CJ28"/>
          <cell r="CK28"/>
          <cell r="CL28"/>
          <cell r="CM28"/>
          <cell r="CN28"/>
          <cell r="CO28"/>
          <cell r="CP28"/>
          <cell r="CQ28" t="e">
            <v>#REF!</v>
          </cell>
          <cell r="CR28"/>
          <cell r="CS28"/>
          <cell r="CT28"/>
          <cell r="CU28"/>
          <cell r="CV28" t="str">
            <v>24</v>
          </cell>
          <cell r="CW28"/>
          <cell r="CX28"/>
          <cell r="CY28">
            <v>302403</v>
          </cell>
          <cell r="CZ28">
            <v>302405</v>
          </cell>
          <cell r="DA28">
            <v>302407</v>
          </cell>
          <cell r="DB28">
            <v>302409</v>
          </cell>
          <cell r="DC28">
            <v>302411</v>
          </cell>
          <cell r="DD28">
            <v>302413</v>
          </cell>
        </row>
        <row r="29">
          <cell r="B29" t="str">
            <v>25</v>
          </cell>
          <cell r="C29"/>
          <cell r="D29" t="str">
            <v>Freight &amp; Express</v>
          </cell>
          <cell r="E29"/>
          <cell r="F29"/>
          <cell r="G29"/>
          <cell r="H29"/>
          <cell r="I29"/>
          <cell r="J29"/>
          <cell r="K29"/>
          <cell r="L29"/>
          <cell r="M29"/>
          <cell r="N29"/>
          <cell r="O29"/>
          <cell r="P29"/>
          <cell r="Q29"/>
          <cell r="R29" t="str">
            <v>0340</v>
          </cell>
          <cell r="S29"/>
          <cell r="T29"/>
          <cell r="U29"/>
          <cell r="V29"/>
          <cell r="W29"/>
          <cell r="X29"/>
          <cell r="Y29"/>
          <cell r="Z29"/>
          <cell r="AA29"/>
          <cell r="AB29"/>
          <cell r="AC29"/>
          <cell r="AD29"/>
          <cell r="AE29"/>
          <cell r="AF29"/>
          <cell r="AG29"/>
          <cell r="AH29"/>
          <cell r="AI29"/>
          <cell r="AJ29"/>
          <cell r="AK29"/>
          <cell r="AL29"/>
          <cell r="AM29"/>
          <cell r="AN29"/>
          <cell r="AO29"/>
          <cell r="AP29"/>
          <cell r="AQ29"/>
          <cell r="AR29"/>
          <cell r="AS29"/>
          <cell r="AT29" t="e">
            <v>#REF!</v>
          </cell>
          <cell r="AU29"/>
          <cell r="AV29"/>
          <cell r="AW29"/>
          <cell r="AX29"/>
          <cell r="AY29">
            <v>1006</v>
          </cell>
          <cell r="AZ29"/>
          <cell r="BA29"/>
          <cell r="BB29"/>
          <cell r="BC29"/>
          <cell r="BD29"/>
          <cell r="BE29" t="e">
            <v>#REF!</v>
          </cell>
          <cell r="BF29"/>
          <cell r="BG29"/>
          <cell r="BH29"/>
          <cell r="BI29"/>
          <cell r="BJ29">
            <v>6679</v>
          </cell>
          <cell r="BK29"/>
          <cell r="BL29"/>
          <cell r="BM29"/>
          <cell r="BN29"/>
          <cell r="BO29"/>
          <cell r="BP29" t="e">
            <v>#REF!</v>
          </cell>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t="e">
            <v>#REF!</v>
          </cell>
          <cell r="CR29"/>
          <cell r="CS29"/>
          <cell r="CT29"/>
          <cell r="CU29"/>
          <cell r="CV29" t="str">
            <v>25</v>
          </cell>
          <cell r="CW29"/>
          <cell r="CX29"/>
          <cell r="CY29">
            <v>302503</v>
          </cell>
          <cell r="CZ29">
            <v>302505</v>
          </cell>
          <cell r="DA29">
            <v>302507</v>
          </cell>
          <cell r="DB29">
            <v>302509</v>
          </cell>
          <cell r="DC29">
            <v>302511</v>
          </cell>
          <cell r="DD29">
            <v>302513</v>
          </cell>
        </row>
        <row r="30">
          <cell r="B30" t="str">
            <v>26</v>
          </cell>
          <cell r="C30"/>
          <cell r="D30" t="str">
            <v>Institutional Advertising</v>
          </cell>
          <cell r="E30"/>
          <cell r="F30"/>
          <cell r="G30"/>
          <cell r="H30"/>
          <cell r="I30"/>
          <cell r="J30"/>
          <cell r="K30"/>
          <cell r="L30"/>
          <cell r="M30"/>
          <cell r="N30"/>
          <cell r="O30"/>
          <cell r="P30"/>
          <cell r="Q30"/>
          <cell r="R30" t="str">
            <v>0350</v>
          </cell>
          <cell r="S30">
            <v>8253</v>
          </cell>
          <cell r="T30"/>
          <cell r="U30"/>
          <cell r="V30"/>
          <cell r="W30"/>
          <cell r="X30"/>
          <cell r="Y30"/>
          <cell r="Z30"/>
          <cell r="AA30"/>
          <cell r="AB30"/>
          <cell r="AC30"/>
          <cell r="AD30" t="e">
            <v>#REF!</v>
          </cell>
          <cell r="AE30"/>
          <cell r="AF30"/>
          <cell r="AG30"/>
          <cell r="AH30"/>
          <cell r="AI30">
            <v>77672</v>
          </cell>
          <cell r="AJ30"/>
          <cell r="AK30"/>
          <cell r="AL30"/>
          <cell r="AM30"/>
          <cell r="AN30"/>
          <cell r="AO30"/>
          <cell r="AP30"/>
          <cell r="AQ30"/>
          <cell r="AR30"/>
          <cell r="AS30"/>
          <cell r="AT30" t="e">
            <v>#REF!</v>
          </cell>
          <cell r="AU30"/>
          <cell r="AV30"/>
          <cell r="AW30"/>
          <cell r="AX30"/>
          <cell r="AY30">
            <v>519</v>
          </cell>
          <cell r="AZ30"/>
          <cell r="BA30"/>
          <cell r="BB30"/>
          <cell r="BC30"/>
          <cell r="BD30"/>
          <cell r="BE30" t="e">
            <v>#REF!</v>
          </cell>
          <cell r="BF30"/>
          <cell r="BG30"/>
          <cell r="BH30"/>
          <cell r="BI30"/>
          <cell r="BJ30">
            <v>1933</v>
          </cell>
          <cell r="BK30"/>
          <cell r="BL30"/>
          <cell r="BM30"/>
          <cell r="BN30"/>
          <cell r="BO30"/>
          <cell r="BP30" t="e">
            <v>#REF!</v>
          </cell>
          <cell r="BQ30"/>
          <cell r="BR30"/>
          <cell r="BS30"/>
          <cell r="BT30"/>
          <cell r="BU30">
            <v>0</v>
          </cell>
          <cell r="BV30"/>
          <cell r="BW30"/>
          <cell r="BX30"/>
          <cell r="BY30"/>
          <cell r="BZ30"/>
          <cell r="CA30" t="e">
            <v>#REF!</v>
          </cell>
          <cell r="CB30"/>
          <cell r="CC30"/>
          <cell r="CD30"/>
          <cell r="CE30"/>
          <cell r="CF30">
            <v>0</v>
          </cell>
          <cell r="CG30"/>
          <cell r="CH30"/>
          <cell r="CI30"/>
          <cell r="CJ30"/>
          <cell r="CK30"/>
          <cell r="CL30"/>
          <cell r="CM30"/>
          <cell r="CN30"/>
          <cell r="CO30"/>
          <cell r="CP30"/>
          <cell r="CQ30" t="e">
            <v>#REF!</v>
          </cell>
          <cell r="CR30"/>
          <cell r="CS30"/>
          <cell r="CT30"/>
          <cell r="CU30"/>
          <cell r="CV30" t="str">
            <v>26</v>
          </cell>
          <cell r="CW30"/>
          <cell r="CX30"/>
          <cell r="CY30">
            <v>302603</v>
          </cell>
          <cell r="CZ30">
            <v>302605</v>
          </cell>
          <cell r="DA30">
            <v>302607</v>
          </cell>
          <cell r="DB30">
            <v>302609</v>
          </cell>
          <cell r="DC30">
            <v>302611</v>
          </cell>
          <cell r="DD30">
            <v>302613</v>
          </cell>
        </row>
        <row r="31">
          <cell r="B31" t="str">
            <v>27</v>
          </cell>
          <cell r="C31"/>
          <cell r="D31" t="str">
            <v>Stationery &amp; Office Supplies</v>
          </cell>
          <cell r="E31"/>
          <cell r="F31"/>
          <cell r="G31"/>
          <cell r="H31"/>
          <cell r="I31"/>
          <cell r="J31"/>
          <cell r="K31"/>
          <cell r="L31"/>
          <cell r="M31"/>
          <cell r="N31"/>
          <cell r="O31"/>
          <cell r="P31"/>
          <cell r="Q31"/>
          <cell r="R31" t="str">
            <v>0360</v>
          </cell>
          <cell r="S31">
            <v>3397</v>
          </cell>
          <cell r="T31"/>
          <cell r="U31"/>
          <cell r="V31"/>
          <cell r="W31"/>
          <cell r="X31"/>
          <cell r="Y31"/>
          <cell r="Z31"/>
          <cell r="AA31"/>
          <cell r="AB31"/>
          <cell r="AC31"/>
          <cell r="AD31" t="e">
            <v>#REF!</v>
          </cell>
          <cell r="AE31"/>
          <cell r="AF31"/>
          <cell r="AG31"/>
          <cell r="AH31"/>
          <cell r="AI31">
            <v>30242</v>
          </cell>
          <cell r="AJ31"/>
          <cell r="AK31"/>
          <cell r="AL31"/>
          <cell r="AM31"/>
          <cell r="AN31"/>
          <cell r="AO31"/>
          <cell r="AP31"/>
          <cell r="AQ31"/>
          <cell r="AR31"/>
          <cell r="AS31"/>
          <cell r="AT31" t="e">
            <v>#REF!</v>
          </cell>
          <cell r="AU31"/>
          <cell r="AV31"/>
          <cell r="AW31"/>
          <cell r="AX31"/>
          <cell r="AY31">
            <v>1556</v>
          </cell>
          <cell r="AZ31"/>
          <cell r="BA31"/>
          <cell r="BB31"/>
          <cell r="BC31"/>
          <cell r="BD31"/>
          <cell r="BE31" t="e">
            <v>#REF!</v>
          </cell>
          <cell r="BF31"/>
          <cell r="BG31"/>
          <cell r="BH31"/>
          <cell r="BI31"/>
          <cell r="BJ31">
            <v>8724</v>
          </cell>
          <cell r="BK31"/>
          <cell r="BL31"/>
          <cell r="BM31"/>
          <cell r="BN31"/>
          <cell r="BO31"/>
          <cell r="BP31" t="e">
            <v>#REF!</v>
          </cell>
          <cell r="BQ31"/>
          <cell r="BR31"/>
          <cell r="BS31"/>
          <cell r="BT31"/>
          <cell r="BU31">
            <v>0</v>
          </cell>
          <cell r="BV31"/>
          <cell r="BW31"/>
          <cell r="BX31"/>
          <cell r="BY31"/>
          <cell r="BZ31"/>
          <cell r="CA31" t="e">
            <v>#REF!</v>
          </cell>
          <cell r="CB31"/>
          <cell r="CC31"/>
          <cell r="CD31"/>
          <cell r="CE31"/>
          <cell r="CF31">
            <v>0</v>
          </cell>
          <cell r="CG31"/>
          <cell r="CH31"/>
          <cell r="CI31"/>
          <cell r="CJ31"/>
          <cell r="CK31"/>
          <cell r="CL31"/>
          <cell r="CM31"/>
          <cell r="CN31"/>
          <cell r="CO31"/>
          <cell r="CP31"/>
          <cell r="CQ31" t="e">
            <v>#REF!</v>
          </cell>
          <cell r="CR31"/>
          <cell r="CS31"/>
          <cell r="CT31"/>
          <cell r="CU31"/>
          <cell r="CV31" t="str">
            <v>27</v>
          </cell>
          <cell r="CW31"/>
          <cell r="CX31"/>
          <cell r="CY31">
            <v>302703</v>
          </cell>
          <cell r="CZ31">
            <v>302705</v>
          </cell>
          <cell r="DA31">
            <v>302707</v>
          </cell>
          <cell r="DB31">
            <v>302709</v>
          </cell>
          <cell r="DC31">
            <v>302711</v>
          </cell>
          <cell r="DD31">
            <v>302713</v>
          </cell>
        </row>
        <row r="32">
          <cell r="B32" t="str">
            <v>28</v>
          </cell>
          <cell r="C32"/>
          <cell r="D32" t="str">
            <v>Supplies &amp; Laundry</v>
          </cell>
          <cell r="E32"/>
          <cell r="F32"/>
          <cell r="G32"/>
          <cell r="H32"/>
          <cell r="I32"/>
          <cell r="J32"/>
          <cell r="K32"/>
          <cell r="L32"/>
          <cell r="M32"/>
          <cell r="N32"/>
          <cell r="O32"/>
          <cell r="P32"/>
          <cell r="Q32"/>
          <cell r="R32" t="str">
            <v>0370</v>
          </cell>
          <cell r="S32">
            <v>17101</v>
          </cell>
          <cell r="T32"/>
          <cell r="U32"/>
          <cell r="V32"/>
          <cell r="W32"/>
          <cell r="X32"/>
          <cell r="Y32"/>
          <cell r="Z32"/>
          <cell r="AA32"/>
          <cell r="AB32"/>
          <cell r="AC32"/>
          <cell r="AD32" t="e">
            <v>#REF!</v>
          </cell>
          <cell r="AE32"/>
          <cell r="AF32"/>
          <cell r="AG32"/>
          <cell r="AH32"/>
          <cell r="AI32">
            <v>153722</v>
          </cell>
          <cell r="AJ32"/>
          <cell r="AK32"/>
          <cell r="AL32"/>
          <cell r="AM32"/>
          <cell r="AN32"/>
          <cell r="AO32"/>
          <cell r="AP32"/>
          <cell r="AQ32"/>
          <cell r="AR32"/>
          <cell r="AS32"/>
          <cell r="AT32" t="e">
            <v>#REF!</v>
          </cell>
          <cell r="AU32"/>
          <cell r="AV32"/>
          <cell r="AW32"/>
          <cell r="AX32"/>
          <cell r="AY32">
            <v>831</v>
          </cell>
          <cell r="AZ32"/>
          <cell r="BA32"/>
          <cell r="BB32"/>
          <cell r="BC32"/>
          <cell r="BD32"/>
          <cell r="BE32" t="e">
            <v>#REF!</v>
          </cell>
          <cell r="BF32"/>
          <cell r="BG32"/>
          <cell r="BH32"/>
          <cell r="BI32"/>
          <cell r="BJ32">
            <v>12506</v>
          </cell>
          <cell r="BK32"/>
          <cell r="BL32"/>
          <cell r="BM32"/>
          <cell r="BN32"/>
          <cell r="BO32"/>
          <cell r="BP32" t="e">
            <v>#REF!</v>
          </cell>
          <cell r="BQ32"/>
          <cell r="BR32"/>
          <cell r="BS32"/>
          <cell r="BT32"/>
          <cell r="BU32">
            <v>0</v>
          </cell>
          <cell r="BV32"/>
          <cell r="BW32"/>
          <cell r="BX32"/>
          <cell r="BY32"/>
          <cell r="BZ32"/>
          <cell r="CA32" t="e">
            <v>#REF!</v>
          </cell>
          <cell r="CB32"/>
          <cell r="CC32"/>
          <cell r="CD32"/>
          <cell r="CE32"/>
          <cell r="CF32">
            <v>0</v>
          </cell>
          <cell r="CG32"/>
          <cell r="CH32"/>
          <cell r="CI32"/>
          <cell r="CJ32"/>
          <cell r="CK32"/>
          <cell r="CL32"/>
          <cell r="CM32"/>
          <cell r="CN32"/>
          <cell r="CO32"/>
          <cell r="CP32"/>
          <cell r="CQ32" t="e">
            <v>#REF!</v>
          </cell>
          <cell r="CR32"/>
          <cell r="CS32"/>
          <cell r="CT32"/>
          <cell r="CU32"/>
          <cell r="CV32" t="str">
            <v>28</v>
          </cell>
          <cell r="CW32"/>
          <cell r="CX32"/>
          <cell r="CY32">
            <v>302803</v>
          </cell>
          <cell r="CZ32">
            <v>302805</v>
          </cell>
          <cell r="DA32">
            <v>302807</v>
          </cell>
          <cell r="DB32">
            <v>302809</v>
          </cell>
          <cell r="DC32">
            <v>302811</v>
          </cell>
          <cell r="DD32">
            <v>302813</v>
          </cell>
        </row>
        <row r="33">
          <cell r="B33" t="str">
            <v>29</v>
          </cell>
          <cell r="C33"/>
          <cell r="D33" t="str">
            <v>Outside Services</v>
          </cell>
          <cell r="E33"/>
          <cell r="F33"/>
          <cell r="G33"/>
          <cell r="H33"/>
          <cell r="I33"/>
          <cell r="J33"/>
          <cell r="K33"/>
          <cell r="L33"/>
          <cell r="M33"/>
          <cell r="N33"/>
          <cell r="O33"/>
          <cell r="P33"/>
          <cell r="Q33"/>
          <cell r="R33" t="str">
            <v>0380</v>
          </cell>
          <cell r="S33">
            <v>4861</v>
          </cell>
          <cell r="T33"/>
          <cell r="U33"/>
          <cell r="V33"/>
          <cell r="W33"/>
          <cell r="X33"/>
          <cell r="Y33"/>
          <cell r="Z33"/>
          <cell r="AA33"/>
          <cell r="AB33"/>
          <cell r="AC33"/>
          <cell r="AD33" t="e">
            <v>#REF!</v>
          </cell>
          <cell r="AE33"/>
          <cell r="AF33"/>
          <cell r="AG33"/>
          <cell r="AH33"/>
          <cell r="AI33">
            <v>-25781</v>
          </cell>
          <cell r="AJ33"/>
          <cell r="AK33"/>
          <cell r="AL33"/>
          <cell r="AM33"/>
          <cell r="AN33"/>
          <cell r="AO33"/>
          <cell r="AP33"/>
          <cell r="AQ33"/>
          <cell r="AR33"/>
          <cell r="AS33"/>
          <cell r="AT33" t="e">
            <v>#REF!</v>
          </cell>
          <cell r="AU33"/>
          <cell r="AV33"/>
          <cell r="AW33"/>
          <cell r="AX33"/>
          <cell r="AY33">
            <v>3273</v>
          </cell>
          <cell r="AZ33"/>
          <cell r="BA33"/>
          <cell r="BB33"/>
          <cell r="BC33"/>
          <cell r="BD33"/>
          <cell r="BE33" t="e">
            <v>#REF!</v>
          </cell>
          <cell r="BF33"/>
          <cell r="BG33"/>
          <cell r="BH33"/>
          <cell r="BI33"/>
          <cell r="BJ33">
            <v>52314</v>
          </cell>
          <cell r="BK33"/>
          <cell r="BL33"/>
          <cell r="BM33"/>
          <cell r="BN33"/>
          <cell r="BO33"/>
          <cell r="BP33" t="e">
            <v>#REF!</v>
          </cell>
          <cell r="BQ33"/>
          <cell r="BR33"/>
          <cell r="BS33"/>
          <cell r="BT33"/>
          <cell r="BU33">
            <v>0</v>
          </cell>
          <cell r="BV33"/>
          <cell r="BW33"/>
          <cell r="BX33"/>
          <cell r="BY33"/>
          <cell r="BZ33"/>
          <cell r="CA33" t="e">
            <v>#REF!</v>
          </cell>
          <cell r="CB33"/>
          <cell r="CC33"/>
          <cell r="CD33"/>
          <cell r="CE33"/>
          <cell r="CF33">
            <v>0</v>
          </cell>
          <cell r="CG33"/>
          <cell r="CH33"/>
          <cell r="CI33"/>
          <cell r="CJ33"/>
          <cell r="CK33"/>
          <cell r="CL33"/>
          <cell r="CM33"/>
          <cell r="CN33"/>
          <cell r="CO33"/>
          <cell r="CP33"/>
          <cell r="CQ33" t="e">
            <v>#REF!</v>
          </cell>
          <cell r="CR33"/>
          <cell r="CS33"/>
          <cell r="CT33"/>
          <cell r="CU33"/>
          <cell r="CV33" t="str">
            <v>29</v>
          </cell>
          <cell r="CW33"/>
          <cell r="CX33"/>
          <cell r="CY33">
            <v>302903</v>
          </cell>
          <cell r="CZ33">
            <v>302905</v>
          </cell>
          <cell r="DA33">
            <v>302907</v>
          </cell>
          <cell r="DB33">
            <v>302909</v>
          </cell>
          <cell r="DC33">
            <v>302911</v>
          </cell>
          <cell r="DD33">
            <v>302913</v>
          </cell>
        </row>
        <row r="34">
          <cell r="B34" t="str">
            <v>30</v>
          </cell>
          <cell r="C34"/>
          <cell r="D34" t="str">
            <v>Travel &amp; Entertainment</v>
          </cell>
          <cell r="E34"/>
          <cell r="F34"/>
          <cell r="G34"/>
          <cell r="H34"/>
          <cell r="I34"/>
          <cell r="J34"/>
          <cell r="K34"/>
          <cell r="L34"/>
          <cell r="M34"/>
          <cell r="N34"/>
          <cell r="O34"/>
          <cell r="P34"/>
          <cell r="Q34"/>
          <cell r="R34" t="str">
            <v>0390</v>
          </cell>
          <cell r="S34">
            <v>3738</v>
          </cell>
          <cell r="T34"/>
          <cell r="U34"/>
          <cell r="V34"/>
          <cell r="W34"/>
          <cell r="X34"/>
          <cell r="Y34"/>
          <cell r="Z34"/>
          <cell r="AA34"/>
          <cell r="AB34"/>
          <cell r="AC34"/>
          <cell r="AD34" t="e">
            <v>#REF!</v>
          </cell>
          <cell r="AE34"/>
          <cell r="AF34"/>
          <cell r="AG34"/>
          <cell r="AH34"/>
          <cell r="AI34">
            <v>20449</v>
          </cell>
          <cell r="AJ34"/>
          <cell r="AK34"/>
          <cell r="AL34"/>
          <cell r="AM34"/>
          <cell r="AN34"/>
          <cell r="AO34"/>
          <cell r="AP34"/>
          <cell r="AQ34"/>
          <cell r="AR34"/>
          <cell r="AS34"/>
          <cell r="AT34" t="e">
            <v>#REF!</v>
          </cell>
          <cell r="AU34"/>
          <cell r="AV34"/>
          <cell r="AW34"/>
          <cell r="AX34"/>
          <cell r="AY34">
            <v>1478</v>
          </cell>
          <cell r="AZ34"/>
          <cell r="BA34"/>
          <cell r="BB34"/>
          <cell r="BC34"/>
          <cell r="BD34"/>
          <cell r="BE34" t="e">
            <v>#REF!</v>
          </cell>
          <cell r="BF34"/>
          <cell r="BG34"/>
          <cell r="BH34"/>
          <cell r="BI34"/>
          <cell r="BJ34">
            <v>7249</v>
          </cell>
          <cell r="BK34"/>
          <cell r="BL34"/>
          <cell r="BM34"/>
          <cell r="BN34"/>
          <cell r="BO34"/>
          <cell r="BP34" t="e">
            <v>#REF!</v>
          </cell>
          <cell r="BQ34"/>
          <cell r="BR34"/>
          <cell r="BS34"/>
          <cell r="BT34"/>
          <cell r="BU34">
            <v>0</v>
          </cell>
          <cell r="BV34"/>
          <cell r="BW34"/>
          <cell r="BX34"/>
          <cell r="BY34"/>
          <cell r="BZ34"/>
          <cell r="CA34" t="e">
            <v>#REF!</v>
          </cell>
          <cell r="CB34"/>
          <cell r="CC34"/>
          <cell r="CD34"/>
          <cell r="CE34"/>
          <cell r="CF34">
            <v>0</v>
          </cell>
          <cell r="CG34"/>
          <cell r="CH34"/>
          <cell r="CI34"/>
          <cell r="CJ34"/>
          <cell r="CK34"/>
          <cell r="CL34"/>
          <cell r="CM34"/>
          <cell r="CN34"/>
          <cell r="CO34"/>
          <cell r="CP34"/>
          <cell r="CQ34" t="e">
            <v>#REF!</v>
          </cell>
          <cell r="CR34"/>
          <cell r="CS34"/>
          <cell r="CT34"/>
          <cell r="CU34"/>
          <cell r="CV34" t="str">
            <v>30</v>
          </cell>
          <cell r="CW34"/>
          <cell r="CX34"/>
          <cell r="CY34">
            <v>303003</v>
          </cell>
          <cell r="CZ34">
            <v>303005</v>
          </cell>
          <cell r="DA34">
            <v>303007</v>
          </cell>
          <cell r="DB34">
            <v>303009</v>
          </cell>
          <cell r="DC34">
            <v>303011</v>
          </cell>
          <cell r="DD34">
            <v>303013</v>
          </cell>
        </row>
        <row r="35">
          <cell r="B35" t="str">
            <v>31</v>
          </cell>
          <cell r="C35"/>
          <cell r="D35" t="str">
            <v>Legal &amp; Auditing</v>
          </cell>
          <cell r="E35"/>
          <cell r="F35"/>
          <cell r="G35"/>
          <cell r="H35"/>
          <cell r="I35"/>
          <cell r="J35"/>
          <cell r="K35"/>
          <cell r="L35"/>
          <cell r="M35"/>
          <cell r="N35"/>
          <cell r="O35"/>
          <cell r="P35"/>
          <cell r="Q35"/>
          <cell r="R35" t="str">
            <v>0400</v>
          </cell>
          <cell r="S35">
            <v>0</v>
          </cell>
          <cell r="T35"/>
          <cell r="U35"/>
          <cell r="V35"/>
          <cell r="W35"/>
          <cell r="X35"/>
          <cell r="Y35"/>
          <cell r="Z35"/>
          <cell r="AA35"/>
          <cell r="AB35"/>
          <cell r="AC35"/>
          <cell r="AD35" t="e">
            <v>#REF!</v>
          </cell>
          <cell r="AE35"/>
          <cell r="AF35"/>
          <cell r="AG35"/>
          <cell r="AH35"/>
          <cell r="AI35">
            <v>19074</v>
          </cell>
          <cell r="AJ35"/>
          <cell r="AK35"/>
          <cell r="AL35"/>
          <cell r="AM35"/>
          <cell r="AN35"/>
          <cell r="AO35"/>
          <cell r="AP35"/>
          <cell r="AQ35"/>
          <cell r="AR35"/>
          <cell r="AS35"/>
          <cell r="AT35" t="e">
            <v>#REF!</v>
          </cell>
          <cell r="AU35"/>
          <cell r="AV35"/>
          <cell r="AW35"/>
          <cell r="AX35"/>
          <cell r="AY35">
            <v>0</v>
          </cell>
          <cell r="AZ35"/>
          <cell r="BA35"/>
          <cell r="BB35"/>
          <cell r="BC35"/>
          <cell r="BD35"/>
          <cell r="BE35" t="e">
            <v>#REF!</v>
          </cell>
          <cell r="BF35"/>
          <cell r="BG35"/>
          <cell r="BH35"/>
          <cell r="BI35"/>
          <cell r="BJ35">
            <v>7771</v>
          </cell>
          <cell r="BK35"/>
          <cell r="BL35"/>
          <cell r="BM35"/>
          <cell r="BN35"/>
          <cell r="BO35"/>
          <cell r="BP35" t="e">
            <v>#REF!</v>
          </cell>
          <cell r="BQ35"/>
          <cell r="BR35"/>
          <cell r="BS35"/>
          <cell r="BT35"/>
          <cell r="BU35">
            <v>0</v>
          </cell>
          <cell r="BV35"/>
          <cell r="BW35"/>
          <cell r="BX35"/>
          <cell r="BY35"/>
          <cell r="BZ35"/>
          <cell r="CA35" t="e">
            <v>#REF!</v>
          </cell>
          <cell r="CB35"/>
          <cell r="CC35"/>
          <cell r="CD35"/>
          <cell r="CE35"/>
          <cell r="CF35">
            <v>0</v>
          </cell>
          <cell r="CG35"/>
          <cell r="CH35"/>
          <cell r="CI35"/>
          <cell r="CJ35"/>
          <cell r="CK35"/>
          <cell r="CL35"/>
          <cell r="CM35"/>
          <cell r="CN35"/>
          <cell r="CO35"/>
          <cell r="CP35"/>
          <cell r="CQ35" t="e">
            <v>#REF!</v>
          </cell>
          <cell r="CR35"/>
          <cell r="CS35"/>
          <cell r="CT35"/>
          <cell r="CU35"/>
          <cell r="CV35" t="str">
            <v>31</v>
          </cell>
          <cell r="CW35"/>
          <cell r="CX35"/>
          <cell r="CY35">
            <v>303103</v>
          </cell>
          <cell r="CZ35">
            <v>303105</v>
          </cell>
          <cell r="DA35">
            <v>303107</v>
          </cell>
          <cell r="DB35">
            <v>303109</v>
          </cell>
          <cell r="DC35">
            <v>303111</v>
          </cell>
          <cell r="DD35">
            <v>303113</v>
          </cell>
        </row>
        <row r="36">
          <cell r="B36" t="str">
            <v>32</v>
          </cell>
          <cell r="C36"/>
          <cell r="D36" t="str">
            <v>Communication, Telephone, Internet &amp; Data Processing</v>
          </cell>
          <cell r="E36"/>
          <cell r="F36"/>
          <cell r="G36"/>
          <cell r="H36"/>
          <cell r="I36"/>
          <cell r="J36"/>
          <cell r="K36"/>
          <cell r="L36"/>
          <cell r="M36"/>
          <cell r="N36"/>
          <cell r="O36"/>
          <cell r="P36"/>
          <cell r="Q36"/>
          <cell r="R36" t="str">
            <v>0410</v>
          </cell>
          <cell r="S36">
            <v>9277</v>
          </cell>
          <cell r="T36"/>
          <cell r="U36"/>
          <cell r="V36"/>
          <cell r="W36"/>
          <cell r="X36"/>
          <cell r="Y36"/>
          <cell r="Z36"/>
          <cell r="AA36"/>
          <cell r="AB36"/>
          <cell r="AC36"/>
          <cell r="AD36" t="e">
            <v>#REF!</v>
          </cell>
          <cell r="AE36"/>
          <cell r="AF36"/>
          <cell r="AG36"/>
          <cell r="AH36"/>
          <cell r="AI36">
            <v>90846</v>
          </cell>
          <cell r="AJ36"/>
          <cell r="AK36"/>
          <cell r="AL36"/>
          <cell r="AM36"/>
          <cell r="AN36"/>
          <cell r="AO36"/>
          <cell r="AP36"/>
          <cell r="AQ36"/>
          <cell r="AR36"/>
          <cell r="AS36"/>
          <cell r="AT36" t="e">
            <v>#REF!</v>
          </cell>
          <cell r="AU36"/>
          <cell r="AV36"/>
          <cell r="AW36"/>
          <cell r="AX36"/>
          <cell r="AY36">
            <v>3325</v>
          </cell>
          <cell r="AZ36"/>
          <cell r="BA36"/>
          <cell r="BB36"/>
          <cell r="BC36"/>
          <cell r="BD36"/>
          <cell r="BE36" t="e">
            <v>#REF!</v>
          </cell>
          <cell r="BF36"/>
          <cell r="BG36"/>
          <cell r="BH36"/>
          <cell r="BI36"/>
          <cell r="BJ36">
            <v>36795</v>
          </cell>
          <cell r="BK36"/>
          <cell r="BL36"/>
          <cell r="BM36"/>
          <cell r="BN36"/>
          <cell r="BO36"/>
          <cell r="BP36" t="e">
            <v>#REF!</v>
          </cell>
          <cell r="BQ36"/>
          <cell r="BR36"/>
          <cell r="BS36"/>
          <cell r="BT36"/>
          <cell r="BU36">
            <v>0</v>
          </cell>
          <cell r="BV36"/>
          <cell r="BW36"/>
          <cell r="BX36"/>
          <cell r="BY36"/>
          <cell r="BZ36"/>
          <cell r="CA36" t="e">
            <v>#REF!</v>
          </cell>
          <cell r="CB36"/>
          <cell r="CC36"/>
          <cell r="CD36"/>
          <cell r="CE36"/>
          <cell r="CF36">
            <v>0</v>
          </cell>
          <cell r="CG36"/>
          <cell r="CH36"/>
          <cell r="CI36"/>
          <cell r="CJ36"/>
          <cell r="CK36"/>
          <cell r="CL36"/>
          <cell r="CM36"/>
          <cell r="CN36"/>
          <cell r="CO36"/>
          <cell r="CP36"/>
          <cell r="CQ36" t="e">
            <v>#REF!</v>
          </cell>
          <cell r="CR36"/>
          <cell r="CS36"/>
          <cell r="CT36"/>
          <cell r="CU36"/>
          <cell r="CV36" t="str">
            <v>32</v>
          </cell>
          <cell r="CW36"/>
          <cell r="CX36"/>
          <cell r="CY36">
            <v>303203</v>
          </cell>
          <cell r="CZ36">
            <v>303205</v>
          </cell>
          <cell r="DA36">
            <v>303207</v>
          </cell>
          <cell r="DB36">
            <v>303209</v>
          </cell>
          <cell r="DC36">
            <v>303211</v>
          </cell>
          <cell r="DD36">
            <v>303213</v>
          </cell>
        </row>
        <row r="37">
          <cell r="B37" t="str">
            <v>33</v>
          </cell>
          <cell r="C37"/>
          <cell r="D37" t="str">
            <v>Employee Training</v>
          </cell>
          <cell r="E37"/>
          <cell r="F37"/>
          <cell r="G37"/>
          <cell r="H37"/>
          <cell r="I37"/>
          <cell r="J37"/>
          <cell r="K37"/>
          <cell r="L37"/>
          <cell r="M37"/>
          <cell r="N37"/>
          <cell r="O37"/>
          <cell r="P37"/>
          <cell r="Q37"/>
          <cell r="R37" t="str">
            <v>0420</v>
          </cell>
          <cell r="S37">
            <v>1815</v>
          </cell>
          <cell r="T37"/>
          <cell r="U37"/>
          <cell r="V37"/>
          <cell r="W37"/>
          <cell r="X37"/>
          <cell r="Y37"/>
          <cell r="Z37"/>
          <cell r="AA37"/>
          <cell r="AB37"/>
          <cell r="AC37"/>
          <cell r="AD37" t="e">
            <v>#REF!</v>
          </cell>
          <cell r="AE37"/>
          <cell r="AF37"/>
          <cell r="AG37"/>
          <cell r="AH37"/>
          <cell r="AI37">
            <v>26554</v>
          </cell>
          <cell r="AJ37"/>
          <cell r="AK37"/>
          <cell r="AL37"/>
          <cell r="AM37"/>
          <cell r="AN37"/>
          <cell r="AO37"/>
          <cell r="AP37"/>
          <cell r="AQ37"/>
          <cell r="AR37"/>
          <cell r="AS37"/>
          <cell r="AT37" t="e">
            <v>#REF!</v>
          </cell>
          <cell r="AU37"/>
          <cell r="AV37"/>
          <cell r="AW37"/>
          <cell r="AX37"/>
          <cell r="AY37">
            <v>770</v>
          </cell>
          <cell r="AZ37"/>
          <cell r="BA37"/>
          <cell r="BB37"/>
          <cell r="BC37"/>
          <cell r="BD37"/>
          <cell r="BE37" t="e">
            <v>#REF!</v>
          </cell>
          <cell r="BF37"/>
          <cell r="BG37"/>
          <cell r="BH37"/>
          <cell r="BI37"/>
          <cell r="BJ37">
            <v>5520</v>
          </cell>
          <cell r="BK37"/>
          <cell r="BL37"/>
          <cell r="BM37"/>
          <cell r="BN37"/>
          <cell r="BO37"/>
          <cell r="BP37" t="e">
            <v>#REF!</v>
          </cell>
          <cell r="BQ37"/>
          <cell r="BR37"/>
          <cell r="BS37"/>
          <cell r="BT37"/>
          <cell r="BU37">
            <v>0</v>
          </cell>
          <cell r="BV37"/>
          <cell r="BW37"/>
          <cell r="BX37"/>
          <cell r="BY37"/>
          <cell r="BZ37"/>
          <cell r="CA37" t="e">
            <v>#REF!</v>
          </cell>
          <cell r="CB37"/>
          <cell r="CC37"/>
          <cell r="CD37"/>
          <cell r="CE37"/>
          <cell r="CF37">
            <v>0</v>
          </cell>
          <cell r="CG37"/>
          <cell r="CH37"/>
          <cell r="CI37"/>
          <cell r="CJ37"/>
          <cell r="CK37"/>
          <cell r="CL37"/>
          <cell r="CM37"/>
          <cell r="CN37"/>
          <cell r="CO37"/>
          <cell r="CP37"/>
          <cell r="CQ37" t="e">
            <v>#REF!</v>
          </cell>
          <cell r="CR37"/>
          <cell r="CS37"/>
          <cell r="CT37"/>
          <cell r="CU37"/>
          <cell r="CV37" t="str">
            <v>33</v>
          </cell>
          <cell r="CW37"/>
          <cell r="CX37"/>
          <cell r="CY37">
            <v>303303</v>
          </cell>
          <cell r="CZ37">
            <v>303305</v>
          </cell>
          <cell r="DA37">
            <v>303307</v>
          </cell>
          <cell r="DB37">
            <v>303309</v>
          </cell>
          <cell r="DC37">
            <v>303311</v>
          </cell>
          <cell r="DD37">
            <v>303313</v>
          </cell>
        </row>
        <row r="38">
          <cell r="B38" t="str">
            <v>34</v>
          </cell>
          <cell r="C38"/>
          <cell r="D38" t="str">
            <v>Bad Debts</v>
          </cell>
          <cell r="E38"/>
          <cell r="F38"/>
          <cell r="G38"/>
          <cell r="H38"/>
          <cell r="I38"/>
          <cell r="J38"/>
          <cell r="K38"/>
          <cell r="L38"/>
          <cell r="M38"/>
          <cell r="N38"/>
          <cell r="O38"/>
          <cell r="P38"/>
          <cell r="Q38"/>
          <cell r="R38" t="str">
            <v>0430</v>
          </cell>
          <cell r="S38">
            <v>0</v>
          </cell>
          <cell r="T38"/>
          <cell r="U38"/>
          <cell r="V38"/>
          <cell r="W38"/>
          <cell r="X38"/>
          <cell r="Y38"/>
          <cell r="Z38"/>
          <cell r="AA38"/>
          <cell r="AB38"/>
          <cell r="AC38"/>
          <cell r="AD38" t="e">
            <v>#REF!</v>
          </cell>
          <cell r="AE38"/>
          <cell r="AF38"/>
          <cell r="AG38"/>
          <cell r="AH38"/>
          <cell r="AI38">
            <v>0</v>
          </cell>
          <cell r="AJ38"/>
          <cell r="AK38"/>
          <cell r="AL38"/>
          <cell r="AM38"/>
          <cell r="AN38"/>
          <cell r="AO38"/>
          <cell r="AP38"/>
          <cell r="AQ38"/>
          <cell r="AR38"/>
          <cell r="AS38"/>
          <cell r="AT38" t="e">
            <v>#REF!</v>
          </cell>
          <cell r="AU38"/>
          <cell r="AV38"/>
          <cell r="AW38"/>
          <cell r="AX38"/>
          <cell r="AY38">
            <v>0</v>
          </cell>
          <cell r="AZ38"/>
          <cell r="BA38"/>
          <cell r="BB38"/>
          <cell r="BC38"/>
          <cell r="BD38"/>
          <cell r="BE38" t="e">
            <v>#REF!</v>
          </cell>
          <cell r="BF38"/>
          <cell r="BG38"/>
          <cell r="BH38"/>
          <cell r="BI38"/>
          <cell r="BJ38">
            <v>0</v>
          </cell>
          <cell r="BK38"/>
          <cell r="BL38"/>
          <cell r="BM38"/>
          <cell r="BN38"/>
          <cell r="BO38"/>
          <cell r="BP38" t="e">
            <v>#REF!</v>
          </cell>
          <cell r="BQ38"/>
          <cell r="BR38"/>
          <cell r="BS38"/>
          <cell r="BT38"/>
          <cell r="BU38">
            <v>0</v>
          </cell>
          <cell r="BV38"/>
          <cell r="BW38"/>
          <cell r="BX38"/>
          <cell r="BY38"/>
          <cell r="BZ38"/>
          <cell r="CA38" t="e">
            <v>#REF!</v>
          </cell>
          <cell r="CB38"/>
          <cell r="CC38"/>
          <cell r="CD38"/>
          <cell r="CE38"/>
          <cell r="CF38">
            <v>0</v>
          </cell>
          <cell r="CG38"/>
          <cell r="CH38"/>
          <cell r="CI38"/>
          <cell r="CJ38"/>
          <cell r="CK38"/>
          <cell r="CL38"/>
          <cell r="CM38"/>
          <cell r="CN38"/>
          <cell r="CO38"/>
          <cell r="CP38"/>
          <cell r="CQ38" t="e">
            <v>#REF!</v>
          </cell>
          <cell r="CR38"/>
          <cell r="CS38"/>
          <cell r="CT38"/>
          <cell r="CU38"/>
          <cell r="CV38" t="str">
            <v>34</v>
          </cell>
          <cell r="CW38"/>
          <cell r="CX38"/>
          <cell r="CY38">
            <v>303403</v>
          </cell>
          <cell r="CZ38">
            <v>303405</v>
          </cell>
          <cell r="DA38">
            <v>303407</v>
          </cell>
          <cell r="DB38">
            <v>303409</v>
          </cell>
          <cell r="DC38">
            <v>303411</v>
          </cell>
          <cell r="DD38">
            <v>303413</v>
          </cell>
        </row>
        <row r="39">
          <cell r="B39" t="str">
            <v>35</v>
          </cell>
          <cell r="C39"/>
          <cell r="D39" t="str">
            <v>Postage &amp; Misc.</v>
          </cell>
          <cell r="E39"/>
          <cell r="F39"/>
          <cell r="G39"/>
          <cell r="H39"/>
          <cell r="I39"/>
          <cell r="J39"/>
          <cell r="K39"/>
          <cell r="L39"/>
          <cell r="M39"/>
          <cell r="N39"/>
          <cell r="O39"/>
          <cell r="P39"/>
          <cell r="Q39"/>
          <cell r="R39" t="str">
            <v>0440</v>
          </cell>
          <cell r="S39">
            <v>982</v>
          </cell>
          <cell r="T39"/>
          <cell r="U39"/>
          <cell r="V39"/>
          <cell r="W39"/>
          <cell r="X39"/>
          <cell r="Y39"/>
          <cell r="Z39"/>
          <cell r="AA39"/>
          <cell r="AB39"/>
          <cell r="AC39"/>
          <cell r="AD39" t="e">
            <v>#REF!</v>
          </cell>
          <cell r="AE39"/>
          <cell r="AF39"/>
          <cell r="AG39"/>
          <cell r="AH39"/>
          <cell r="AI39">
            <v>5342</v>
          </cell>
          <cell r="AJ39"/>
          <cell r="AK39"/>
          <cell r="AL39"/>
          <cell r="AM39"/>
          <cell r="AN39"/>
          <cell r="AO39"/>
          <cell r="AP39"/>
          <cell r="AQ39"/>
          <cell r="AR39"/>
          <cell r="AS39"/>
          <cell r="AT39" t="e">
            <v>#REF!</v>
          </cell>
          <cell r="AU39"/>
          <cell r="AV39"/>
          <cell r="AW39"/>
          <cell r="AX39"/>
          <cell r="AY39">
            <v>418</v>
          </cell>
          <cell r="AZ39"/>
          <cell r="BA39"/>
          <cell r="BB39"/>
          <cell r="BC39"/>
          <cell r="BD39"/>
          <cell r="BE39" t="e">
            <v>#REF!</v>
          </cell>
          <cell r="BF39"/>
          <cell r="BG39"/>
          <cell r="BH39"/>
          <cell r="BI39"/>
          <cell r="BJ39">
            <v>2194</v>
          </cell>
          <cell r="BK39"/>
          <cell r="BL39"/>
          <cell r="BM39"/>
          <cell r="BN39"/>
          <cell r="BO39"/>
          <cell r="BP39" t="e">
            <v>#REF!</v>
          </cell>
          <cell r="BQ39"/>
          <cell r="BR39"/>
          <cell r="BS39"/>
          <cell r="BT39"/>
          <cell r="BU39">
            <v>0</v>
          </cell>
          <cell r="BV39"/>
          <cell r="BW39"/>
          <cell r="BX39"/>
          <cell r="BY39"/>
          <cell r="BZ39"/>
          <cell r="CA39" t="e">
            <v>#REF!</v>
          </cell>
          <cell r="CB39"/>
          <cell r="CC39"/>
          <cell r="CD39"/>
          <cell r="CE39"/>
          <cell r="CF39">
            <v>0</v>
          </cell>
          <cell r="CG39"/>
          <cell r="CH39"/>
          <cell r="CI39"/>
          <cell r="CJ39"/>
          <cell r="CK39"/>
          <cell r="CL39"/>
          <cell r="CM39"/>
          <cell r="CN39"/>
          <cell r="CO39"/>
          <cell r="CP39"/>
          <cell r="CQ39" t="e">
            <v>#REF!</v>
          </cell>
          <cell r="CR39"/>
          <cell r="CS39"/>
          <cell r="CT39"/>
          <cell r="CU39"/>
          <cell r="CV39" t="str">
            <v>35</v>
          </cell>
          <cell r="CW39"/>
          <cell r="CX39"/>
          <cell r="CY39">
            <v>303503</v>
          </cell>
          <cell r="CZ39">
            <v>303505</v>
          </cell>
          <cell r="DA39">
            <v>303507</v>
          </cell>
          <cell r="DB39">
            <v>303509</v>
          </cell>
          <cell r="DC39">
            <v>303511</v>
          </cell>
          <cell r="DD39">
            <v>303513</v>
          </cell>
        </row>
        <row r="40">
          <cell r="B40" t="str">
            <v>36</v>
          </cell>
          <cell r="C40"/>
          <cell r="D40" t="str">
            <v>Dues, Subscriptions, Memberships &amp; Contributions</v>
          </cell>
          <cell r="E40"/>
          <cell r="F40"/>
          <cell r="G40"/>
          <cell r="H40"/>
          <cell r="I40"/>
          <cell r="J40"/>
          <cell r="K40"/>
          <cell r="L40"/>
          <cell r="M40"/>
          <cell r="N40"/>
          <cell r="O40"/>
          <cell r="P40"/>
          <cell r="Q40"/>
          <cell r="R40" t="str">
            <v>0480</v>
          </cell>
          <cell r="S40">
            <v>1281</v>
          </cell>
          <cell r="T40"/>
          <cell r="U40"/>
          <cell r="V40"/>
          <cell r="W40"/>
          <cell r="X40"/>
          <cell r="Y40"/>
          <cell r="Z40"/>
          <cell r="AA40"/>
          <cell r="AB40"/>
          <cell r="AC40"/>
          <cell r="AD40" t="e">
            <v>#REF!</v>
          </cell>
          <cell r="AE40"/>
          <cell r="AF40"/>
          <cell r="AG40"/>
          <cell r="AH40"/>
          <cell r="AI40">
            <v>11717</v>
          </cell>
          <cell r="AJ40"/>
          <cell r="AK40"/>
          <cell r="AL40"/>
          <cell r="AM40"/>
          <cell r="AN40"/>
          <cell r="AO40"/>
          <cell r="AP40"/>
          <cell r="AQ40"/>
          <cell r="AR40"/>
          <cell r="AS40"/>
          <cell r="AT40" t="e">
            <v>#REF!</v>
          </cell>
          <cell r="AU40"/>
          <cell r="AV40"/>
          <cell r="AW40"/>
          <cell r="AX40"/>
          <cell r="AY40">
            <v>547</v>
          </cell>
          <cell r="AZ40"/>
          <cell r="BA40"/>
          <cell r="BB40"/>
          <cell r="BC40"/>
          <cell r="BD40"/>
          <cell r="BE40" t="e">
            <v>#REF!</v>
          </cell>
          <cell r="BF40"/>
          <cell r="BG40"/>
          <cell r="BH40"/>
          <cell r="BI40"/>
          <cell r="BJ40">
            <v>4166</v>
          </cell>
          <cell r="BK40"/>
          <cell r="BL40"/>
          <cell r="BM40"/>
          <cell r="BN40"/>
          <cell r="BO40"/>
          <cell r="BP40" t="e">
            <v>#REF!</v>
          </cell>
          <cell r="BQ40"/>
          <cell r="BR40"/>
          <cell r="BS40"/>
          <cell r="BT40"/>
          <cell r="BU40">
            <v>0</v>
          </cell>
          <cell r="BV40"/>
          <cell r="BW40"/>
          <cell r="BX40"/>
          <cell r="BY40"/>
          <cell r="BZ40"/>
          <cell r="CA40" t="e">
            <v>#REF!</v>
          </cell>
          <cell r="CB40"/>
          <cell r="CC40"/>
          <cell r="CD40"/>
          <cell r="CE40"/>
          <cell r="CF40">
            <v>0</v>
          </cell>
          <cell r="CG40"/>
          <cell r="CH40"/>
          <cell r="CI40"/>
          <cell r="CJ40"/>
          <cell r="CK40"/>
          <cell r="CL40"/>
          <cell r="CM40"/>
          <cell r="CN40"/>
          <cell r="CO40"/>
          <cell r="CP40"/>
          <cell r="CQ40" t="e">
            <v>#REF!</v>
          </cell>
          <cell r="CR40"/>
          <cell r="CS40"/>
          <cell r="CT40"/>
          <cell r="CU40"/>
          <cell r="CV40" t="str">
            <v>36</v>
          </cell>
          <cell r="CW40"/>
          <cell r="CX40"/>
          <cell r="CY40">
            <v>303603</v>
          </cell>
          <cell r="CZ40">
            <v>303605</v>
          </cell>
          <cell r="DA40">
            <v>303607</v>
          </cell>
          <cell r="DB40">
            <v>303609</v>
          </cell>
          <cell r="DC40">
            <v>303611</v>
          </cell>
          <cell r="DD40">
            <v>303613</v>
          </cell>
        </row>
        <row r="41">
          <cell r="B41" t="str">
            <v>37</v>
          </cell>
          <cell r="C41"/>
          <cell r="D41" t="str">
            <v>TOTAL SEMI-FIXED EXPENSE GROUP</v>
          </cell>
          <cell r="E41"/>
          <cell r="F41"/>
          <cell r="G41"/>
          <cell r="H41"/>
          <cell r="I41"/>
          <cell r="J41"/>
          <cell r="K41"/>
          <cell r="L41"/>
          <cell r="M41"/>
          <cell r="N41"/>
          <cell r="O41"/>
          <cell r="P41"/>
          <cell r="Q41" t="str">
            <v xml:space="preserve">(Lines 23 to 36) </v>
          </cell>
          <cell r="R41"/>
          <cell r="S41">
            <v>51361</v>
          </cell>
          <cell r="T41"/>
          <cell r="U41"/>
          <cell r="V41"/>
          <cell r="W41"/>
          <cell r="X41"/>
          <cell r="Y41"/>
          <cell r="Z41"/>
          <cell r="AA41"/>
          <cell r="AB41"/>
          <cell r="AC41"/>
          <cell r="AD41" t="e">
            <v>#REF!</v>
          </cell>
          <cell r="AE41"/>
          <cell r="AF41"/>
          <cell r="AG41"/>
          <cell r="AH41"/>
          <cell r="AI41">
            <v>423566</v>
          </cell>
          <cell r="AJ41"/>
          <cell r="AK41"/>
          <cell r="AL41"/>
          <cell r="AM41"/>
          <cell r="AN41"/>
          <cell r="AO41"/>
          <cell r="AP41"/>
          <cell r="AQ41"/>
          <cell r="AR41"/>
          <cell r="AS41"/>
          <cell r="AT41" t="e">
            <v>#REF!</v>
          </cell>
          <cell r="AU41"/>
          <cell r="AV41"/>
          <cell r="AW41"/>
          <cell r="AX41"/>
          <cell r="AY41">
            <v>14332</v>
          </cell>
          <cell r="AZ41"/>
          <cell r="BA41"/>
          <cell r="BB41"/>
          <cell r="BC41"/>
          <cell r="BD41"/>
          <cell r="BE41" t="e">
            <v>#REF!</v>
          </cell>
          <cell r="BF41"/>
          <cell r="BG41"/>
          <cell r="BH41"/>
          <cell r="BI41"/>
          <cell r="BJ41">
            <v>150053</v>
          </cell>
          <cell r="BK41"/>
          <cell r="BL41"/>
          <cell r="BM41"/>
          <cell r="BN41"/>
          <cell r="BO41"/>
          <cell r="BP41" t="e">
            <v>#REF!</v>
          </cell>
          <cell r="BQ41"/>
          <cell r="BR41"/>
          <cell r="BS41"/>
          <cell r="BT41"/>
          <cell r="BU41">
            <v>0</v>
          </cell>
          <cell r="BV41"/>
          <cell r="BW41"/>
          <cell r="BX41"/>
          <cell r="BY41"/>
          <cell r="BZ41"/>
          <cell r="CA41" t="e">
            <v>#REF!</v>
          </cell>
          <cell r="CB41"/>
          <cell r="CC41"/>
          <cell r="CD41"/>
          <cell r="CE41"/>
          <cell r="CF41">
            <v>0</v>
          </cell>
          <cell r="CG41"/>
          <cell r="CH41"/>
          <cell r="CI41"/>
          <cell r="CJ41"/>
          <cell r="CK41"/>
          <cell r="CL41"/>
          <cell r="CM41"/>
          <cell r="CN41"/>
          <cell r="CO41"/>
          <cell r="CP41"/>
          <cell r="CQ41" t="e">
            <v>#REF!</v>
          </cell>
          <cell r="CR41"/>
          <cell r="CS41"/>
          <cell r="CT41"/>
          <cell r="CU41"/>
          <cell r="CV41" t="str">
            <v>37</v>
          </cell>
          <cell r="CW41"/>
          <cell r="CX41"/>
          <cell r="CY41">
            <v>303703</v>
          </cell>
          <cell r="CZ41">
            <v>303705</v>
          </cell>
          <cell r="DA41">
            <v>303707</v>
          </cell>
          <cell r="DB41">
            <v>303709</v>
          </cell>
          <cell r="DC41">
            <v>303711</v>
          </cell>
          <cell r="DD41">
            <v>303713</v>
          </cell>
        </row>
        <row r="42">
          <cell r="B42" t="str">
            <v>38</v>
          </cell>
          <cell r="C42"/>
          <cell r="D42" t="str">
            <v>Rent and Interest - Real Estate Mortgages</v>
          </cell>
          <cell r="E42"/>
          <cell r="F42"/>
          <cell r="G42"/>
          <cell r="H42"/>
          <cell r="I42"/>
          <cell r="J42"/>
          <cell r="K42"/>
          <cell r="L42"/>
          <cell r="M42"/>
          <cell r="N42"/>
          <cell r="O42"/>
          <cell r="P42"/>
          <cell r="Q42"/>
          <cell r="R42" t="str">
            <v>0500</v>
          </cell>
          <cell r="S42">
            <v>19710</v>
          </cell>
          <cell r="T42"/>
          <cell r="U42"/>
          <cell r="V42"/>
          <cell r="W42"/>
          <cell r="X42"/>
          <cell r="Y42"/>
          <cell r="Z42"/>
          <cell r="AA42"/>
          <cell r="AB42"/>
          <cell r="AC42"/>
          <cell r="AD42" t="e">
            <v>#REF!</v>
          </cell>
          <cell r="AE42"/>
          <cell r="AF42"/>
          <cell r="AG42"/>
          <cell r="AH42"/>
          <cell r="AI42">
            <v>233472</v>
          </cell>
          <cell r="AJ42"/>
          <cell r="AK42"/>
          <cell r="AL42"/>
          <cell r="AM42"/>
          <cell r="AN42"/>
          <cell r="AO42"/>
          <cell r="AP42"/>
          <cell r="AQ42"/>
          <cell r="AR42"/>
          <cell r="AS42"/>
          <cell r="AT42" t="e">
            <v>#REF!</v>
          </cell>
          <cell r="AU42"/>
          <cell r="AV42"/>
          <cell r="AW42"/>
          <cell r="AX42"/>
          <cell r="AY42">
            <v>8030</v>
          </cell>
          <cell r="AZ42"/>
          <cell r="BA42"/>
          <cell r="BB42"/>
          <cell r="BC42"/>
          <cell r="BD42"/>
          <cell r="BE42" t="e">
            <v>#REF!</v>
          </cell>
          <cell r="BF42"/>
          <cell r="BG42"/>
          <cell r="BH42"/>
          <cell r="BI42"/>
          <cell r="BJ42">
            <v>95118</v>
          </cell>
          <cell r="BK42"/>
          <cell r="BL42"/>
          <cell r="BM42"/>
          <cell r="BN42"/>
          <cell r="BO42"/>
          <cell r="BP42" t="e">
            <v>#REF!</v>
          </cell>
          <cell r="BQ42"/>
          <cell r="BR42"/>
          <cell r="BS42"/>
          <cell r="BT42"/>
          <cell r="BU42">
            <v>0</v>
          </cell>
          <cell r="BV42"/>
          <cell r="BW42"/>
          <cell r="BX42"/>
          <cell r="BY42"/>
          <cell r="BZ42"/>
          <cell r="CA42" t="e">
            <v>#REF!</v>
          </cell>
          <cell r="CB42"/>
          <cell r="CC42"/>
          <cell r="CD42"/>
          <cell r="CE42"/>
          <cell r="CF42">
            <v>0</v>
          </cell>
          <cell r="CG42"/>
          <cell r="CH42"/>
          <cell r="CI42"/>
          <cell r="CJ42"/>
          <cell r="CK42"/>
          <cell r="CL42"/>
          <cell r="CM42"/>
          <cell r="CN42"/>
          <cell r="CO42"/>
          <cell r="CP42"/>
          <cell r="CQ42" t="e">
            <v>#REF!</v>
          </cell>
          <cell r="CR42"/>
          <cell r="CS42"/>
          <cell r="CT42"/>
          <cell r="CU42"/>
          <cell r="CV42" t="str">
            <v>38</v>
          </cell>
          <cell r="CW42"/>
          <cell r="CX42"/>
          <cell r="CY42">
            <v>303803</v>
          </cell>
          <cell r="CZ42">
            <v>303805</v>
          </cell>
          <cell r="DA42">
            <v>303807</v>
          </cell>
          <cell r="DB42">
            <v>303809</v>
          </cell>
          <cell r="DC42">
            <v>303811</v>
          </cell>
          <cell r="DD42">
            <v>303813</v>
          </cell>
        </row>
        <row r="43">
          <cell r="B43" t="str">
            <v>39</v>
          </cell>
          <cell r="C43"/>
          <cell r="D43" t="str">
            <v>Amortization - Leaseholds</v>
          </cell>
          <cell r="E43"/>
          <cell r="F43"/>
          <cell r="G43"/>
          <cell r="H43"/>
          <cell r="I43"/>
          <cell r="J43"/>
          <cell r="K43"/>
          <cell r="L43"/>
          <cell r="M43"/>
          <cell r="N43"/>
          <cell r="O43"/>
          <cell r="P43"/>
          <cell r="Q43"/>
          <cell r="R43" t="str">
            <v>0510</v>
          </cell>
          <cell r="S43">
            <v>0</v>
          </cell>
          <cell r="T43"/>
          <cell r="U43"/>
          <cell r="V43"/>
          <cell r="W43"/>
          <cell r="X43"/>
          <cell r="Y43"/>
          <cell r="Z43"/>
          <cell r="AA43"/>
          <cell r="AB43"/>
          <cell r="AC43"/>
          <cell r="AD43" t="e">
            <v>#REF!</v>
          </cell>
          <cell r="AE43"/>
          <cell r="AF43"/>
          <cell r="AG43"/>
          <cell r="AH43"/>
          <cell r="AI43">
            <v>0</v>
          </cell>
          <cell r="AJ43"/>
          <cell r="AK43"/>
          <cell r="AL43"/>
          <cell r="AM43"/>
          <cell r="AN43"/>
          <cell r="AO43"/>
          <cell r="AP43"/>
          <cell r="AQ43"/>
          <cell r="AR43"/>
          <cell r="AS43"/>
          <cell r="AT43" t="e">
            <v>#REF!</v>
          </cell>
          <cell r="AU43"/>
          <cell r="AV43"/>
          <cell r="AW43"/>
          <cell r="AX43"/>
          <cell r="AY43">
            <v>0</v>
          </cell>
          <cell r="AZ43"/>
          <cell r="BA43"/>
          <cell r="BB43"/>
          <cell r="BC43"/>
          <cell r="BD43"/>
          <cell r="BE43" t="e">
            <v>#REF!</v>
          </cell>
          <cell r="BF43"/>
          <cell r="BG43"/>
          <cell r="BH43"/>
          <cell r="BI43"/>
          <cell r="BJ43">
            <v>0</v>
          </cell>
          <cell r="BK43"/>
          <cell r="BL43"/>
          <cell r="BM43"/>
          <cell r="BN43"/>
          <cell r="BO43"/>
          <cell r="BP43" t="e">
            <v>#REF!</v>
          </cell>
          <cell r="BQ43"/>
          <cell r="BR43"/>
          <cell r="BS43"/>
          <cell r="BT43"/>
          <cell r="BU43">
            <v>0</v>
          </cell>
          <cell r="BV43"/>
          <cell r="BW43"/>
          <cell r="BX43"/>
          <cell r="BY43"/>
          <cell r="BZ43"/>
          <cell r="CA43" t="e">
            <v>#REF!</v>
          </cell>
          <cell r="CB43"/>
          <cell r="CC43"/>
          <cell r="CD43"/>
          <cell r="CE43"/>
          <cell r="CF43">
            <v>0</v>
          </cell>
          <cell r="CG43"/>
          <cell r="CH43"/>
          <cell r="CI43"/>
          <cell r="CJ43"/>
          <cell r="CK43"/>
          <cell r="CL43"/>
          <cell r="CM43"/>
          <cell r="CN43"/>
          <cell r="CO43"/>
          <cell r="CP43"/>
          <cell r="CQ43" t="e">
            <v>#REF!</v>
          </cell>
          <cell r="CR43"/>
          <cell r="CS43"/>
          <cell r="CT43"/>
          <cell r="CU43"/>
          <cell r="CV43" t="str">
            <v>39</v>
          </cell>
          <cell r="CW43"/>
          <cell r="CX43"/>
          <cell r="CY43">
            <v>303903</v>
          </cell>
          <cell r="CZ43">
            <v>303905</v>
          </cell>
          <cell r="DA43">
            <v>303907</v>
          </cell>
          <cell r="DB43">
            <v>303909</v>
          </cell>
          <cell r="DC43">
            <v>303911</v>
          </cell>
          <cell r="DD43">
            <v>303913</v>
          </cell>
        </row>
        <row r="44">
          <cell r="B44" t="str">
            <v>40</v>
          </cell>
          <cell r="C44"/>
          <cell r="D44" t="str">
            <v>Repair &amp; Maintenance - Real Estate</v>
          </cell>
          <cell r="E44"/>
          <cell r="F44"/>
          <cell r="G44"/>
          <cell r="H44"/>
          <cell r="I44"/>
          <cell r="J44"/>
          <cell r="K44"/>
          <cell r="L44"/>
          <cell r="M44"/>
          <cell r="N44"/>
          <cell r="O44"/>
          <cell r="P44"/>
          <cell r="Q44"/>
          <cell r="R44" t="str">
            <v>0520</v>
          </cell>
          <cell r="S44">
            <v>0</v>
          </cell>
          <cell r="T44"/>
          <cell r="U44"/>
          <cell r="V44"/>
          <cell r="W44"/>
          <cell r="X44"/>
          <cell r="Y44"/>
          <cell r="Z44"/>
          <cell r="AA44"/>
          <cell r="AB44"/>
          <cell r="AC44"/>
          <cell r="AD44" t="e">
            <v>#REF!</v>
          </cell>
          <cell r="AE44"/>
          <cell r="AF44"/>
          <cell r="AG44"/>
          <cell r="AH44"/>
          <cell r="AI44">
            <v>1169</v>
          </cell>
          <cell r="AJ44"/>
          <cell r="AK44"/>
          <cell r="AL44"/>
          <cell r="AM44"/>
          <cell r="AN44"/>
          <cell r="AO44"/>
          <cell r="AP44"/>
          <cell r="AQ44"/>
          <cell r="AR44"/>
          <cell r="AS44"/>
          <cell r="AT44" t="e">
            <v>#REF!</v>
          </cell>
          <cell r="AU44"/>
          <cell r="AV44"/>
          <cell r="AW44"/>
          <cell r="AX44"/>
          <cell r="AY44">
            <v>0</v>
          </cell>
          <cell r="AZ44"/>
          <cell r="BA44"/>
          <cell r="BB44"/>
          <cell r="BC44"/>
          <cell r="BD44"/>
          <cell r="BE44" t="e">
            <v>#REF!</v>
          </cell>
          <cell r="BF44"/>
          <cell r="BG44"/>
          <cell r="BH44"/>
          <cell r="BI44"/>
          <cell r="BJ44">
            <v>196</v>
          </cell>
          <cell r="BK44"/>
          <cell r="BL44"/>
          <cell r="BM44"/>
          <cell r="BN44"/>
          <cell r="BO44"/>
          <cell r="BP44" t="e">
            <v>#REF!</v>
          </cell>
          <cell r="BQ44"/>
          <cell r="BR44"/>
          <cell r="BS44"/>
          <cell r="BT44"/>
          <cell r="BU44">
            <v>0</v>
          </cell>
          <cell r="BV44"/>
          <cell r="BW44"/>
          <cell r="BX44"/>
          <cell r="BY44"/>
          <cell r="BZ44"/>
          <cell r="CA44" t="e">
            <v>#REF!</v>
          </cell>
          <cell r="CB44"/>
          <cell r="CC44"/>
          <cell r="CD44"/>
          <cell r="CE44"/>
          <cell r="CF44">
            <v>0</v>
          </cell>
          <cell r="CG44"/>
          <cell r="CH44"/>
          <cell r="CI44"/>
          <cell r="CJ44"/>
          <cell r="CK44"/>
          <cell r="CL44"/>
          <cell r="CM44"/>
          <cell r="CN44"/>
          <cell r="CO44"/>
          <cell r="CP44"/>
          <cell r="CQ44" t="e">
            <v>#REF!</v>
          </cell>
          <cell r="CR44"/>
          <cell r="CS44"/>
          <cell r="CT44"/>
          <cell r="CU44"/>
          <cell r="CV44" t="str">
            <v>40</v>
          </cell>
          <cell r="CW44"/>
          <cell r="CX44"/>
          <cell r="CY44">
            <v>304003</v>
          </cell>
          <cell r="CZ44">
            <v>304005</v>
          </cell>
          <cell r="DA44">
            <v>304007</v>
          </cell>
          <cell r="DB44">
            <v>304009</v>
          </cell>
          <cell r="DC44">
            <v>304011</v>
          </cell>
          <cell r="DD44">
            <v>304013</v>
          </cell>
        </row>
        <row r="45">
          <cell r="B45" t="str">
            <v>41</v>
          </cell>
          <cell r="C45"/>
          <cell r="D45" t="str">
            <v>Depreciation - Buildings &amp; Improvements</v>
          </cell>
          <cell r="E45"/>
          <cell r="F45"/>
          <cell r="G45"/>
          <cell r="H45"/>
          <cell r="I45"/>
          <cell r="J45"/>
          <cell r="K45"/>
          <cell r="L45"/>
          <cell r="M45"/>
          <cell r="N45"/>
          <cell r="O45"/>
          <cell r="P45"/>
          <cell r="Q45"/>
          <cell r="R45" t="str">
            <v>0530</v>
          </cell>
          <cell r="S45">
            <v>304</v>
          </cell>
          <cell r="T45"/>
          <cell r="U45"/>
          <cell r="V45"/>
          <cell r="W45"/>
          <cell r="X45"/>
          <cell r="Y45"/>
          <cell r="Z45"/>
          <cell r="AA45"/>
          <cell r="AB45"/>
          <cell r="AC45"/>
          <cell r="AD45" t="e">
            <v>#REF!</v>
          </cell>
          <cell r="AE45"/>
          <cell r="AF45"/>
          <cell r="AG45"/>
          <cell r="AH45"/>
          <cell r="AI45">
            <v>2252</v>
          </cell>
          <cell r="AJ45"/>
          <cell r="AK45"/>
          <cell r="AL45"/>
          <cell r="AM45"/>
          <cell r="AN45"/>
          <cell r="AO45"/>
          <cell r="AP45"/>
          <cell r="AQ45"/>
          <cell r="AR45"/>
          <cell r="AS45"/>
          <cell r="AT45" t="e">
            <v>#REF!</v>
          </cell>
          <cell r="AU45"/>
          <cell r="AV45"/>
          <cell r="AW45"/>
          <cell r="AX45"/>
          <cell r="AY45">
            <v>152</v>
          </cell>
          <cell r="AZ45"/>
          <cell r="BA45"/>
          <cell r="BB45"/>
          <cell r="BC45"/>
          <cell r="BD45"/>
          <cell r="BE45" t="e">
            <v>#REF!</v>
          </cell>
          <cell r="BF45"/>
          <cell r="BG45"/>
          <cell r="BH45"/>
          <cell r="BI45"/>
          <cell r="BJ45">
            <v>1126</v>
          </cell>
          <cell r="BK45"/>
          <cell r="BL45"/>
          <cell r="BM45"/>
          <cell r="BN45"/>
          <cell r="BO45"/>
          <cell r="BP45" t="e">
            <v>#REF!</v>
          </cell>
          <cell r="BQ45"/>
          <cell r="BR45"/>
          <cell r="BS45"/>
          <cell r="BT45"/>
          <cell r="BU45">
            <v>0</v>
          </cell>
          <cell r="BV45"/>
          <cell r="BW45"/>
          <cell r="BX45"/>
          <cell r="BY45"/>
          <cell r="BZ45"/>
          <cell r="CA45" t="e">
            <v>#REF!</v>
          </cell>
          <cell r="CB45"/>
          <cell r="CC45"/>
          <cell r="CD45"/>
          <cell r="CE45"/>
          <cell r="CF45">
            <v>0</v>
          </cell>
          <cell r="CG45"/>
          <cell r="CH45"/>
          <cell r="CI45"/>
          <cell r="CJ45"/>
          <cell r="CK45"/>
          <cell r="CL45"/>
          <cell r="CM45"/>
          <cell r="CN45"/>
          <cell r="CO45"/>
          <cell r="CP45"/>
          <cell r="CQ45" t="e">
            <v>#REF!</v>
          </cell>
          <cell r="CR45"/>
          <cell r="CS45"/>
          <cell r="CT45"/>
          <cell r="CU45"/>
          <cell r="CV45" t="str">
            <v>41</v>
          </cell>
          <cell r="CW45"/>
          <cell r="CX45"/>
          <cell r="CY45">
            <v>304103</v>
          </cell>
          <cell r="CZ45">
            <v>304105</v>
          </cell>
          <cell r="DA45">
            <v>304107</v>
          </cell>
          <cell r="DB45">
            <v>304109</v>
          </cell>
          <cell r="DC45">
            <v>304111</v>
          </cell>
          <cell r="DD45">
            <v>304113</v>
          </cell>
        </row>
        <row r="46">
          <cell r="B46" t="str">
            <v>42</v>
          </cell>
          <cell r="C46"/>
          <cell r="D46" t="str">
            <v>Insurance - Buildings &amp; Improvements</v>
          </cell>
          <cell r="E46"/>
          <cell r="F46"/>
          <cell r="G46"/>
          <cell r="H46"/>
          <cell r="I46"/>
          <cell r="J46"/>
          <cell r="K46"/>
          <cell r="L46"/>
          <cell r="M46"/>
          <cell r="N46"/>
          <cell r="O46"/>
          <cell r="P46"/>
          <cell r="Q46"/>
          <cell r="R46" t="str">
            <v>0540</v>
          </cell>
          <cell r="S46">
            <v>0</v>
          </cell>
          <cell r="T46"/>
          <cell r="U46"/>
          <cell r="V46"/>
          <cell r="W46"/>
          <cell r="X46"/>
          <cell r="Y46"/>
          <cell r="Z46"/>
          <cell r="AA46"/>
          <cell r="AB46"/>
          <cell r="AC46"/>
          <cell r="AD46" t="e">
            <v>#REF!</v>
          </cell>
          <cell r="AE46"/>
          <cell r="AF46"/>
          <cell r="AG46"/>
          <cell r="AH46"/>
          <cell r="AI46">
            <v>0</v>
          </cell>
          <cell r="AJ46"/>
          <cell r="AK46"/>
          <cell r="AL46"/>
          <cell r="AM46"/>
          <cell r="AN46"/>
          <cell r="AO46"/>
          <cell r="AP46"/>
          <cell r="AQ46"/>
          <cell r="AR46"/>
          <cell r="AS46"/>
          <cell r="AT46" t="e">
            <v>#REF!</v>
          </cell>
          <cell r="AU46"/>
          <cell r="AV46"/>
          <cell r="AW46"/>
          <cell r="AX46"/>
          <cell r="AY46">
            <v>0</v>
          </cell>
          <cell r="AZ46"/>
          <cell r="BA46"/>
          <cell r="BB46"/>
          <cell r="BC46"/>
          <cell r="BD46"/>
          <cell r="BE46" t="e">
            <v>#REF!</v>
          </cell>
          <cell r="BF46"/>
          <cell r="BG46"/>
          <cell r="BH46"/>
          <cell r="BI46"/>
          <cell r="BJ46">
            <v>0</v>
          </cell>
          <cell r="BK46"/>
          <cell r="BL46"/>
          <cell r="BM46"/>
          <cell r="BN46"/>
          <cell r="BO46"/>
          <cell r="BP46" t="e">
            <v>#REF!</v>
          </cell>
          <cell r="BQ46"/>
          <cell r="BR46"/>
          <cell r="BS46"/>
          <cell r="BT46"/>
          <cell r="BU46">
            <v>0</v>
          </cell>
          <cell r="BV46"/>
          <cell r="BW46"/>
          <cell r="BX46"/>
          <cell r="BY46"/>
          <cell r="BZ46"/>
          <cell r="CA46" t="e">
            <v>#REF!</v>
          </cell>
          <cell r="CB46"/>
          <cell r="CC46"/>
          <cell r="CD46"/>
          <cell r="CE46"/>
          <cell r="CF46">
            <v>0</v>
          </cell>
          <cell r="CG46"/>
          <cell r="CH46"/>
          <cell r="CI46"/>
          <cell r="CJ46"/>
          <cell r="CK46"/>
          <cell r="CL46"/>
          <cell r="CM46"/>
          <cell r="CN46"/>
          <cell r="CO46"/>
          <cell r="CP46"/>
          <cell r="CQ46" t="e">
            <v>#REF!</v>
          </cell>
          <cell r="CR46"/>
          <cell r="CS46"/>
          <cell r="CT46"/>
          <cell r="CU46"/>
          <cell r="CV46" t="str">
            <v>42</v>
          </cell>
          <cell r="CW46"/>
          <cell r="CX46"/>
          <cell r="CY46">
            <v>304203</v>
          </cell>
          <cell r="CZ46">
            <v>304205</v>
          </cell>
          <cell r="DA46">
            <v>304207</v>
          </cell>
          <cell r="DB46">
            <v>304209</v>
          </cell>
          <cell r="DC46">
            <v>304211</v>
          </cell>
          <cell r="DD46">
            <v>304213</v>
          </cell>
        </row>
        <row r="47">
          <cell r="B47" t="str">
            <v>43</v>
          </cell>
          <cell r="C47"/>
          <cell r="D47" t="str">
            <v>Taxes - Real Estate</v>
          </cell>
          <cell r="E47"/>
          <cell r="F47"/>
          <cell r="G47"/>
          <cell r="H47"/>
          <cell r="I47"/>
          <cell r="J47"/>
          <cell r="K47"/>
          <cell r="L47"/>
          <cell r="M47"/>
          <cell r="N47"/>
          <cell r="O47"/>
          <cell r="P47"/>
          <cell r="Q47"/>
          <cell r="R47" t="str">
            <v>0550</v>
          </cell>
          <cell r="S47">
            <v>1390</v>
          </cell>
          <cell r="T47"/>
          <cell r="U47"/>
          <cell r="V47"/>
          <cell r="W47"/>
          <cell r="X47"/>
          <cell r="Y47"/>
          <cell r="Z47"/>
          <cell r="AA47"/>
          <cell r="AB47"/>
          <cell r="AC47"/>
          <cell r="AD47" t="e">
            <v>#REF!</v>
          </cell>
          <cell r="AE47"/>
          <cell r="AF47"/>
          <cell r="AG47"/>
          <cell r="AH47"/>
          <cell r="AI47">
            <v>6926</v>
          </cell>
          <cell r="AJ47"/>
          <cell r="AK47"/>
          <cell r="AL47"/>
          <cell r="AM47"/>
          <cell r="AN47"/>
          <cell r="AO47"/>
          <cell r="AP47"/>
          <cell r="AQ47"/>
          <cell r="AR47"/>
          <cell r="AS47"/>
          <cell r="AT47" t="e">
            <v>#REF!</v>
          </cell>
          <cell r="AU47"/>
          <cell r="AV47"/>
          <cell r="AW47"/>
          <cell r="AX47"/>
          <cell r="AY47">
            <v>590</v>
          </cell>
          <cell r="AZ47"/>
          <cell r="BA47"/>
          <cell r="BB47"/>
          <cell r="BC47"/>
          <cell r="BD47"/>
          <cell r="BE47" t="e">
            <v>#REF!</v>
          </cell>
          <cell r="BF47"/>
          <cell r="BG47"/>
          <cell r="BH47"/>
          <cell r="BI47"/>
          <cell r="BJ47">
            <v>2845</v>
          </cell>
          <cell r="BK47"/>
          <cell r="BL47"/>
          <cell r="BM47"/>
          <cell r="BN47"/>
          <cell r="BO47"/>
          <cell r="BP47" t="e">
            <v>#REF!</v>
          </cell>
          <cell r="BQ47"/>
          <cell r="BR47"/>
          <cell r="BS47"/>
          <cell r="BT47"/>
          <cell r="BU47">
            <v>0</v>
          </cell>
          <cell r="BV47"/>
          <cell r="BW47"/>
          <cell r="BX47"/>
          <cell r="BY47"/>
          <cell r="BZ47"/>
          <cell r="CA47" t="e">
            <v>#REF!</v>
          </cell>
          <cell r="CB47"/>
          <cell r="CC47"/>
          <cell r="CD47"/>
          <cell r="CE47"/>
          <cell r="CF47">
            <v>0</v>
          </cell>
          <cell r="CG47"/>
          <cell r="CH47"/>
          <cell r="CI47"/>
          <cell r="CJ47"/>
          <cell r="CK47"/>
          <cell r="CL47"/>
          <cell r="CM47"/>
          <cell r="CN47"/>
          <cell r="CO47"/>
          <cell r="CP47"/>
          <cell r="CQ47" t="e">
            <v>#REF!</v>
          </cell>
          <cell r="CR47"/>
          <cell r="CS47"/>
          <cell r="CT47"/>
          <cell r="CU47"/>
          <cell r="CV47" t="str">
            <v>43</v>
          </cell>
          <cell r="CW47"/>
          <cell r="CX47"/>
          <cell r="CY47">
            <v>304303</v>
          </cell>
          <cell r="CZ47">
            <v>304305</v>
          </cell>
          <cell r="DA47">
            <v>304307</v>
          </cell>
          <cell r="DB47">
            <v>304309</v>
          </cell>
          <cell r="DC47">
            <v>304311</v>
          </cell>
          <cell r="DD47">
            <v>304313</v>
          </cell>
        </row>
        <row r="48">
          <cell r="B48" t="str">
            <v>44</v>
          </cell>
          <cell r="C48"/>
          <cell r="D48" t="str">
            <v>Heat, Light, Power &amp; Water</v>
          </cell>
          <cell r="E48"/>
          <cell r="F48"/>
          <cell r="G48"/>
          <cell r="H48"/>
          <cell r="I48"/>
          <cell r="J48"/>
          <cell r="K48"/>
          <cell r="L48"/>
          <cell r="M48"/>
          <cell r="N48"/>
          <cell r="O48"/>
          <cell r="P48"/>
          <cell r="Q48"/>
          <cell r="R48" t="str">
            <v>0570</v>
          </cell>
          <cell r="S48">
            <v>3717</v>
          </cell>
          <cell r="T48"/>
          <cell r="U48"/>
          <cell r="V48"/>
          <cell r="W48"/>
          <cell r="X48"/>
          <cell r="Y48"/>
          <cell r="Z48"/>
          <cell r="AA48"/>
          <cell r="AB48"/>
          <cell r="AC48"/>
          <cell r="AD48" t="e">
            <v>#REF!</v>
          </cell>
          <cell r="AE48"/>
          <cell r="AF48"/>
          <cell r="AG48"/>
          <cell r="AH48"/>
          <cell r="AI48">
            <v>35092</v>
          </cell>
          <cell r="AJ48"/>
          <cell r="AK48"/>
          <cell r="AL48"/>
          <cell r="AM48"/>
          <cell r="AN48"/>
          <cell r="AO48"/>
          <cell r="AP48"/>
          <cell r="AQ48"/>
          <cell r="AR48"/>
          <cell r="AS48"/>
          <cell r="AT48" t="e">
            <v>#REF!</v>
          </cell>
          <cell r="AU48"/>
          <cell r="AV48"/>
          <cell r="AW48"/>
          <cell r="AX48"/>
          <cell r="AY48">
            <v>1577</v>
          </cell>
          <cell r="AZ48"/>
          <cell r="BA48"/>
          <cell r="BB48"/>
          <cell r="BC48"/>
          <cell r="BD48"/>
          <cell r="BE48" t="e">
            <v>#REF!</v>
          </cell>
          <cell r="BF48"/>
          <cell r="BG48"/>
          <cell r="BH48"/>
          <cell r="BI48"/>
          <cell r="BJ48">
            <v>14359</v>
          </cell>
          <cell r="BK48"/>
          <cell r="BL48"/>
          <cell r="BM48"/>
          <cell r="BN48"/>
          <cell r="BO48"/>
          <cell r="BP48" t="e">
            <v>#REF!</v>
          </cell>
          <cell r="BQ48"/>
          <cell r="BR48"/>
          <cell r="BS48"/>
          <cell r="BT48"/>
          <cell r="BU48">
            <v>0</v>
          </cell>
          <cell r="BV48"/>
          <cell r="BW48"/>
          <cell r="BX48"/>
          <cell r="BY48"/>
          <cell r="BZ48"/>
          <cell r="CA48" t="e">
            <v>#REF!</v>
          </cell>
          <cell r="CB48"/>
          <cell r="CC48"/>
          <cell r="CD48"/>
          <cell r="CE48"/>
          <cell r="CF48">
            <v>0</v>
          </cell>
          <cell r="CG48"/>
          <cell r="CH48"/>
          <cell r="CI48"/>
          <cell r="CJ48"/>
          <cell r="CK48"/>
          <cell r="CL48"/>
          <cell r="CM48"/>
          <cell r="CN48"/>
          <cell r="CO48"/>
          <cell r="CP48"/>
          <cell r="CQ48" t="e">
            <v>#REF!</v>
          </cell>
          <cell r="CR48"/>
          <cell r="CS48"/>
          <cell r="CT48"/>
          <cell r="CU48"/>
          <cell r="CV48" t="str">
            <v>44</v>
          </cell>
          <cell r="CW48"/>
          <cell r="CX48"/>
          <cell r="CY48">
            <v>304403</v>
          </cell>
          <cell r="CZ48">
            <v>304405</v>
          </cell>
          <cell r="DA48">
            <v>304407</v>
          </cell>
          <cell r="DB48">
            <v>304409</v>
          </cell>
          <cell r="DC48">
            <v>304411</v>
          </cell>
          <cell r="DD48">
            <v>304413</v>
          </cell>
        </row>
        <row r="49">
          <cell r="B49" t="str">
            <v>45</v>
          </cell>
          <cell r="C49"/>
          <cell r="D49" t="str">
            <v>SUBTOTAL - RENT &amp; RENT EQUIV. EXP.</v>
          </cell>
          <cell r="E49"/>
          <cell r="F49"/>
          <cell r="G49"/>
          <cell r="H49"/>
          <cell r="I49"/>
          <cell r="J49"/>
          <cell r="K49"/>
          <cell r="L49"/>
          <cell r="M49"/>
          <cell r="N49"/>
          <cell r="O49"/>
          <cell r="P49"/>
          <cell r="Q49" t="str">
            <v xml:space="preserve">(Lines 38 to 44) </v>
          </cell>
          <cell r="R49"/>
          <cell r="S49">
            <v>25121</v>
          </cell>
          <cell r="T49"/>
          <cell r="U49"/>
          <cell r="V49"/>
          <cell r="W49"/>
          <cell r="X49"/>
          <cell r="Y49"/>
          <cell r="Z49"/>
          <cell r="AA49"/>
          <cell r="AB49"/>
          <cell r="AC49"/>
          <cell r="AD49" t="e">
            <v>#REF!</v>
          </cell>
          <cell r="AE49"/>
          <cell r="AF49"/>
          <cell r="AG49"/>
          <cell r="AH49"/>
          <cell r="AI49">
            <v>278911</v>
          </cell>
          <cell r="AJ49"/>
          <cell r="AK49"/>
          <cell r="AL49"/>
          <cell r="AM49"/>
          <cell r="AN49"/>
          <cell r="AO49"/>
          <cell r="AP49"/>
          <cell r="AQ49"/>
          <cell r="AR49"/>
          <cell r="AS49"/>
          <cell r="AT49" t="e">
            <v>#REF!</v>
          </cell>
          <cell r="AU49"/>
          <cell r="AV49"/>
          <cell r="AW49"/>
          <cell r="AX49"/>
          <cell r="AY49">
            <v>10349</v>
          </cell>
          <cell r="AZ49"/>
          <cell r="BA49"/>
          <cell r="BB49"/>
          <cell r="BC49"/>
          <cell r="BD49"/>
          <cell r="BE49" t="e">
            <v>#REF!</v>
          </cell>
          <cell r="BF49"/>
          <cell r="BG49"/>
          <cell r="BH49"/>
          <cell r="BI49"/>
          <cell r="BJ49">
            <v>113644</v>
          </cell>
          <cell r="BK49"/>
          <cell r="BL49"/>
          <cell r="BM49"/>
          <cell r="BN49"/>
          <cell r="BO49"/>
          <cell r="BP49" t="e">
            <v>#REF!</v>
          </cell>
          <cell r="BQ49"/>
          <cell r="BR49"/>
          <cell r="BS49"/>
          <cell r="BT49"/>
          <cell r="BU49">
            <v>0</v>
          </cell>
          <cell r="BV49"/>
          <cell r="BW49"/>
          <cell r="BX49"/>
          <cell r="BY49"/>
          <cell r="BZ49"/>
          <cell r="CA49" t="e">
            <v>#REF!</v>
          </cell>
          <cell r="CB49"/>
          <cell r="CC49"/>
          <cell r="CD49"/>
          <cell r="CE49"/>
          <cell r="CF49">
            <v>0</v>
          </cell>
          <cell r="CG49"/>
          <cell r="CH49"/>
          <cell r="CI49"/>
          <cell r="CJ49"/>
          <cell r="CK49"/>
          <cell r="CL49"/>
          <cell r="CM49"/>
          <cell r="CN49"/>
          <cell r="CO49"/>
          <cell r="CP49"/>
          <cell r="CQ49" t="e">
            <v>#REF!</v>
          </cell>
          <cell r="CR49"/>
          <cell r="CS49"/>
          <cell r="CT49"/>
          <cell r="CU49"/>
          <cell r="CV49" t="str">
            <v>45</v>
          </cell>
          <cell r="CW49"/>
          <cell r="CX49"/>
          <cell r="CY49">
            <v>304503</v>
          </cell>
          <cell r="CZ49">
            <v>304505</v>
          </cell>
          <cell r="DA49">
            <v>304507</v>
          </cell>
          <cell r="DB49">
            <v>304509</v>
          </cell>
          <cell r="DC49">
            <v>304511</v>
          </cell>
          <cell r="DD49">
            <v>304513</v>
          </cell>
        </row>
        <row r="50">
          <cell r="B50" t="str">
            <v>46</v>
          </cell>
          <cell r="C50"/>
          <cell r="D50" t="str">
            <v>Management Fees</v>
          </cell>
          <cell r="E50"/>
          <cell r="F50"/>
          <cell r="G50"/>
          <cell r="H50"/>
          <cell r="I50"/>
          <cell r="J50"/>
          <cell r="K50"/>
          <cell r="L50"/>
          <cell r="M50"/>
          <cell r="N50"/>
          <cell r="O50"/>
          <cell r="P50"/>
          <cell r="Q50"/>
          <cell r="R50" t="str">
            <v>0600</v>
          </cell>
          <cell r="S50">
            <v>0</v>
          </cell>
          <cell r="T50"/>
          <cell r="U50"/>
          <cell r="V50"/>
          <cell r="W50"/>
          <cell r="X50"/>
          <cell r="Y50"/>
          <cell r="Z50"/>
          <cell r="AA50"/>
          <cell r="AB50"/>
          <cell r="AC50"/>
          <cell r="AD50" t="e">
            <v>#REF!</v>
          </cell>
          <cell r="AE50"/>
          <cell r="AF50"/>
          <cell r="AG50"/>
          <cell r="AH50"/>
          <cell r="AI50">
            <v>0</v>
          </cell>
          <cell r="AJ50"/>
          <cell r="AK50"/>
          <cell r="AL50"/>
          <cell r="AM50"/>
          <cell r="AN50"/>
          <cell r="AO50"/>
          <cell r="AP50"/>
          <cell r="AQ50"/>
          <cell r="AR50"/>
          <cell r="AS50"/>
          <cell r="AT50" t="e">
            <v>#REF!</v>
          </cell>
          <cell r="AU50"/>
          <cell r="AV50"/>
          <cell r="AW50"/>
          <cell r="AX50"/>
          <cell r="AY50">
            <v>0</v>
          </cell>
          <cell r="AZ50"/>
          <cell r="BA50"/>
          <cell r="BB50"/>
          <cell r="BC50"/>
          <cell r="BD50"/>
          <cell r="BE50" t="e">
            <v>#REF!</v>
          </cell>
          <cell r="BF50"/>
          <cell r="BG50"/>
          <cell r="BH50"/>
          <cell r="BI50"/>
          <cell r="BJ50">
            <v>0</v>
          </cell>
          <cell r="BK50"/>
          <cell r="BL50"/>
          <cell r="BM50"/>
          <cell r="BN50"/>
          <cell r="BO50"/>
          <cell r="BP50" t="e">
            <v>#REF!</v>
          </cell>
          <cell r="BQ50"/>
          <cell r="BR50"/>
          <cell r="BS50"/>
          <cell r="BT50"/>
          <cell r="BU50">
            <v>0</v>
          </cell>
          <cell r="BV50"/>
          <cell r="BW50"/>
          <cell r="BX50"/>
          <cell r="BY50"/>
          <cell r="BZ50"/>
          <cell r="CA50" t="e">
            <v>#REF!</v>
          </cell>
          <cell r="CB50"/>
          <cell r="CC50"/>
          <cell r="CD50"/>
          <cell r="CE50"/>
          <cell r="CF50">
            <v>0</v>
          </cell>
          <cell r="CG50"/>
          <cell r="CH50"/>
          <cell r="CI50"/>
          <cell r="CJ50"/>
          <cell r="CK50"/>
          <cell r="CL50"/>
          <cell r="CM50"/>
          <cell r="CN50"/>
          <cell r="CO50"/>
          <cell r="CP50"/>
          <cell r="CQ50" t="e">
            <v>#REF!</v>
          </cell>
          <cell r="CR50"/>
          <cell r="CS50"/>
          <cell r="CT50"/>
          <cell r="CU50"/>
          <cell r="CV50" t="str">
            <v>46</v>
          </cell>
          <cell r="CW50"/>
          <cell r="CX50"/>
          <cell r="CY50">
            <v>304603</v>
          </cell>
          <cell r="CZ50">
            <v>304605</v>
          </cell>
          <cell r="DA50">
            <v>304607</v>
          </cell>
          <cell r="DB50">
            <v>304609</v>
          </cell>
          <cell r="DC50">
            <v>304611</v>
          </cell>
          <cell r="DD50">
            <v>304613</v>
          </cell>
        </row>
        <row r="51">
          <cell r="B51" t="str">
            <v>47</v>
          </cell>
          <cell r="C51"/>
          <cell r="D51" t="str">
            <v>Equipment - Repairs &amp; Rental</v>
          </cell>
          <cell r="E51"/>
          <cell r="F51"/>
          <cell r="G51"/>
          <cell r="H51"/>
          <cell r="I51"/>
          <cell r="J51"/>
          <cell r="K51"/>
          <cell r="L51"/>
          <cell r="M51"/>
          <cell r="N51"/>
          <cell r="O51"/>
          <cell r="P51"/>
          <cell r="Q51"/>
          <cell r="R51" t="str">
            <v>0620</v>
          </cell>
          <cell r="S51">
            <v>1236</v>
          </cell>
          <cell r="T51"/>
          <cell r="U51"/>
          <cell r="V51"/>
          <cell r="W51"/>
          <cell r="X51"/>
          <cell r="Y51"/>
          <cell r="Z51"/>
          <cell r="AA51"/>
          <cell r="AB51"/>
          <cell r="AC51"/>
          <cell r="AD51" t="e">
            <v>#REF!</v>
          </cell>
          <cell r="AE51"/>
          <cell r="AF51"/>
          <cell r="AG51"/>
          <cell r="AH51"/>
          <cell r="AI51">
            <v>27881</v>
          </cell>
          <cell r="AJ51"/>
          <cell r="AK51"/>
          <cell r="AL51"/>
          <cell r="AM51"/>
          <cell r="AN51"/>
          <cell r="AO51"/>
          <cell r="AP51"/>
          <cell r="AQ51"/>
          <cell r="AR51"/>
          <cell r="AS51"/>
          <cell r="AT51" t="e">
            <v>#REF!</v>
          </cell>
          <cell r="AU51"/>
          <cell r="AV51"/>
          <cell r="AW51"/>
          <cell r="AX51"/>
          <cell r="AY51">
            <v>521</v>
          </cell>
          <cell r="AZ51"/>
          <cell r="BA51"/>
          <cell r="BB51"/>
          <cell r="BC51"/>
          <cell r="BD51"/>
          <cell r="BE51" t="e">
            <v>#REF!</v>
          </cell>
          <cell r="BF51"/>
          <cell r="BG51"/>
          <cell r="BH51"/>
          <cell r="BI51"/>
          <cell r="BJ51">
            <v>4452</v>
          </cell>
          <cell r="BK51"/>
          <cell r="BL51"/>
          <cell r="BM51"/>
          <cell r="BN51"/>
          <cell r="BO51"/>
          <cell r="BP51" t="e">
            <v>#REF!</v>
          </cell>
          <cell r="BQ51"/>
          <cell r="BR51"/>
          <cell r="BS51"/>
          <cell r="BT51"/>
          <cell r="BU51">
            <v>0</v>
          </cell>
          <cell r="BV51"/>
          <cell r="BW51"/>
          <cell r="BX51"/>
          <cell r="BY51"/>
          <cell r="BZ51"/>
          <cell r="CA51" t="e">
            <v>#REF!</v>
          </cell>
          <cell r="CB51"/>
          <cell r="CC51"/>
          <cell r="CD51"/>
          <cell r="CE51"/>
          <cell r="CF51">
            <v>0</v>
          </cell>
          <cell r="CG51"/>
          <cell r="CH51"/>
          <cell r="CI51"/>
          <cell r="CJ51"/>
          <cell r="CK51"/>
          <cell r="CL51"/>
          <cell r="CM51"/>
          <cell r="CN51"/>
          <cell r="CO51"/>
          <cell r="CP51"/>
          <cell r="CQ51" t="e">
            <v>#REF!</v>
          </cell>
          <cell r="CR51"/>
          <cell r="CS51"/>
          <cell r="CT51"/>
          <cell r="CU51"/>
          <cell r="CV51" t="str">
            <v>47</v>
          </cell>
          <cell r="CW51"/>
          <cell r="CX51"/>
          <cell r="CY51">
            <v>304703</v>
          </cell>
          <cell r="CZ51">
            <v>304705</v>
          </cell>
          <cell r="DA51">
            <v>304707</v>
          </cell>
          <cell r="DB51">
            <v>304709</v>
          </cell>
          <cell r="DC51">
            <v>304711</v>
          </cell>
          <cell r="DD51">
            <v>304713</v>
          </cell>
        </row>
        <row r="52">
          <cell r="B52" t="str">
            <v>48</v>
          </cell>
          <cell r="C52"/>
          <cell r="D52" t="str">
            <v>Depreciation - Other than Buildings &amp; Improvements</v>
          </cell>
          <cell r="E52"/>
          <cell r="F52"/>
          <cell r="G52"/>
          <cell r="H52"/>
          <cell r="I52"/>
          <cell r="J52"/>
          <cell r="K52"/>
          <cell r="L52"/>
          <cell r="M52"/>
          <cell r="N52"/>
          <cell r="O52"/>
          <cell r="P52"/>
          <cell r="Q52"/>
          <cell r="R52" t="str">
            <v>0630</v>
          </cell>
          <cell r="S52">
            <v>5989</v>
          </cell>
          <cell r="T52"/>
          <cell r="U52"/>
          <cell r="V52"/>
          <cell r="W52"/>
          <cell r="X52"/>
          <cell r="Y52"/>
          <cell r="Z52"/>
          <cell r="AA52"/>
          <cell r="AB52"/>
          <cell r="AC52"/>
          <cell r="AD52" t="e">
            <v>#REF!</v>
          </cell>
          <cell r="AE52"/>
          <cell r="AF52"/>
          <cell r="AG52"/>
          <cell r="AH52"/>
          <cell r="AI52">
            <v>69016</v>
          </cell>
          <cell r="AJ52"/>
          <cell r="AK52"/>
          <cell r="AL52"/>
          <cell r="AM52"/>
          <cell r="AN52"/>
          <cell r="AO52"/>
          <cell r="AP52"/>
          <cell r="AQ52"/>
          <cell r="AR52"/>
          <cell r="AS52"/>
          <cell r="AT52" t="e">
            <v>#REF!</v>
          </cell>
          <cell r="AU52"/>
          <cell r="AV52"/>
          <cell r="AW52"/>
          <cell r="AX52"/>
          <cell r="AY52">
            <v>1121</v>
          </cell>
          <cell r="AZ52"/>
          <cell r="BA52"/>
          <cell r="BB52"/>
          <cell r="BC52"/>
          <cell r="BD52"/>
          <cell r="BE52" t="e">
            <v>#REF!</v>
          </cell>
          <cell r="BF52"/>
          <cell r="BG52"/>
          <cell r="BH52"/>
          <cell r="BI52"/>
          <cell r="BJ52">
            <v>12440</v>
          </cell>
          <cell r="BK52"/>
          <cell r="BL52"/>
          <cell r="BM52"/>
          <cell r="BN52"/>
          <cell r="BO52"/>
          <cell r="BP52" t="e">
            <v>#REF!</v>
          </cell>
          <cell r="BQ52"/>
          <cell r="BR52"/>
          <cell r="BS52"/>
          <cell r="BT52"/>
          <cell r="BU52">
            <v>0</v>
          </cell>
          <cell r="BV52"/>
          <cell r="BW52"/>
          <cell r="BX52"/>
          <cell r="BY52"/>
          <cell r="BZ52"/>
          <cell r="CA52" t="e">
            <v>#REF!</v>
          </cell>
          <cell r="CB52"/>
          <cell r="CC52"/>
          <cell r="CD52"/>
          <cell r="CE52"/>
          <cell r="CF52">
            <v>0</v>
          </cell>
          <cell r="CG52"/>
          <cell r="CH52"/>
          <cell r="CI52"/>
          <cell r="CJ52"/>
          <cell r="CK52"/>
          <cell r="CL52"/>
          <cell r="CM52"/>
          <cell r="CN52"/>
          <cell r="CO52"/>
          <cell r="CP52"/>
          <cell r="CQ52" t="e">
            <v>#REF!</v>
          </cell>
          <cell r="CR52"/>
          <cell r="CS52"/>
          <cell r="CT52"/>
          <cell r="CU52"/>
          <cell r="CV52" t="str">
            <v>48</v>
          </cell>
          <cell r="CW52"/>
          <cell r="CX52"/>
          <cell r="CY52">
            <v>304803</v>
          </cell>
          <cell r="CZ52">
            <v>304805</v>
          </cell>
          <cell r="DA52">
            <v>304807</v>
          </cell>
          <cell r="DB52">
            <v>304809</v>
          </cell>
          <cell r="DC52">
            <v>304811</v>
          </cell>
          <cell r="DD52">
            <v>304813</v>
          </cell>
        </row>
        <row r="53">
          <cell r="B53" t="str">
            <v>49</v>
          </cell>
          <cell r="C53"/>
          <cell r="D53" t="str">
            <v>Insurance - Other than Buildings &amp; Improvements</v>
          </cell>
          <cell r="E53"/>
          <cell r="F53"/>
          <cell r="G53"/>
          <cell r="H53"/>
          <cell r="I53"/>
          <cell r="J53"/>
          <cell r="K53"/>
          <cell r="L53"/>
          <cell r="M53"/>
          <cell r="N53"/>
          <cell r="O53"/>
          <cell r="P53"/>
          <cell r="Q53"/>
          <cell r="R53" t="str">
            <v>0640</v>
          </cell>
          <cell r="S53">
            <v>3310</v>
          </cell>
          <cell r="T53"/>
          <cell r="U53"/>
          <cell r="V53"/>
          <cell r="W53"/>
          <cell r="X53"/>
          <cell r="Y53"/>
          <cell r="Z53"/>
          <cell r="AA53"/>
          <cell r="AB53"/>
          <cell r="AC53"/>
          <cell r="AD53" t="e">
            <v>#REF!</v>
          </cell>
          <cell r="AE53"/>
          <cell r="AF53"/>
          <cell r="AG53"/>
          <cell r="AH53"/>
          <cell r="AI53">
            <v>25673</v>
          </cell>
          <cell r="AJ53"/>
          <cell r="AK53"/>
          <cell r="AL53"/>
          <cell r="AM53"/>
          <cell r="AN53"/>
          <cell r="AO53"/>
          <cell r="AP53"/>
          <cell r="AQ53"/>
          <cell r="AR53"/>
          <cell r="AS53"/>
          <cell r="AT53" t="e">
            <v>#REF!</v>
          </cell>
          <cell r="AU53"/>
          <cell r="AV53"/>
          <cell r="AW53"/>
          <cell r="AX53"/>
          <cell r="AY53">
            <v>1291</v>
          </cell>
          <cell r="AZ53"/>
          <cell r="BA53"/>
          <cell r="BB53"/>
          <cell r="BC53"/>
          <cell r="BD53"/>
          <cell r="BE53" t="e">
            <v>#REF!</v>
          </cell>
          <cell r="BF53"/>
          <cell r="BG53"/>
          <cell r="BH53"/>
          <cell r="BI53"/>
          <cell r="BJ53">
            <v>8745</v>
          </cell>
          <cell r="BK53"/>
          <cell r="BL53"/>
          <cell r="BM53"/>
          <cell r="BN53"/>
          <cell r="BO53"/>
          <cell r="BP53" t="e">
            <v>#REF!</v>
          </cell>
          <cell r="BQ53"/>
          <cell r="BR53"/>
          <cell r="BS53"/>
          <cell r="BT53"/>
          <cell r="BU53">
            <v>0</v>
          </cell>
          <cell r="BV53"/>
          <cell r="BW53"/>
          <cell r="BX53"/>
          <cell r="BY53"/>
          <cell r="BZ53"/>
          <cell r="CA53" t="e">
            <v>#REF!</v>
          </cell>
          <cell r="CB53"/>
          <cell r="CC53"/>
          <cell r="CD53"/>
          <cell r="CE53"/>
          <cell r="CF53">
            <v>0</v>
          </cell>
          <cell r="CG53"/>
          <cell r="CH53"/>
          <cell r="CI53"/>
          <cell r="CJ53"/>
          <cell r="CK53"/>
          <cell r="CL53"/>
          <cell r="CM53"/>
          <cell r="CN53"/>
          <cell r="CO53"/>
          <cell r="CP53"/>
          <cell r="CQ53" t="e">
            <v>#REF!</v>
          </cell>
          <cell r="CR53"/>
          <cell r="CS53"/>
          <cell r="CT53"/>
          <cell r="CU53"/>
          <cell r="CV53" t="str">
            <v>49</v>
          </cell>
          <cell r="CW53"/>
          <cell r="CX53"/>
          <cell r="CY53">
            <v>304903</v>
          </cell>
          <cell r="CZ53">
            <v>304905</v>
          </cell>
          <cell r="DA53">
            <v>304907</v>
          </cell>
          <cell r="DB53">
            <v>304909</v>
          </cell>
          <cell r="DC53">
            <v>304911</v>
          </cell>
          <cell r="DD53">
            <v>304913</v>
          </cell>
        </row>
        <row r="54">
          <cell r="B54" t="str">
            <v>50</v>
          </cell>
          <cell r="C54"/>
          <cell r="D54" t="str">
            <v>Taxes - Other than Real Estate, Payroll &amp; Income</v>
          </cell>
          <cell r="E54"/>
          <cell r="F54"/>
          <cell r="G54"/>
          <cell r="H54"/>
          <cell r="I54"/>
          <cell r="J54"/>
          <cell r="K54"/>
          <cell r="L54"/>
          <cell r="M54"/>
          <cell r="N54"/>
          <cell r="O54"/>
          <cell r="P54"/>
          <cell r="Q54"/>
          <cell r="R54" t="str">
            <v>0650</v>
          </cell>
          <cell r="S54">
            <v>2019</v>
          </cell>
          <cell r="T54"/>
          <cell r="U54"/>
          <cell r="V54"/>
          <cell r="W54"/>
          <cell r="X54"/>
          <cell r="Y54"/>
          <cell r="Z54"/>
          <cell r="AA54"/>
          <cell r="AB54"/>
          <cell r="AC54"/>
          <cell r="AD54" t="e">
            <v>#REF!</v>
          </cell>
          <cell r="AE54"/>
          <cell r="AF54"/>
          <cell r="AG54"/>
          <cell r="AH54"/>
          <cell r="AI54">
            <v>26915</v>
          </cell>
          <cell r="AJ54"/>
          <cell r="AK54"/>
          <cell r="AL54"/>
          <cell r="AM54"/>
          <cell r="AN54"/>
          <cell r="AO54"/>
          <cell r="AP54"/>
          <cell r="AQ54"/>
          <cell r="AR54"/>
          <cell r="AS54"/>
          <cell r="AT54" t="e">
            <v>#REF!</v>
          </cell>
          <cell r="AU54"/>
          <cell r="AV54"/>
          <cell r="AW54"/>
          <cell r="AX54"/>
          <cell r="AY54">
            <v>823</v>
          </cell>
          <cell r="AZ54"/>
          <cell r="BA54"/>
          <cell r="BB54"/>
          <cell r="BC54"/>
          <cell r="BD54"/>
          <cell r="BE54" t="e">
            <v>#REF!</v>
          </cell>
          <cell r="BF54"/>
          <cell r="BG54"/>
          <cell r="BH54"/>
          <cell r="BI54"/>
          <cell r="BJ54">
            <v>9121</v>
          </cell>
          <cell r="BK54"/>
          <cell r="BL54"/>
          <cell r="BM54"/>
          <cell r="BN54"/>
          <cell r="BO54"/>
          <cell r="BP54" t="e">
            <v>#REF!</v>
          </cell>
          <cell r="BQ54"/>
          <cell r="BR54"/>
          <cell r="BS54"/>
          <cell r="BT54"/>
          <cell r="BU54">
            <v>0</v>
          </cell>
          <cell r="BV54"/>
          <cell r="BW54"/>
          <cell r="BX54"/>
          <cell r="BY54"/>
          <cell r="BZ54"/>
          <cell r="CA54" t="e">
            <v>#REF!</v>
          </cell>
          <cell r="CB54"/>
          <cell r="CC54"/>
          <cell r="CD54"/>
          <cell r="CE54"/>
          <cell r="CF54">
            <v>0</v>
          </cell>
          <cell r="CG54"/>
          <cell r="CH54"/>
          <cell r="CI54"/>
          <cell r="CJ54"/>
          <cell r="CK54"/>
          <cell r="CL54"/>
          <cell r="CM54"/>
          <cell r="CN54"/>
          <cell r="CO54"/>
          <cell r="CP54"/>
          <cell r="CQ54" t="e">
            <v>#REF!</v>
          </cell>
          <cell r="CR54"/>
          <cell r="CS54"/>
          <cell r="CT54"/>
          <cell r="CU54"/>
          <cell r="CV54" t="str">
            <v>50</v>
          </cell>
          <cell r="CW54"/>
          <cell r="CX54"/>
          <cell r="CY54">
            <v>305003</v>
          </cell>
          <cell r="CZ54">
            <v>305005</v>
          </cell>
          <cell r="DA54">
            <v>305007</v>
          </cell>
          <cell r="DB54">
            <v>305009</v>
          </cell>
          <cell r="DC54">
            <v>305011</v>
          </cell>
          <cell r="DD54">
            <v>305013</v>
          </cell>
        </row>
        <row r="55">
          <cell r="B55" t="str">
            <v>51</v>
          </cell>
          <cell r="C55"/>
          <cell r="D55" t="str">
            <v>TOTAL FIXED EXPENSE GROUP</v>
          </cell>
          <cell r="E55"/>
          <cell r="F55"/>
          <cell r="G55"/>
          <cell r="H55"/>
          <cell r="I55"/>
          <cell r="J55"/>
          <cell r="K55"/>
          <cell r="L55"/>
          <cell r="M55"/>
          <cell r="N55"/>
          <cell r="O55"/>
          <cell r="P55"/>
          <cell r="Q55" t="str">
            <v>(Lines 45 to 50)</v>
          </cell>
          <cell r="R55"/>
          <cell r="S55">
            <v>37675</v>
          </cell>
          <cell r="T55"/>
          <cell r="U55"/>
          <cell r="V55"/>
          <cell r="W55"/>
          <cell r="X55"/>
          <cell r="Y55"/>
          <cell r="Z55"/>
          <cell r="AA55"/>
          <cell r="AB55"/>
          <cell r="AC55"/>
          <cell r="AD55" t="e">
            <v>#REF!</v>
          </cell>
          <cell r="AE55"/>
          <cell r="AF55"/>
          <cell r="AG55"/>
          <cell r="AH55"/>
          <cell r="AI55">
            <v>428396</v>
          </cell>
          <cell r="AJ55"/>
          <cell r="AK55"/>
          <cell r="AL55"/>
          <cell r="AM55"/>
          <cell r="AN55"/>
          <cell r="AO55"/>
          <cell r="AP55"/>
          <cell r="AQ55"/>
          <cell r="AR55"/>
          <cell r="AS55"/>
          <cell r="AT55" t="e">
            <v>#REF!</v>
          </cell>
          <cell r="AU55"/>
          <cell r="AV55"/>
          <cell r="AW55"/>
          <cell r="AX55"/>
          <cell r="AY55">
            <v>14105</v>
          </cell>
          <cell r="AZ55"/>
          <cell r="BA55"/>
          <cell r="BB55"/>
          <cell r="BC55"/>
          <cell r="BD55"/>
          <cell r="BE55" t="e">
            <v>#REF!</v>
          </cell>
          <cell r="BF55"/>
          <cell r="BG55"/>
          <cell r="BH55"/>
          <cell r="BI55"/>
          <cell r="BJ55">
            <v>148402</v>
          </cell>
          <cell r="BK55"/>
          <cell r="BL55"/>
          <cell r="BM55"/>
          <cell r="BN55"/>
          <cell r="BO55"/>
          <cell r="BP55" t="e">
            <v>#REF!</v>
          </cell>
          <cell r="BQ55"/>
          <cell r="BR55"/>
          <cell r="BS55"/>
          <cell r="BT55"/>
          <cell r="BU55">
            <v>0</v>
          </cell>
          <cell r="BV55"/>
          <cell r="BW55"/>
          <cell r="BX55"/>
          <cell r="BY55"/>
          <cell r="BZ55"/>
          <cell r="CA55" t="e">
            <v>#REF!</v>
          </cell>
          <cell r="CB55"/>
          <cell r="CC55"/>
          <cell r="CD55"/>
          <cell r="CE55"/>
          <cell r="CF55">
            <v>0</v>
          </cell>
          <cell r="CG55"/>
          <cell r="CH55"/>
          <cell r="CI55"/>
          <cell r="CJ55"/>
          <cell r="CK55"/>
          <cell r="CL55"/>
          <cell r="CM55"/>
          <cell r="CN55"/>
          <cell r="CO55"/>
          <cell r="CP55"/>
          <cell r="CQ55" t="e">
            <v>#REF!</v>
          </cell>
          <cell r="CR55"/>
          <cell r="CS55"/>
          <cell r="CT55"/>
          <cell r="CU55"/>
          <cell r="CV55" t="str">
            <v>51</v>
          </cell>
          <cell r="CW55"/>
          <cell r="CX55"/>
          <cell r="CY55">
            <v>305103</v>
          </cell>
          <cell r="CZ55">
            <v>305105</v>
          </cell>
          <cell r="DA55">
            <v>305107</v>
          </cell>
          <cell r="DB55">
            <v>305109</v>
          </cell>
          <cell r="DC55">
            <v>305111</v>
          </cell>
          <cell r="DD55">
            <v>305113</v>
          </cell>
        </row>
        <row r="56">
          <cell r="B56" t="str">
            <v>52</v>
          </cell>
          <cell r="C56"/>
          <cell r="D56" t="str">
            <v>TOTAL FIXED OVERHEAD EXP.</v>
          </cell>
          <cell r="E56"/>
          <cell r="F56"/>
          <cell r="G56"/>
          <cell r="H56"/>
          <cell r="I56"/>
          <cell r="J56"/>
          <cell r="K56"/>
          <cell r="L56"/>
          <cell r="M56"/>
          <cell r="N56"/>
          <cell r="O56"/>
          <cell r="P56"/>
          <cell r="Q56" t="str">
            <v>(Lines 22, 37 &amp; 51)</v>
          </cell>
          <cell r="R56"/>
          <cell r="S56">
            <v>194629</v>
          </cell>
          <cell r="T56"/>
          <cell r="U56"/>
          <cell r="V56"/>
          <cell r="W56"/>
          <cell r="X56"/>
          <cell r="Y56"/>
          <cell r="Z56"/>
          <cell r="AA56"/>
          <cell r="AB56"/>
          <cell r="AC56"/>
          <cell r="AD56" t="e">
            <v>#REF!</v>
          </cell>
          <cell r="AE56"/>
          <cell r="AF56"/>
          <cell r="AG56"/>
          <cell r="AH56"/>
          <cell r="AI56">
            <v>1869389</v>
          </cell>
          <cell r="AJ56"/>
          <cell r="AK56"/>
          <cell r="AL56"/>
          <cell r="AM56"/>
          <cell r="AN56"/>
          <cell r="AO56"/>
          <cell r="AP56"/>
          <cell r="AQ56"/>
          <cell r="AR56"/>
          <cell r="AS56"/>
          <cell r="AT56" t="e">
            <v>#REF!</v>
          </cell>
          <cell r="AU56"/>
          <cell r="AV56"/>
          <cell r="AW56"/>
          <cell r="AX56"/>
          <cell r="AY56">
            <v>73635</v>
          </cell>
          <cell r="AZ56"/>
          <cell r="BA56"/>
          <cell r="BB56"/>
          <cell r="BC56"/>
          <cell r="BD56"/>
          <cell r="BE56" t="e">
            <v>#REF!</v>
          </cell>
          <cell r="BF56"/>
          <cell r="BG56"/>
          <cell r="BH56"/>
          <cell r="BI56"/>
          <cell r="BJ56">
            <v>713994</v>
          </cell>
          <cell r="BK56"/>
          <cell r="BL56"/>
          <cell r="BM56"/>
          <cell r="BN56"/>
          <cell r="BO56"/>
          <cell r="BP56" t="e">
            <v>#REF!</v>
          </cell>
          <cell r="BQ56"/>
          <cell r="BR56"/>
          <cell r="BS56"/>
          <cell r="BT56"/>
          <cell r="BU56">
            <v>0</v>
          </cell>
          <cell r="BV56"/>
          <cell r="BW56"/>
          <cell r="BX56"/>
          <cell r="BY56"/>
          <cell r="BZ56"/>
          <cell r="CA56" t="e">
            <v>#REF!</v>
          </cell>
          <cell r="CB56"/>
          <cell r="CC56"/>
          <cell r="CD56"/>
          <cell r="CE56"/>
          <cell r="CF56">
            <v>0</v>
          </cell>
          <cell r="CG56"/>
          <cell r="CH56"/>
          <cell r="CI56"/>
          <cell r="CJ56"/>
          <cell r="CK56"/>
          <cell r="CL56"/>
          <cell r="CM56"/>
          <cell r="CN56"/>
          <cell r="CO56"/>
          <cell r="CP56"/>
          <cell r="CQ56" t="e">
            <v>#REF!</v>
          </cell>
          <cell r="CR56"/>
          <cell r="CS56"/>
          <cell r="CT56"/>
          <cell r="CU56"/>
          <cell r="CV56" t="str">
            <v>52</v>
          </cell>
          <cell r="CW56"/>
          <cell r="CX56"/>
          <cell r="CY56">
            <v>305203</v>
          </cell>
          <cell r="CZ56">
            <v>305205</v>
          </cell>
          <cell r="DA56">
            <v>305207</v>
          </cell>
          <cell r="DB56">
            <v>305209</v>
          </cell>
          <cell r="DC56">
            <v>305211</v>
          </cell>
          <cell r="DD56">
            <v>305213</v>
          </cell>
        </row>
        <row r="57">
          <cell r="B57" t="str">
            <v>53</v>
          </cell>
          <cell r="C57"/>
          <cell r="D57" t="str">
            <v>TOTAL EXPENSES</v>
          </cell>
          <cell r="E57"/>
          <cell r="F57"/>
          <cell r="G57"/>
          <cell r="H57"/>
          <cell r="I57"/>
          <cell r="J57"/>
          <cell r="K57"/>
          <cell r="L57"/>
          <cell r="M57"/>
          <cell r="N57"/>
          <cell r="O57"/>
          <cell r="P57"/>
          <cell r="Q57" t="str">
            <v>(Lines 14 &amp; 52)</v>
          </cell>
          <cell r="R57" t="str">
            <v>DDDC</v>
          </cell>
          <cell r="S57">
            <v>253646</v>
          </cell>
          <cell r="T57"/>
          <cell r="U57"/>
          <cell r="V57"/>
          <cell r="W57"/>
          <cell r="X57"/>
          <cell r="Y57"/>
          <cell r="Z57"/>
          <cell r="AA57"/>
          <cell r="AB57"/>
          <cell r="AC57"/>
          <cell r="AD57" t="e">
            <v>#REF!</v>
          </cell>
          <cell r="AE57"/>
          <cell r="AF57"/>
          <cell r="AG57"/>
          <cell r="AH57"/>
          <cell r="AI57">
            <v>2443910</v>
          </cell>
          <cell r="AJ57"/>
          <cell r="AK57"/>
          <cell r="AL57"/>
          <cell r="AM57"/>
          <cell r="AN57"/>
          <cell r="AO57"/>
          <cell r="AP57"/>
          <cell r="AQ57"/>
          <cell r="AR57"/>
          <cell r="AS57"/>
          <cell r="AT57" t="e">
            <v>#REF!</v>
          </cell>
          <cell r="AU57"/>
          <cell r="AV57"/>
          <cell r="AW57"/>
          <cell r="AX57"/>
          <cell r="AY57">
            <v>82590</v>
          </cell>
          <cell r="AZ57"/>
          <cell r="BA57"/>
          <cell r="BB57"/>
          <cell r="BC57"/>
          <cell r="BD57"/>
          <cell r="BE57" t="e">
            <v>#REF!</v>
          </cell>
          <cell r="BF57"/>
          <cell r="BG57"/>
          <cell r="BH57"/>
          <cell r="BI57"/>
          <cell r="BJ57">
            <v>837894</v>
          </cell>
          <cell r="BK57"/>
          <cell r="BL57"/>
          <cell r="BM57"/>
          <cell r="BN57"/>
          <cell r="BO57"/>
          <cell r="BP57" t="e">
            <v>#REF!</v>
          </cell>
          <cell r="BQ57"/>
          <cell r="BR57"/>
          <cell r="BS57"/>
          <cell r="BT57"/>
          <cell r="BU57">
            <v>0</v>
          </cell>
          <cell r="BV57"/>
          <cell r="BW57"/>
          <cell r="BX57"/>
          <cell r="BY57"/>
          <cell r="BZ57"/>
          <cell r="CA57" t="e">
            <v>#REF!</v>
          </cell>
          <cell r="CB57"/>
          <cell r="CC57"/>
          <cell r="CD57"/>
          <cell r="CE57"/>
          <cell r="CF57">
            <v>0</v>
          </cell>
          <cell r="CG57"/>
          <cell r="CH57"/>
          <cell r="CI57"/>
          <cell r="CJ57"/>
          <cell r="CK57"/>
          <cell r="CL57"/>
          <cell r="CM57"/>
          <cell r="CN57"/>
          <cell r="CO57"/>
          <cell r="CP57"/>
          <cell r="CQ57" t="e">
            <v>#REF!</v>
          </cell>
          <cell r="CR57"/>
          <cell r="CS57"/>
          <cell r="CT57"/>
          <cell r="CU57"/>
          <cell r="CV57" t="str">
            <v>53</v>
          </cell>
          <cell r="CW57"/>
          <cell r="CX57"/>
          <cell r="CY57">
            <v>305303</v>
          </cell>
          <cell r="CZ57">
            <v>305305</v>
          </cell>
          <cell r="DA57">
            <v>305307</v>
          </cell>
          <cell r="DB57">
            <v>305309</v>
          </cell>
          <cell r="DC57">
            <v>305311</v>
          </cell>
          <cell r="DD57">
            <v>305313</v>
          </cell>
        </row>
        <row r="58">
          <cell r="B58" t="str">
            <v>54</v>
          </cell>
          <cell r="C58"/>
          <cell r="D58" t="str">
            <v>Dept. Operating Net Profit Or (LOSS)</v>
          </cell>
          <cell r="E58"/>
          <cell r="F58"/>
          <cell r="G58"/>
          <cell r="H58"/>
          <cell r="I58"/>
          <cell r="J58"/>
          <cell r="K58"/>
          <cell r="L58"/>
          <cell r="M58"/>
          <cell r="N58"/>
          <cell r="O58"/>
          <cell r="P58"/>
          <cell r="Q58" t="str">
            <v>(Line 2 less 53)</v>
          </cell>
          <cell r="R58"/>
          <cell r="S58">
            <v>-45443</v>
          </cell>
          <cell r="T58"/>
          <cell r="U58"/>
          <cell r="V58"/>
          <cell r="W58"/>
          <cell r="X58"/>
          <cell r="Y58"/>
          <cell r="Z58"/>
          <cell r="AA58"/>
          <cell r="AB58"/>
          <cell r="AC58"/>
          <cell r="AD58" t="e">
            <v>#REF!</v>
          </cell>
          <cell r="AE58"/>
          <cell r="AF58"/>
          <cell r="AG58"/>
          <cell r="AH58"/>
          <cell r="AI58">
            <v>428819</v>
          </cell>
          <cell r="AJ58"/>
          <cell r="AK58"/>
          <cell r="AL58"/>
          <cell r="AM58"/>
          <cell r="AN58"/>
          <cell r="AO58"/>
          <cell r="AP58"/>
          <cell r="AQ58"/>
          <cell r="AR58"/>
          <cell r="AS58"/>
          <cell r="AT58" t="e">
            <v>#REF!</v>
          </cell>
          <cell r="AU58"/>
          <cell r="AV58"/>
          <cell r="AW58"/>
          <cell r="AX58"/>
          <cell r="AY58">
            <v>741</v>
          </cell>
          <cell r="AZ58"/>
          <cell r="BA58"/>
          <cell r="BB58"/>
          <cell r="BC58"/>
          <cell r="BD58"/>
          <cell r="BE58" t="e">
            <v>#REF!</v>
          </cell>
          <cell r="BF58"/>
          <cell r="BG58"/>
          <cell r="BH58"/>
          <cell r="BI58"/>
          <cell r="BJ58">
            <v>274511</v>
          </cell>
          <cell r="BK58"/>
          <cell r="BL58"/>
          <cell r="BM58"/>
          <cell r="BN58"/>
          <cell r="BO58"/>
          <cell r="BP58" t="e">
            <v>#REF!</v>
          </cell>
          <cell r="BQ58"/>
          <cell r="BR58"/>
          <cell r="BS58"/>
          <cell r="BT58"/>
          <cell r="BU58">
            <v>0</v>
          </cell>
          <cell r="BV58"/>
          <cell r="BW58"/>
          <cell r="BX58"/>
          <cell r="BY58"/>
          <cell r="BZ58"/>
          <cell r="CA58" t="e">
            <v>#REF!</v>
          </cell>
          <cell r="CB58"/>
          <cell r="CC58"/>
          <cell r="CD58"/>
          <cell r="CE58"/>
          <cell r="CF58">
            <v>0</v>
          </cell>
          <cell r="CG58"/>
          <cell r="CH58"/>
          <cell r="CI58"/>
          <cell r="CJ58"/>
          <cell r="CK58"/>
          <cell r="CL58"/>
          <cell r="CM58"/>
          <cell r="CN58"/>
          <cell r="CO58"/>
          <cell r="CP58"/>
          <cell r="CQ58" t="e">
            <v>#REF!</v>
          </cell>
          <cell r="CR58"/>
          <cell r="CS58"/>
          <cell r="CT58"/>
          <cell r="CU58"/>
          <cell r="CV58" t="str">
            <v>54</v>
          </cell>
          <cell r="CW58"/>
          <cell r="CX58"/>
          <cell r="CY58">
            <v>305403</v>
          </cell>
          <cell r="CZ58">
            <v>305405</v>
          </cell>
          <cell r="DA58">
            <v>305407</v>
          </cell>
          <cell r="DB58">
            <v>305409</v>
          </cell>
          <cell r="DC58">
            <v>305411</v>
          </cell>
          <cell r="DD58">
            <v>305413</v>
          </cell>
        </row>
        <row r="59">
          <cell r="B59" t="str">
            <v>55</v>
          </cell>
          <cell r="C59"/>
          <cell r="D59" t="str">
            <v>Net Additions &amp; Deductions to Income</v>
          </cell>
          <cell r="E59"/>
          <cell r="F59"/>
          <cell r="G59"/>
          <cell r="H59"/>
          <cell r="I59"/>
          <cell r="J59"/>
          <cell r="K59"/>
          <cell r="L59"/>
          <cell r="M59"/>
          <cell r="N59"/>
          <cell r="O59"/>
          <cell r="P59"/>
          <cell r="Q59" t="str">
            <v>(Pg 3 line 71)</v>
          </cell>
          <cell r="R59" t="str">
            <v>TT31</v>
          </cell>
          <cell r="S59"/>
          <cell r="T59"/>
          <cell r="U59"/>
          <cell r="V59"/>
          <cell r="W59"/>
          <cell r="X59"/>
          <cell r="Y59"/>
          <cell r="Z59"/>
          <cell r="AA59"/>
          <cell r="AB59"/>
          <cell r="AC59"/>
          <cell r="AD59"/>
          <cell r="AE59"/>
          <cell r="AF59"/>
          <cell r="AG59"/>
          <cell r="AH59"/>
          <cell r="AI59"/>
          <cell r="AJ59"/>
          <cell r="AK59"/>
          <cell r="AL59"/>
          <cell r="AM59"/>
          <cell r="AN59"/>
          <cell r="AO59"/>
          <cell r="AP59"/>
          <cell r="AQ59"/>
          <cell r="AR59"/>
          <cell r="AS59"/>
          <cell r="AT59"/>
          <cell r="AU59"/>
          <cell r="AV59"/>
          <cell r="AW59"/>
          <cell r="AX59"/>
          <cell r="AY59"/>
          <cell r="AZ59"/>
          <cell r="BA59"/>
          <cell r="BB59"/>
          <cell r="BC59"/>
          <cell r="BD59"/>
          <cell r="BE59"/>
          <cell r="BF59"/>
          <cell r="BG59"/>
          <cell r="BH59"/>
          <cell r="BI59"/>
          <cell r="BJ59"/>
          <cell r="BK59"/>
          <cell r="BL59"/>
          <cell r="BM59"/>
          <cell r="BN59"/>
          <cell r="BO59"/>
          <cell r="BP59" t="e">
            <v>#REF!</v>
          </cell>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t="e">
            <v>#REF!</v>
          </cell>
          <cell r="CR59"/>
          <cell r="CS59"/>
          <cell r="CT59"/>
          <cell r="CU59"/>
          <cell r="CV59" t="str">
            <v>55</v>
          </cell>
          <cell r="CW59"/>
          <cell r="CX59"/>
          <cell r="CY59">
            <v>305503</v>
          </cell>
          <cell r="CZ59">
            <v>305505</v>
          </cell>
          <cell r="DA59">
            <v>305507</v>
          </cell>
          <cell r="DB59">
            <v>305509</v>
          </cell>
          <cell r="DC59">
            <v>305511</v>
          </cell>
          <cell r="DD59">
            <v>305513</v>
          </cell>
        </row>
        <row r="60">
          <cell r="B60" t="str">
            <v>56</v>
          </cell>
          <cell r="C60"/>
          <cell r="D60" t="str">
            <v>Documentary Fees</v>
          </cell>
          <cell r="E60"/>
          <cell r="F60"/>
          <cell r="G60"/>
          <cell r="H60"/>
          <cell r="I60"/>
          <cell r="J60"/>
          <cell r="K60"/>
          <cell r="L60"/>
          <cell r="M60"/>
          <cell r="N60"/>
          <cell r="O60"/>
          <cell r="P60"/>
          <cell r="Q60"/>
          <cell r="R60" t="str">
            <v>8030</v>
          </cell>
          <cell r="S60"/>
          <cell r="T60"/>
          <cell r="U60"/>
          <cell r="V60"/>
          <cell r="W60"/>
          <cell r="X60"/>
          <cell r="Y60"/>
          <cell r="Z60"/>
          <cell r="AA60"/>
          <cell r="AB60"/>
          <cell r="AC60"/>
          <cell r="AD60"/>
          <cell r="AE60"/>
          <cell r="AF60"/>
          <cell r="AG60"/>
          <cell r="AH60"/>
          <cell r="AI60"/>
          <cell r="AJ60"/>
          <cell r="AK60"/>
          <cell r="AL60"/>
          <cell r="AM60"/>
          <cell r="AN60"/>
          <cell r="AO60"/>
          <cell r="AP60"/>
          <cell r="AQ60"/>
          <cell r="AR60"/>
          <cell r="AS60"/>
          <cell r="AT60"/>
          <cell r="AU60"/>
          <cell r="AV60"/>
          <cell r="AW60"/>
          <cell r="AX60"/>
          <cell r="AY60"/>
          <cell r="AZ60"/>
          <cell r="BA60"/>
          <cell r="BB60"/>
          <cell r="BC60"/>
          <cell r="BD60"/>
          <cell r="BE60"/>
          <cell r="BF60"/>
          <cell r="BG60"/>
          <cell r="BH60"/>
          <cell r="BI60"/>
          <cell r="BJ60"/>
          <cell r="BK60"/>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t="e">
            <v>#REF!</v>
          </cell>
          <cell r="CR60"/>
          <cell r="CS60"/>
          <cell r="CT60"/>
          <cell r="CU60"/>
          <cell r="CV60" t="str">
            <v>56</v>
          </cell>
          <cell r="CW60"/>
          <cell r="CX60"/>
          <cell r="CY60">
            <v>305603</v>
          </cell>
          <cell r="CZ60">
            <v>305605</v>
          </cell>
          <cell r="DA60">
            <v>305607</v>
          </cell>
          <cell r="DB60">
            <v>305609</v>
          </cell>
          <cell r="DC60">
            <v>305611</v>
          </cell>
          <cell r="DD60">
            <v>305613</v>
          </cell>
        </row>
        <row r="61">
          <cell r="B61" t="str">
            <v>57</v>
          </cell>
          <cell r="C61"/>
          <cell r="D61" t="str">
            <v>Quality Growth Program and Nissan 10 Bonus</v>
          </cell>
          <cell r="E61"/>
          <cell r="F61"/>
          <cell r="G61"/>
          <cell r="H61"/>
          <cell r="I61"/>
          <cell r="J61"/>
          <cell r="K61"/>
          <cell r="L61"/>
          <cell r="M61"/>
          <cell r="N61"/>
          <cell r="O61"/>
          <cell r="P61"/>
          <cell r="Q61"/>
          <cell r="R61" t="str">
            <v>8075</v>
          </cell>
          <cell r="S61">
            <v>5760</v>
          </cell>
          <cell r="T61"/>
          <cell r="U61"/>
          <cell r="V61"/>
          <cell r="W61"/>
          <cell r="X61"/>
          <cell r="Y61"/>
          <cell r="Z61"/>
          <cell r="AA61"/>
          <cell r="AB61"/>
          <cell r="AC61"/>
          <cell r="AD61" t="e">
            <v>#REF!</v>
          </cell>
          <cell r="AE61"/>
          <cell r="AF61"/>
          <cell r="AG61"/>
          <cell r="AH61"/>
          <cell r="AI61">
            <v>219909</v>
          </cell>
          <cell r="AJ61"/>
          <cell r="AK61"/>
          <cell r="AL61"/>
          <cell r="AM61"/>
          <cell r="AN61"/>
          <cell r="AO61"/>
          <cell r="AP61"/>
          <cell r="AQ61"/>
          <cell r="AR61"/>
          <cell r="AS61"/>
          <cell r="AT61" t="e">
            <v>#REF!</v>
          </cell>
          <cell r="AU61"/>
          <cell r="AV61"/>
          <cell r="AW61"/>
          <cell r="AX61"/>
          <cell r="AY61">
            <v>0</v>
          </cell>
          <cell r="AZ61"/>
          <cell r="BA61"/>
          <cell r="BB61"/>
          <cell r="BC61"/>
          <cell r="BD61"/>
          <cell r="BE61" t="e">
            <v>#REF!</v>
          </cell>
          <cell r="BF61"/>
          <cell r="BG61"/>
          <cell r="BH61"/>
          <cell r="BI61"/>
          <cell r="BJ61">
            <v>37423</v>
          </cell>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t="e">
            <v>#REF!</v>
          </cell>
          <cell r="CR61"/>
          <cell r="CS61"/>
          <cell r="CT61"/>
          <cell r="CU61"/>
          <cell r="CV61" t="str">
            <v>57</v>
          </cell>
          <cell r="CW61"/>
          <cell r="CX61"/>
          <cell r="CY61">
            <v>305703</v>
          </cell>
          <cell r="CZ61">
            <v>305705</v>
          </cell>
          <cell r="DA61">
            <v>305707</v>
          </cell>
          <cell r="DB61">
            <v>305709</v>
          </cell>
          <cell r="DC61">
            <v>305711</v>
          </cell>
          <cell r="DD61">
            <v>305713</v>
          </cell>
        </row>
        <row r="62">
          <cell r="B62" t="str">
            <v>58</v>
          </cell>
          <cell r="C62"/>
          <cell r="D62" t="str">
            <v>Sales Growth Program (SGP)</v>
          </cell>
          <cell r="E62"/>
          <cell r="F62"/>
          <cell r="G62"/>
          <cell r="H62"/>
          <cell r="I62"/>
          <cell r="J62"/>
          <cell r="K62"/>
          <cell r="L62"/>
          <cell r="M62"/>
          <cell r="N62"/>
          <cell r="O62"/>
          <cell r="P62"/>
          <cell r="Q62"/>
          <cell r="R62" t="str">
            <v>8077</v>
          </cell>
          <cell r="S62"/>
          <cell r="T62"/>
          <cell r="U62"/>
          <cell r="V62"/>
          <cell r="W62"/>
          <cell r="X62"/>
          <cell r="Y62"/>
          <cell r="Z62"/>
          <cell r="AA62"/>
          <cell r="AB62"/>
          <cell r="AC62"/>
          <cell r="AD62"/>
          <cell r="AE62"/>
          <cell r="AF62"/>
          <cell r="AG62"/>
          <cell r="AH62"/>
          <cell r="AI62"/>
          <cell r="AJ62"/>
          <cell r="AK62"/>
          <cell r="AL62"/>
          <cell r="AM62"/>
          <cell r="AN62"/>
          <cell r="AO62"/>
          <cell r="AP62"/>
          <cell r="AQ62"/>
          <cell r="AR62"/>
          <cell r="AS62"/>
          <cell r="AT62"/>
          <cell r="AU62"/>
          <cell r="AV62"/>
          <cell r="AW62"/>
          <cell r="AX62"/>
          <cell r="AY62"/>
          <cell r="AZ62"/>
          <cell r="BA62"/>
          <cell r="BB62"/>
          <cell r="BC62"/>
          <cell r="BD62"/>
          <cell r="BE62"/>
          <cell r="BF62"/>
          <cell r="BG62"/>
          <cell r="BH62"/>
          <cell r="BI62"/>
          <cell r="BJ62"/>
          <cell r="BK62"/>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t="e">
            <v>#REF!</v>
          </cell>
          <cell r="CR62"/>
          <cell r="CS62"/>
          <cell r="CT62"/>
          <cell r="CU62"/>
          <cell r="CV62" t="str">
            <v>58</v>
          </cell>
          <cell r="CW62"/>
          <cell r="CX62"/>
          <cell r="CY62">
            <v>305803</v>
          </cell>
          <cell r="CZ62">
            <v>305805</v>
          </cell>
          <cell r="DA62">
            <v>305807</v>
          </cell>
          <cell r="DB62">
            <v>305809</v>
          </cell>
          <cell r="DC62">
            <v>305811</v>
          </cell>
          <cell r="DD62">
            <v>305813</v>
          </cell>
        </row>
        <row r="63">
          <cell r="B63" t="str">
            <v>59</v>
          </cell>
          <cell r="C63"/>
          <cell r="D63" t="str">
            <v>Placeholder</v>
          </cell>
          <cell r="E63"/>
          <cell r="F63"/>
          <cell r="G63"/>
          <cell r="H63"/>
          <cell r="I63"/>
          <cell r="J63"/>
          <cell r="K63"/>
          <cell r="L63"/>
          <cell r="M63"/>
          <cell r="N63"/>
          <cell r="O63"/>
          <cell r="P63"/>
          <cell r="Q63"/>
          <cell r="R63" t="str">
            <v>8078</v>
          </cell>
          <cell r="S63"/>
          <cell r="T63"/>
          <cell r="U63"/>
          <cell r="V63"/>
          <cell r="W63"/>
          <cell r="X63"/>
          <cell r="Y63"/>
          <cell r="Z63"/>
          <cell r="AA63"/>
          <cell r="AB63"/>
          <cell r="AC63"/>
          <cell r="AD63"/>
          <cell r="AE63"/>
          <cell r="AF63"/>
          <cell r="AG63"/>
          <cell r="AH63"/>
          <cell r="AI63"/>
          <cell r="AJ63"/>
          <cell r="AK63"/>
          <cell r="AL63"/>
          <cell r="AM63"/>
          <cell r="AN63"/>
          <cell r="AO63"/>
          <cell r="AP63"/>
          <cell r="AQ63"/>
          <cell r="AR63"/>
          <cell r="AS63"/>
          <cell r="AT63"/>
          <cell r="AU63"/>
          <cell r="AV63"/>
          <cell r="AW63"/>
          <cell r="AX63"/>
          <cell r="AY63"/>
          <cell r="AZ63"/>
          <cell r="BA63"/>
          <cell r="BB63"/>
          <cell r="BC63"/>
          <cell r="BD63"/>
          <cell r="BE63"/>
          <cell r="BF63"/>
          <cell r="BG63"/>
          <cell r="BH63"/>
          <cell r="BI63"/>
          <cell r="BJ63"/>
          <cell r="BK63"/>
          <cell r="BL63"/>
          <cell r="BM63"/>
          <cell r="BN63"/>
          <cell r="BO63"/>
          <cell r="BP63"/>
          <cell r="BQ63"/>
          <cell r="BR63"/>
          <cell r="BS63"/>
          <cell r="BT63"/>
          <cell r="BU63"/>
          <cell r="BV63"/>
          <cell r="BW63"/>
          <cell r="BX63"/>
          <cell r="BY63"/>
          <cell r="BZ63"/>
          <cell r="CA63"/>
          <cell r="CB63"/>
          <cell r="CC63"/>
          <cell r="CD63"/>
          <cell r="CE63"/>
          <cell r="CF63"/>
          <cell r="CG63"/>
          <cell r="CH63"/>
          <cell r="CI63"/>
          <cell r="CJ63"/>
          <cell r="CK63"/>
          <cell r="CL63"/>
          <cell r="CM63"/>
          <cell r="CN63"/>
          <cell r="CO63"/>
          <cell r="CP63"/>
          <cell r="CQ63" t="e">
            <v>#REF!</v>
          </cell>
          <cell r="CR63"/>
          <cell r="CS63"/>
          <cell r="CT63"/>
          <cell r="CU63"/>
          <cell r="CV63" t="str">
            <v>59</v>
          </cell>
          <cell r="CW63"/>
          <cell r="CX63"/>
          <cell r="CY63">
            <v>305903</v>
          </cell>
          <cell r="CZ63">
            <v>305905</v>
          </cell>
          <cell r="DA63">
            <v>305907</v>
          </cell>
          <cell r="DB63">
            <v>305909</v>
          </cell>
          <cell r="DC63">
            <v>305911</v>
          </cell>
          <cell r="DD63">
            <v>305913</v>
          </cell>
        </row>
        <row r="64">
          <cell r="B64" t="str">
            <v>60</v>
          </cell>
          <cell r="C64"/>
          <cell r="D64" t="str">
            <v>Miscellaneous Factory Programs</v>
          </cell>
          <cell r="E64"/>
          <cell r="F64"/>
          <cell r="G64"/>
          <cell r="H64"/>
          <cell r="I64"/>
          <cell r="J64"/>
          <cell r="K64"/>
          <cell r="L64"/>
          <cell r="M64"/>
          <cell r="N64"/>
          <cell r="O64"/>
          <cell r="P64"/>
          <cell r="Q64"/>
          <cell r="R64" t="str">
            <v>8070</v>
          </cell>
          <cell r="S64">
            <v>0</v>
          </cell>
          <cell r="T64"/>
          <cell r="U64"/>
          <cell r="V64"/>
          <cell r="W64"/>
          <cell r="X64"/>
          <cell r="Y64"/>
          <cell r="Z64"/>
          <cell r="AA64"/>
          <cell r="AB64"/>
          <cell r="AC64"/>
          <cell r="AD64" t="e">
            <v>#REF!</v>
          </cell>
          <cell r="AE64"/>
          <cell r="AF64"/>
          <cell r="AG64"/>
          <cell r="AH64"/>
          <cell r="AI64">
            <v>0</v>
          </cell>
          <cell r="AJ64"/>
          <cell r="AK64"/>
          <cell r="AL64"/>
          <cell r="AM64"/>
          <cell r="AN64"/>
          <cell r="AO64"/>
          <cell r="AP64"/>
          <cell r="AQ64"/>
          <cell r="AR64"/>
          <cell r="AS64"/>
          <cell r="AT64" t="e">
            <v>#REF!</v>
          </cell>
          <cell r="AU64"/>
          <cell r="AV64"/>
          <cell r="AW64"/>
          <cell r="AX64"/>
          <cell r="AY64">
            <v>0</v>
          </cell>
          <cell r="AZ64"/>
          <cell r="BA64"/>
          <cell r="BB64"/>
          <cell r="BC64"/>
          <cell r="BD64"/>
          <cell r="BE64" t="e">
            <v>#REF!</v>
          </cell>
          <cell r="BF64"/>
          <cell r="BG64"/>
          <cell r="BH64"/>
          <cell r="BI64"/>
          <cell r="BJ64">
            <v>0</v>
          </cell>
          <cell r="BK64"/>
          <cell r="BL64"/>
          <cell r="BM64"/>
          <cell r="BN64"/>
          <cell r="BO64"/>
          <cell r="BP64" t="e">
            <v>#REF!</v>
          </cell>
          <cell r="BQ64"/>
          <cell r="BR64"/>
          <cell r="BS64"/>
          <cell r="BT64"/>
          <cell r="BU64">
            <v>0</v>
          </cell>
          <cell r="BV64"/>
          <cell r="BW64"/>
          <cell r="BX64"/>
          <cell r="BY64"/>
          <cell r="BZ64"/>
          <cell r="CA64" t="e">
            <v>#REF!</v>
          </cell>
          <cell r="CB64"/>
          <cell r="CC64"/>
          <cell r="CD64"/>
          <cell r="CE64"/>
          <cell r="CF64">
            <v>0</v>
          </cell>
          <cell r="CG64"/>
          <cell r="CH64"/>
          <cell r="CI64"/>
          <cell r="CJ64"/>
          <cell r="CK64"/>
          <cell r="CL64"/>
          <cell r="CM64"/>
          <cell r="CN64"/>
          <cell r="CO64"/>
          <cell r="CP64"/>
          <cell r="CQ64" t="e">
            <v>#REF!</v>
          </cell>
          <cell r="CR64"/>
          <cell r="CS64"/>
          <cell r="CT64"/>
          <cell r="CU64"/>
          <cell r="CV64" t="str">
            <v>60</v>
          </cell>
          <cell r="CW64"/>
          <cell r="CX64"/>
          <cell r="CY64">
            <v>306003</v>
          </cell>
          <cell r="CZ64">
            <v>306005</v>
          </cell>
          <cell r="DA64">
            <v>306007</v>
          </cell>
          <cell r="DB64">
            <v>306009</v>
          </cell>
          <cell r="DC64">
            <v>306011</v>
          </cell>
          <cell r="DD64">
            <v>306013</v>
          </cell>
        </row>
        <row r="65">
          <cell r="B65" t="str">
            <v>61</v>
          </cell>
          <cell r="C65"/>
          <cell r="D65" t="str">
            <v>NET PROFIT - before bonuses &amp; Inc. tax</v>
          </cell>
          <cell r="E65"/>
          <cell r="F65"/>
          <cell r="G65"/>
          <cell r="H65"/>
          <cell r="I65"/>
          <cell r="J65"/>
          <cell r="K65"/>
          <cell r="L65"/>
          <cell r="M65"/>
          <cell r="N65"/>
          <cell r="O65"/>
          <cell r="P65"/>
          <cell r="Q65" t="str">
            <v>(Lines 54 to 60)</v>
          </cell>
          <cell r="R65"/>
          <cell r="S65"/>
          <cell r="T65"/>
          <cell r="U65"/>
          <cell r="V65"/>
          <cell r="W65"/>
          <cell r="X65"/>
          <cell r="Y65"/>
          <cell r="Z65"/>
          <cell r="AA65"/>
          <cell r="AB65"/>
          <cell r="AC65"/>
          <cell r="AD65"/>
          <cell r="AE65"/>
          <cell r="AF65"/>
          <cell r="AG65"/>
          <cell r="AH65"/>
          <cell r="AI65"/>
          <cell r="AJ65"/>
          <cell r="AK65"/>
          <cell r="AL65"/>
          <cell r="AM65"/>
          <cell r="AN65"/>
          <cell r="AO65"/>
          <cell r="AP65"/>
          <cell r="AQ65"/>
          <cell r="AR65"/>
          <cell r="AS65"/>
          <cell r="AT65"/>
          <cell r="AU65"/>
          <cell r="AV65"/>
          <cell r="AW65"/>
          <cell r="AX65"/>
          <cell r="AY65"/>
          <cell r="AZ65"/>
          <cell r="BA65"/>
          <cell r="BB65"/>
          <cell r="BC65"/>
          <cell r="BD65"/>
          <cell r="BE65"/>
          <cell r="BF65"/>
          <cell r="BG65"/>
          <cell r="BH65"/>
          <cell r="BI65"/>
          <cell r="BJ65"/>
          <cell r="BK65"/>
          <cell r="BL65"/>
          <cell r="BM65"/>
          <cell r="BN65"/>
          <cell r="BO65"/>
          <cell r="BP65"/>
          <cell r="BQ65"/>
          <cell r="BR65"/>
          <cell r="BS65"/>
          <cell r="BT65"/>
          <cell r="BU65"/>
          <cell r="BV65"/>
          <cell r="BW65"/>
          <cell r="BX65"/>
          <cell r="BY65"/>
          <cell r="BZ65"/>
          <cell r="CA65"/>
          <cell r="CB65"/>
          <cell r="CC65"/>
          <cell r="CD65"/>
          <cell r="CE65"/>
          <cell r="CF65"/>
          <cell r="CG65"/>
          <cell r="CH65"/>
          <cell r="CI65"/>
          <cell r="CJ65"/>
          <cell r="CK65"/>
          <cell r="CL65"/>
          <cell r="CM65"/>
          <cell r="CN65"/>
          <cell r="CO65"/>
          <cell r="CP65"/>
          <cell r="CQ65" t="e">
            <v>#REF!</v>
          </cell>
          <cell r="CR65"/>
          <cell r="CS65"/>
          <cell r="CT65"/>
          <cell r="CU65"/>
          <cell r="CV65" t="str">
            <v>61</v>
          </cell>
          <cell r="CW65"/>
          <cell r="CX65"/>
          <cell r="CY65">
            <v>306103</v>
          </cell>
          <cell r="CZ65">
            <v>306105</v>
          </cell>
          <cell r="DA65">
            <v>306107</v>
          </cell>
          <cell r="DB65">
            <v>306109</v>
          </cell>
          <cell r="DC65">
            <v>306111</v>
          </cell>
          <cell r="DD65">
            <v>306113</v>
          </cell>
        </row>
        <row r="66">
          <cell r="B66" t="str">
            <v>62</v>
          </cell>
          <cell r="C66"/>
          <cell r="D66" t="str">
            <v>ADDITIONS TO INCOME</v>
          </cell>
          <cell r="E66"/>
          <cell r="F66"/>
          <cell r="G66"/>
          <cell r="H66"/>
          <cell r="I66"/>
          <cell r="J66"/>
          <cell r="K66"/>
          <cell r="L66"/>
          <cell r="M66"/>
          <cell r="N66"/>
          <cell r="O66"/>
          <cell r="P66"/>
          <cell r="Q66"/>
          <cell r="R66"/>
          <cell r="S66"/>
          <cell r="T66"/>
          <cell r="U66"/>
          <cell r="V66"/>
          <cell r="W66"/>
          <cell r="X66"/>
          <cell r="Y66"/>
          <cell r="Z66"/>
          <cell r="AA66"/>
          <cell r="AB66"/>
          <cell r="AC66"/>
          <cell r="AD66"/>
          <cell r="AE66"/>
          <cell r="AF66"/>
          <cell r="AG66"/>
          <cell r="AH66"/>
          <cell r="AI66"/>
          <cell r="AJ66"/>
          <cell r="AK66"/>
          <cell r="AL66"/>
          <cell r="AM66"/>
          <cell r="AN66"/>
          <cell r="AO66"/>
          <cell r="AP66"/>
          <cell r="AQ66" t="str">
            <v>DEDUCTIONS FROM INCOME</v>
          </cell>
          <cell r="AR66"/>
          <cell r="AS66"/>
          <cell r="AT66"/>
          <cell r="AU66"/>
          <cell r="AV66"/>
          <cell r="AW66"/>
          <cell r="AX66"/>
          <cell r="AY66"/>
          <cell r="AZ66"/>
          <cell r="BA66"/>
          <cell r="BB66"/>
          <cell r="BC66"/>
          <cell r="BD66"/>
          <cell r="BE66"/>
          <cell r="BF66"/>
          <cell r="BG66"/>
          <cell r="BH66"/>
          <cell r="BI66"/>
          <cell r="BJ66"/>
          <cell r="BK66"/>
          <cell r="BL66"/>
          <cell r="BM66"/>
          <cell r="BN66"/>
          <cell r="BO66"/>
          <cell r="BP66"/>
          <cell r="BQ66"/>
          <cell r="BR66"/>
          <cell r="BS66"/>
          <cell r="BT66"/>
          <cell r="BU66"/>
          <cell r="BV66"/>
          <cell r="BW66"/>
          <cell r="BX66"/>
          <cell r="BY66"/>
          <cell r="BZ66"/>
          <cell r="CA66"/>
          <cell r="CB66"/>
          <cell r="CC66"/>
          <cell r="CD66"/>
          <cell r="CE66"/>
          <cell r="CF66"/>
          <cell r="CG66"/>
          <cell r="CH66"/>
          <cell r="CI66"/>
          <cell r="CJ66"/>
          <cell r="CK66"/>
          <cell r="CL66"/>
          <cell r="CM66"/>
          <cell r="CN66"/>
          <cell r="CO66"/>
          <cell r="CP66"/>
          <cell r="CQ66"/>
          <cell r="CR66"/>
          <cell r="CS66"/>
          <cell r="CT66"/>
          <cell r="CU66"/>
          <cell r="CV66" t="str">
            <v>62</v>
          </cell>
          <cell r="CW66"/>
          <cell r="CX66"/>
          <cell r="CY66">
            <v>306203</v>
          </cell>
          <cell r="CZ66">
            <v>306205</v>
          </cell>
          <cell r="DA66">
            <v>306207</v>
          </cell>
          <cell r="DB66">
            <v>306209</v>
          </cell>
          <cell r="DC66">
            <v>306211</v>
          </cell>
          <cell r="DD66">
            <v>306213</v>
          </cell>
        </row>
        <row r="67">
          <cell r="B67" t="str">
            <v>63</v>
          </cell>
          <cell r="C67"/>
          <cell r="D67" t="str">
            <v>ACCOUNT</v>
          </cell>
          <cell r="E67"/>
          <cell r="F67"/>
          <cell r="G67"/>
          <cell r="H67"/>
          <cell r="I67"/>
          <cell r="J67"/>
          <cell r="K67"/>
          <cell r="L67"/>
          <cell r="M67"/>
          <cell r="N67"/>
          <cell r="O67"/>
          <cell r="P67"/>
          <cell r="Q67" t="str">
            <v>ACCT #</v>
          </cell>
          <cell r="R67" t="str">
            <v>Month</v>
          </cell>
          <cell r="S67"/>
          <cell r="T67"/>
          <cell r="U67"/>
          <cell r="V67"/>
          <cell r="W67"/>
          <cell r="X67"/>
          <cell r="Y67"/>
          <cell r="Z67"/>
          <cell r="AA67"/>
          <cell r="AB67" t="str">
            <v>Year to Date</v>
          </cell>
          <cell r="AC67"/>
          <cell r="AD67"/>
          <cell r="AE67"/>
          <cell r="AF67"/>
          <cell r="AG67"/>
          <cell r="AH67"/>
          <cell r="AI67"/>
          <cell r="AJ67"/>
          <cell r="AK67"/>
          <cell r="AL67" t="e">
            <v>#REF!</v>
          </cell>
          <cell r="AM67"/>
          <cell r="AN67"/>
          <cell r="AO67"/>
          <cell r="AP67"/>
          <cell r="AQ67" t="str">
            <v>ACCOUNT</v>
          </cell>
          <cell r="AR67"/>
          <cell r="AS67"/>
          <cell r="AT67"/>
          <cell r="AU67"/>
          <cell r="AV67"/>
          <cell r="AW67"/>
          <cell r="AX67"/>
          <cell r="AY67"/>
          <cell r="AZ67"/>
          <cell r="BA67"/>
          <cell r="BB67"/>
          <cell r="BC67"/>
          <cell r="BD67"/>
          <cell r="BE67"/>
          <cell r="BF67"/>
          <cell r="BG67"/>
          <cell r="BH67"/>
          <cell r="BI67"/>
          <cell r="BJ67"/>
          <cell r="BK67"/>
          <cell r="BL67"/>
          <cell r="BM67"/>
          <cell r="BN67"/>
          <cell r="BO67"/>
          <cell r="BP67"/>
          <cell r="BQ67"/>
          <cell r="BR67"/>
          <cell r="BS67"/>
          <cell r="BT67"/>
          <cell r="BU67" t="str">
            <v>ACCT#</v>
          </cell>
          <cell r="BV67"/>
          <cell r="BW67" t="str">
            <v>Month</v>
          </cell>
          <cell r="BX67"/>
          <cell r="BY67"/>
          <cell r="BZ67"/>
          <cell r="CA67"/>
          <cell r="CB67"/>
          <cell r="CC67"/>
          <cell r="CD67"/>
          <cell r="CE67"/>
          <cell r="CF67"/>
          <cell r="CG67"/>
          <cell r="CH67"/>
          <cell r="CI67"/>
          <cell r="CJ67"/>
          <cell r="CK67"/>
          <cell r="CL67" t="str">
            <v>Year to Date</v>
          </cell>
          <cell r="CM67"/>
          <cell r="CN67"/>
          <cell r="CO67"/>
          <cell r="CP67"/>
          <cell r="CQ67"/>
          <cell r="CR67"/>
          <cell r="CS67"/>
          <cell r="CT67"/>
          <cell r="CU67"/>
          <cell r="CV67" t="str">
            <v>63</v>
          </cell>
          <cell r="CW67"/>
          <cell r="CX67"/>
          <cell r="CY67">
            <v>306303</v>
          </cell>
          <cell r="CZ67">
            <v>306305</v>
          </cell>
          <cell r="DA67">
            <v>306307</v>
          </cell>
          <cell r="DB67">
            <v>306309</v>
          </cell>
          <cell r="DC67">
            <v>306311</v>
          </cell>
          <cell r="DD67">
            <v>306313</v>
          </cell>
        </row>
        <row r="68">
          <cell r="B68" t="str">
            <v>64</v>
          </cell>
          <cell r="C68"/>
          <cell r="D68" t="str">
            <v>Interest Earned / Cash Discounts</v>
          </cell>
          <cell r="E68"/>
          <cell r="F68"/>
          <cell r="G68"/>
          <cell r="H68"/>
          <cell r="I68"/>
          <cell r="J68"/>
          <cell r="K68"/>
          <cell r="L68"/>
          <cell r="M68"/>
          <cell r="N68"/>
          <cell r="O68"/>
          <cell r="P68"/>
          <cell r="Q68" t="str">
            <v>8010</v>
          </cell>
          <cell r="R68">
            <v>2118</v>
          </cell>
          <cell r="S68"/>
          <cell r="T68"/>
          <cell r="U68"/>
          <cell r="V68"/>
          <cell r="W68" t="e">
            <v>#REF!</v>
          </cell>
          <cell r="X68"/>
          <cell r="Y68"/>
          <cell r="Z68"/>
          <cell r="AA68"/>
          <cell r="AB68">
            <v>17825</v>
          </cell>
          <cell r="AC68"/>
          <cell r="AD68"/>
          <cell r="AE68"/>
          <cell r="AF68"/>
          <cell r="AG68"/>
          <cell r="AH68"/>
          <cell r="AI68"/>
          <cell r="AJ68"/>
          <cell r="AK68"/>
          <cell r="AL68"/>
          <cell r="AM68"/>
          <cell r="AN68"/>
          <cell r="AO68"/>
          <cell r="AP68"/>
          <cell r="AQ68" t="str">
            <v>Casualty Losses</v>
          </cell>
          <cell r="AR68"/>
          <cell r="AS68"/>
          <cell r="AT68"/>
          <cell r="AU68"/>
          <cell r="AV68"/>
          <cell r="AW68"/>
          <cell r="AX68"/>
          <cell r="AY68"/>
          <cell r="AZ68"/>
          <cell r="BA68"/>
          <cell r="BB68"/>
          <cell r="BC68"/>
          <cell r="BD68"/>
          <cell r="BE68"/>
          <cell r="BF68"/>
          <cell r="BG68"/>
          <cell r="BH68"/>
          <cell r="BI68"/>
          <cell r="BJ68"/>
          <cell r="BK68"/>
          <cell r="BL68"/>
          <cell r="BM68"/>
          <cell r="BN68"/>
          <cell r="BO68">
            <v>8500</v>
          </cell>
          <cell r="BP68"/>
          <cell r="BQ68"/>
          <cell r="BR68"/>
          <cell r="BS68"/>
          <cell r="BT68"/>
          <cell r="BU68"/>
          <cell r="BV68"/>
          <cell r="BW68">
            <v>0</v>
          </cell>
          <cell r="BX68"/>
          <cell r="BY68"/>
          <cell r="BZ68"/>
          <cell r="CA68"/>
          <cell r="CB68"/>
          <cell r="CC68"/>
          <cell r="CD68"/>
          <cell r="CE68"/>
          <cell r="CF68"/>
          <cell r="CG68" t="e">
            <v>#REF!</v>
          </cell>
          <cell r="CH68"/>
          <cell r="CI68"/>
          <cell r="CJ68"/>
          <cell r="CK68"/>
          <cell r="CL68">
            <v>0</v>
          </cell>
          <cell r="CM68"/>
          <cell r="CN68"/>
          <cell r="CO68"/>
          <cell r="CP68"/>
          <cell r="CQ68"/>
          <cell r="CR68"/>
          <cell r="CS68"/>
          <cell r="CT68"/>
          <cell r="CU68"/>
          <cell r="CV68" t="str">
            <v>64</v>
          </cell>
          <cell r="CW68"/>
          <cell r="CX68"/>
          <cell r="CY68">
            <v>306403</v>
          </cell>
          <cell r="CZ68">
            <v>306405</v>
          </cell>
          <cell r="DA68">
            <v>306407</v>
          </cell>
          <cell r="DB68">
            <v>306409</v>
          </cell>
          <cell r="DC68">
            <v>306411</v>
          </cell>
          <cell r="DD68">
            <v>306413</v>
          </cell>
        </row>
        <row r="69">
          <cell r="B69" t="str">
            <v>65</v>
          </cell>
          <cell r="C69"/>
          <cell r="D69" t="str">
            <v>Gain on Disposal of Assests</v>
          </cell>
          <cell r="E69"/>
          <cell r="F69"/>
          <cell r="G69"/>
          <cell r="H69"/>
          <cell r="I69"/>
          <cell r="J69"/>
          <cell r="K69"/>
          <cell r="L69"/>
          <cell r="M69"/>
          <cell r="N69"/>
          <cell r="O69"/>
          <cell r="P69"/>
          <cell r="Q69" t="str">
            <v>8020</v>
          </cell>
          <cell r="R69">
            <v>0</v>
          </cell>
          <cell r="S69"/>
          <cell r="T69"/>
          <cell r="U69"/>
          <cell r="V69"/>
          <cell r="W69" t="e">
            <v>#REF!</v>
          </cell>
          <cell r="X69"/>
          <cell r="Y69"/>
          <cell r="Z69"/>
          <cell r="AA69"/>
          <cell r="AB69">
            <v>0</v>
          </cell>
          <cell r="AC69"/>
          <cell r="AD69"/>
          <cell r="AE69"/>
          <cell r="AF69"/>
          <cell r="AG69"/>
          <cell r="AH69"/>
          <cell r="AI69"/>
          <cell r="AJ69"/>
          <cell r="AK69"/>
          <cell r="AL69" t="e">
            <v>#REF!</v>
          </cell>
          <cell r="AM69"/>
          <cell r="AN69"/>
          <cell r="AO69"/>
          <cell r="AP69"/>
          <cell r="AQ69" t="str">
            <v>Interest Paid</v>
          </cell>
          <cell r="AR69"/>
          <cell r="AS69"/>
          <cell r="AT69"/>
          <cell r="AU69"/>
          <cell r="AV69"/>
          <cell r="AW69"/>
          <cell r="AX69"/>
          <cell r="AY69"/>
          <cell r="AZ69"/>
          <cell r="BA69"/>
          <cell r="BB69"/>
          <cell r="BC69"/>
          <cell r="BD69"/>
          <cell r="BE69"/>
          <cell r="BF69"/>
          <cell r="BG69"/>
          <cell r="BH69"/>
          <cell r="BI69"/>
          <cell r="BJ69"/>
          <cell r="BK69"/>
          <cell r="BL69"/>
          <cell r="BM69"/>
          <cell r="BN69"/>
          <cell r="BO69">
            <v>8510</v>
          </cell>
          <cell r="BP69"/>
          <cell r="BQ69"/>
          <cell r="BR69"/>
          <cell r="BS69"/>
          <cell r="BT69"/>
          <cell r="BU69"/>
          <cell r="BV69"/>
          <cell r="BW69">
            <v>500</v>
          </cell>
          <cell r="BX69"/>
          <cell r="BY69"/>
          <cell r="BZ69"/>
          <cell r="CA69"/>
          <cell r="CB69"/>
          <cell r="CC69"/>
          <cell r="CD69"/>
          <cell r="CE69"/>
          <cell r="CF69"/>
          <cell r="CG69" t="e">
            <v>#REF!</v>
          </cell>
          <cell r="CH69"/>
          <cell r="CI69"/>
          <cell r="CJ69"/>
          <cell r="CK69"/>
          <cell r="CL69">
            <v>6733</v>
          </cell>
          <cell r="CM69"/>
          <cell r="CN69"/>
          <cell r="CO69"/>
          <cell r="CP69"/>
          <cell r="CQ69"/>
          <cell r="CR69"/>
          <cell r="CS69"/>
          <cell r="CT69"/>
          <cell r="CU69"/>
          <cell r="CV69" t="str">
            <v>65</v>
          </cell>
          <cell r="CW69"/>
          <cell r="CX69"/>
          <cell r="CY69">
            <v>306503</v>
          </cell>
          <cell r="CZ69">
            <v>306505</v>
          </cell>
          <cell r="DA69">
            <v>306507</v>
          </cell>
          <cell r="DB69">
            <v>306509</v>
          </cell>
          <cell r="DC69">
            <v>306511</v>
          </cell>
          <cell r="DD69">
            <v>306513</v>
          </cell>
        </row>
        <row r="70">
          <cell r="B70" t="str">
            <v>66</v>
          </cell>
          <cell r="C70"/>
          <cell r="D70" t="str">
            <v>Bad Debts Recovered</v>
          </cell>
          <cell r="E70"/>
          <cell r="F70"/>
          <cell r="G70"/>
          <cell r="H70"/>
          <cell r="I70"/>
          <cell r="J70"/>
          <cell r="K70"/>
          <cell r="L70"/>
          <cell r="M70"/>
          <cell r="N70"/>
          <cell r="O70"/>
          <cell r="P70"/>
          <cell r="Q70" t="str">
            <v>8040</v>
          </cell>
          <cell r="R70">
            <v>0</v>
          </cell>
          <cell r="S70"/>
          <cell r="T70"/>
          <cell r="U70"/>
          <cell r="V70"/>
          <cell r="W70" t="e">
            <v>#REF!</v>
          </cell>
          <cell r="X70"/>
          <cell r="Y70"/>
          <cell r="Z70"/>
          <cell r="AA70"/>
          <cell r="AB70">
            <v>0</v>
          </cell>
          <cell r="AC70"/>
          <cell r="AD70"/>
          <cell r="AE70"/>
          <cell r="AF70"/>
          <cell r="AG70"/>
          <cell r="AH70"/>
          <cell r="AI70"/>
          <cell r="AJ70"/>
          <cell r="AK70"/>
          <cell r="AL70" t="e">
            <v>#REF!</v>
          </cell>
          <cell r="AM70"/>
          <cell r="AN70"/>
          <cell r="AO70"/>
          <cell r="AP70"/>
          <cell r="AQ70" t="str">
            <v>Loss on Disposal of Assets</v>
          </cell>
          <cell r="AR70"/>
          <cell r="AS70"/>
          <cell r="AT70"/>
          <cell r="AU70"/>
          <cell r="AV70"/>
          <cell r="AW70"/>
          <cell r="AX70"/>
          <cell r="AY70"/>
          <cell r="AZ70"/>
          <cell r="BA70"/>
          <cell r="BB70"/>
          <cell r="BC70"/>
          <cell r="BD70"/>
          <cell r="BE70"/>
          <cell r="BF70"/>
          <cell r="BG70"/>
          <cell r="BH70"/>
          <cell r="BI70"/>
          <cell r="BJ70"/>
          <cell r="BK70"/>
          <cell r="BL70"/>
          <cell r="BM70"/>
          <cell r="BN70"/>
          <cell r="BO70">
            <v>8520</v>
          </cell>
          <cell r="BP70"/>
          <cell r="BQ70"/>
          <cell r="BR70"/>
          <cell r="BS70"/>
          <cell r="BT70"/>
          <cell r="BU70"/>
          <cell r="BV70"/>
          <cell r="BW70">
            <v>0</v>
          </cell>
          <cell r="BX70"/>
          <cell r="BY70"/>
          <cell r="BZ70"/>
          <cell r="CA70"/>
          <cell r="CB70"/>
          <cell r="CC70"/>
          <cell r="CD70"/>
          <cell r="CE70"/>
          <cell r="CF70"/>
          <cell r="CG70" t="e">
            <v>#REF!</v>
          </cell>
          <cell r="CH70"/>
          <cell r="CI70"/>
          <cell r="CJ70"/>
          <cell r="CK70"/>
          <cell r="CL70">
            <v>0</v>
          </cell>
          <cell r="CM70"/>
          <cell r="CN70"/>
          <cell r="CO70"/>
          <cell r="CP70"/>
          <cell r="CQ70" t="e">
            <v>#REF!</v>
          </cell>
          <cell r="CR70"/>
          <cell r="CS70"/>
          <cell r="CT70"/>
          <cell r="CU70"/>
          <cell r="CV70" t="str">
            <v>66</v>
          </cell>
          <cell r="CW70"/>
          <cell r="CX70"/>
          <cell r="CY70">
            <v>306603</v>
          </cell>
          <cell r="CZ70">
            <v>306605</v>
          </cell>
          <cell r="DA70">
            <v>306607</v>
          </cell>
          <cell r="DB70">
            <v>306609</v>
          </cell>
          <cell r="DC70">
            <v>306611</v>
          </cell>
          <cell r="DD70">
            <v>306613</v>
          </cell>
        </row>
        <row r="71">
          <cell r="B71" t="str">
            <v>67</v>
          </cell>
          <cell r="C71"/>
          <cell r="D71" t="str">
            <v>Rental / Service Loaner Vehicles Income</v>
          </cell>
          <cell r="E71"/>
          <cell r="F71"/>
          <cell r="G71"/>
          <cell r="H71"/>
          <cell r="I71"/>
          <cell r="J71"/>
          <cell r="K71"/>
          <cell r="L71"/>
          <cell r="M71"/>
          <cell r="N71"/>
          <cell r="O71"/>
          <cell r="P71"/>
          <cell r="Q71" t="str">
            <v>8090</v>
          </cell>
          <cell r="R71">
            <v>0</v>
          </cell>
          <cell r="S71"/>
          <cell r="T71"/>
          <cell r="U71"/>
          <cell r="V71"/>
          <cell r="W71" t="e">
            <v>#REF!</v>
          </cell>
          <cell r="X71"/>
          <cell r="Y71"/>
          <cell r="Z71"/>
          <cell r="AA71"/>
          <cell r="AB71">
            <v>15910</v>
          </cell>
          <cell r="AC71"/>
          <cell r="AD71"/>
          <cell r="AE71"/>
          <cell r="AF71"/>
          <cell r="AG71"/>
          <cell r="AH71"/>
          <cell r="AI71"/>
          <cell r="AJ71"/>
          <cell r="AK71"/>
          <cell r="AL71" t="e">
            <v>#REF!</v>
          </cell>
          <cell r="AM71"/>
          <cell r="AN71"/>
          <cell r="AO71"/>
          <cell r="AP71"/>
          <cell r="AQ71" t="str">
            <v>Credit Card Expense</v>
          </cell>
          <cell r="AR71"/>
          <cell r="AS71"/>
          <cell r="AT71"/>
          <cell r="AU71"/>
          <cell r="AV71"/>
          <cell r="AW71"/>
          <cell r="AX71"/>
          <cell r="AY71"/>
          <cell r="AZ71"/>
          <cell r="BA71"/>
          <cell r="BB71"/>
          <cell r="BC71"/>
          <cell r="BD71"/>
          <cell r="BE71"/>
          <cell r="BF71"/>
          <cell r="BG71"/>
          <cell r="BH71"/>
          <cell r="BI71"/>
          <cell r="BJ71"/>
          <cell r="BK71"/>
          <cell r="BL71"/>
          <cell r="BM71"/>
          <cell r="BN71"/>
          <cell r="BO71">
            <v>8530</v>
          </cell>
          <cell r="BP71"/>
          <cell r="BQ71"/>
          <cell r="BR71"/>
          <cell r="BS71"/>
          <cell r="BT71"/>
          <cell r="BU71"/>
          <cell r="BV71"/>
          <cell r="BW71">
            <v>7225</v>
          </cell>
          <cell r="BX71"/>
          <cell r="BY71"/>
          <cell r="BZ71"/>
          <cell r="CA71"/>
          <cell r="CB71"/>
          <cell r="CC71"/>
          <cell r="CD71"/>
          <cell r="CE71"/>
          <cell r="CF71"/>
          <cell r="CG71" t="e">
            <v>#REF!</v>
          </cell>
          <cell r="CH71"/>
          <cell r="CI71"/>
          <cell r="CJ71"/>
          <cell r="CK71"/>
          <cell r="CL71">
            <v>77051</v>
          </cell>
          <cell r="CM71"/>
          <cell r="CN71"/>
          <cell r="CO71"/>
          <cell r="CP71"/>
          <cell r="CQ71" t="e">
            <v>#REF!</v>
          </cell>
          <cell r="CR71"/>
          <cell r="CS71"/>
          <cell r="CT71"/>
          <cell r="CU71"/>
          <cell r="CV71" t="str">
            <v>67</v>
          </cell>
          <cell r="CW71"/>
          <cell r="CX71"/>
          <cell r="CY71">
            <v>306703</v>
          </cell>
          <cell r="CZ71">
            <v>306705</v>
          </cell>
          <cell r="DA71"/>
          <cell r="DB71"/>
          <cell r="DC71">
            <v>306711</v>
          </cell>
          <cell r="DD71">
            <v>306713</v>
          </cell>
        </row>
        <row r="72">
          <cell r="B72" t="str">
            <v>68</v>
          </cell>
          <cell r="C72"/>
          <cell r="D72" t="str">
            <v>Other Income</v>
          </cell>
          <cell r="E72"/>
          <cell r="F72"/>
          <cell r="G72"/>
          <cell r="H72"/>
          <cell r="I72"/>
          <cell r="J72"/>
          <cell r="K72"/>
          <cell r="L72"/>
          <cell r="M72"/>
          <cell r="N72"/>
          <cell r="O72"/>
          <cell r="P72"/>
          <cell r="Q72" t="str">
            <v>8050</v>
          </cell>
          <cell r="R72">
            <v>105880</v>
          </cell>
          <cell r="S72"/>
          <cell r="T72"/>
          <cell r="U72"/>
          <cell r="V72"/>
          <cell r="W72" t="e">
            <v>#REF!</v>
          </cell>
          <cell r="X72"/>
          <cell r="Y72"/>
          <cell r="Z72"/>
          <cell r="AA72"/>
          <cell r="AB72">
            <v>961545</v>
          </cell>
          <cell r="AC72"/>
          <cell r="AD72"/>
          <cell r="AE72"/>
          <cell r="AF72"/>
          <cell r="AG72"/>
          <cell r="AH72"/>
          <cell r="AI72"/>
          <cell r="AJ72"/>
          <cell r="AK72"/>
          <cell r="AL72" t="e">
            <v>#REF!</v>
          </cell>
          <cell r="AM72"/>
          <cell r="AN72"/>
          <cell r="AO72"/>
          <cell r="AP72"/>
          <cell r="AQ72" t="str">
            <v>Rental / Service Loaner Vehicles Expense</v>
          </cell>
          <cell r="AR72"/>
          <cell r="AS72"/>
          <cell r="AT72"/>
          <cell r="AU72"/>
          <cell r="AV72"/>
          <cell r="AW72"/>
          <cell r="AX72"/>
          <cell r="AY72"/>
          <cell r="AZ72"/>
          <cell r="BA72"/>
          <cell r="BB72"/>
          <cell r="BC72"/>
          <cell r="BD72"/>
          <cell r="BE72"/>
          <cell r="BF72"/>
          <cell r="BG72"/>
          <cell r="BH72"/>
          <cell r="BI72"/>
          <cell r="BJ72"/>
          <cell r="BK72"/>
          <cell r="BL72"/>
          <cell r="BM72"/>
          <cell r="BN72"/>
          <cell r="BO72">
            <v>8590</v>
          </cell>
          <cell r="BP72"/>
          <cell r="BQ72"/>
          <cell r="BR72"/>
          <cell r="BS72"/>
          <cell r="BT72"/>
          <cell r="BU72"/>
          <cell r="BV72"/>
          <cell r="BW72">
            <v>23529</v>
          </cell>
          <cell r="BX72"/>
          <cell r="BY72"/>
          <cell r="BZ72"/>
          <cell r="CA72"/>
          <cell r="CB72"/>
          <cell r="CC72"/>
          <cell r="CD72"/>
          <cell r="CE72"/>
          <cell r="CF72"/>
          <cell r="CG72" t="e">
            <v>#REF!</v>
          </cell>
          <cell r="CH72"/>
          <cell r="CI72"/>
          <cell r="CJ72"/>
          <cell r="CK72"/>
          <cell r="CL72">
            <v>272552</v>
          </cell>
          <cell r="CM72"/>
          <cell r="CN72"/>
          <cell r="CO72"/>
          <cell r="CP72"/>
          <cell r="CQ72" t="e">
            <v>#REF!</v>
          </cell>
          <cell r="CR72"/>
          <cell r="CS72"/>
          <cell r="CT72"/>
          <cell r="CU72"/>
          <cell r="CV72" t="str">
            <v>68</v>
          </cell>
          <cell r="CW72"/>
          <cell r="CX72"/>
          <cell r="CY72">
            <v>306803</v>
          </cell>
          <cell r="CZ72">
            <v>306805</v>
          </cell>
          <cell r="DA72"/>
          <cell r="DB72"/>
          <cell r="DC72">
            <v>306811</v>
          </cell>
          <cell r="DD72">
            <v>306813</v>
          </cell>
        </row>
        <row r="73">
          <cell r="B73" t="str">
            <v>69</v>
          </cell>
          <cell r="C73"/>
          <cell r="D73" t="str">
            <v>Other Makes Net Profit</v>
          </cell>
          <cell r="E73"/>
          <cell r="F73"/>
          <cell r="G73"/>
          <cell r="H73"/>
          <cell r="I73"/>
          <cell r="J73"/>
          <cell r="K73"/>
          <cell r="L73"/>
          <cell r="M73"/>
          <cell r="N73"/>
          <cell r="O73"/>
          <cell r="P73"/>
          <cell r="Q73" t="str">
            <v>8200</v>
          </cell>
          <cell r="R73">
            <v>0</v>
          </cell>
          <cell r="S73"/>
          <cell r="T73"/>
          <cell r="U73"/>
          <cell r="V73"/>
          <cell r="W73" t="e">
            <v>#REF!</v>
          </cell>
          <cell r="X73"/>
          <cell r="Y73"/>
          <cell r="Z73"/>
          <cell r="AA73"/>
          <cell r="AB73">
            <v>0</v>
          </cell>
          <cell r="AC73"/>
          <cell r="AD73"/>
          <cell r="AE73"/>
          <cell r="AF73"/>
          <cell r="AG73"/>
          <cell r="AH73"/>
          <cell r="AI73"/>
          <cell r="AJ73"/>
          <cell r="AK73"/>
          <cell r="AL73" t="e">
            <v>#REF!</v>
          </cell>
          <cell r="AM73"/>
          <cell r="AN73"/>
          <cell r="AO73"/>
          <cell r="AP73"/>
          <cell r="AQ73" t="str">
            <v>Other Deductions</v>
          </cell>
          <cell r="AR73"/>
          <cell r="AS73"/>
          <cell r="AT73"/>
          <cell r="AU73"/>
          <cell r="AV73"/>
          <cell r="AW73"/>
          <cell r="AX73"/>
          <cell r="AY73"/>
          <cell r="AZ73"/>
          <cell r="BA73"/>
          <cell r="BB73"/>
          <cell r="BC73"/>
          <cell r="BD73"/>
          <cell r="BE73"/>
          <cell r="BF73"/>
          <cell r="BG73"/>
          <cell r="BH73"/>
          <cell r="BI73"/>
          <cell r="BJ73"/>
          <cell r="BK73"/>
          <cell r="BL73"/>
          <cell r="BM73"/>
          <cell r="BN73"/>
          <cell r="BO73">
            <v>8550</v>
          </cell>
          <cell r="BP73"/>
          <cell r="BQ73"/>
          <cell r="BR73"/>
          <cell r="BS73"/>
          <cell r="BT73"/>
          <cell r="BU73"/>
          <cell r="BV73"/>
          <cell r="BW73">
            <v>1</v>
          </cell>
          <cell r="BX73"/>
          <cell r="BY73"/>
          <cell r="BZ73"/>
          <cell r="CA73"/>
          <cell r="CB73"/>
          <cell r="CC73"/>
          <cell r="CD73"/>
          <cell r="CE73"/>
          <cell r="CF73"/>
          <cell r="CG73" t="e">
            <v>#REF!</v>
          </cell>
          <cell r="CH73"/>
          <cell r="CI73"/>
          <cell r="CJ73"/>
          <cell r="CK73"/>
          <cell r="CL73">
            <v>3498</v>
          </cell>
          <cell r="CM73"/>
          <cell r="CN73"/>
          <cell r="CO73"/>
          <cell r="CP73"/>
          <cell r="CQ73" t="e">
            <v>#REF!</v>
          </cell>
          <cell r="CR73"/>
          <cell r="CS73"/>
          <cell r="CT73"/>
          <cell r="CU73"/>
          <cell r="CV73" t="str">
            <v>69</v>
          </cell>
          <cell r="CW73"/>
          <cell r="CX73"/>
          <cell r="CY73">
            <v>306903</v>
          </cell>
          <cell r="CZ73">
            <v>306905</v>
          </cell>
          <cell r="DC73">
            <v>306911</v>
          </cell>
          <cell r="DD73">
            <v>306913</v>
          </cell>
        </row>
        <row r="74">
          <cell r="B74" t="str">
            <v>70</v>
          </cell>
          <cell r="C74"/>
          <cell r="D74" t="str">
            <v>TOTAL</v>
          </cell>
          <cell r="E74"/>
          <cell r="F74"/>
          <cell r="G74"/>
          <cell r="H74"/>
          <cell r="I74"/>
          <cell r="J74"/>
          <cell r="K74"/>
          <cell r="L74"/>
          <cell r="M74"/>
          <cell r="N74"/>
          <cell r="O74"/>
          <cell r="P74" t="str">
            <v xml:space="preserve">(Lines 64 to 69) </v>
          </cell>
          <cell r="Q74" t="str">
            <v>ADAD</v>
          </cell>
          <cell r="R74">
            <v>107998</v>
          </cell>
          <cell r="S74"/>
          <cell r="T74"/>
          <cell r="U74"/>
          <cell r="V74"/>
          <cell r="W74"/>
          <cell r="X74"/>
          <cell r="Y74"/>
          <cell r="Z74"/>
          <cell r="AA74"/>
          <cell r="AB74">
            <v>995280</v>
          </cell>
          <cell r="AC74"/>
          <cell r="AD74"/>
          <cell r="AE74"/>
          <cell r="AF74"/>
          <cell r="AG74"/>
          <cell r="AH74"/>
          <cell r="AI74"/>
          <cell r="AJ74"/>
          <cell r="AK74"/>
          <cell r="AL74" t="e">
            <v>#REF!</v>
          </cell>
          <cell r="AM74"/>
          <cell r="AN74"/>
          <cell r="AO74"/>
          <cell r="AP74"/>
          <cell r="AQ74" t="str">
            <v xml:space="preserve">TOTAL </v>
          </cell>
          <cell r="AR74"/>
          <cell r="AS74"/>
          <cell r="AT74"/>
          <cell r="AU74"/>
          <cell r="AV74"/>
          <cell r="AW74"/>
          <cell r="AX74"/>
          <cell r="AY74"/>
          <cell r="AZ74"/>
          <cell r="BA74"/>
          <cell r="BB74"/>
          <cell r="BC74"/>
          <cell r="BD74"/>
          <cell r="BE74"/>
          <cell r="BF74"/>
          <cell r="BG74"/>
          <cell r="BH74"/>
          <cell r="BI74"/>
          <cell r="BJ74"/>
          <cell r="BK74"/>
          <cell r="BL74"/>
          <cell r="BM74"/>
          <cell r="BN74" t="str">
            <v xml:space="preserve">(Lines 64 to 69) </v>
          </cell>
          <cell r="BO74"/>
          <cell r="BP74"/>
          <cell r="BQ74"/>
          <cell r="BR74"/>
          <cell r="BS74"/>
          <cell r="BT74"/>
          <cell r="BU74"/>
          <cell r="BV74"/>
          <cell r="BW74">
            <v>31255</v>
          </cell>
          <cell r="BX74"/>
          <cell r="BY74"/>
          <cell r="BZ74"/>
          <cell r="CA74"/>
          <cell r="CB74"/>
          <cell r="CC74"/>
          <cell r="CD74"/>
          <cell r="CE74"/>
          <cell r="CF74"/>
          <cell r="CG74" t="e">
            <v>#REF!</v>
          </cell>
          <cell r="CH74"/>
          <cell r="CI74"/>
          <cell r="CJ74"/>
          <cell r="CK74"/>
          <cell r="CL74">
            <v>359834</v>
          </cell>
          <cell r="CM74"/>
          <cell r="CN74"/>
          <cell r="CO74"/>
          <cell r="CP74"/>
          <cell r="CQ74" t="e">
            <v>#REF!</v>
          </cell>
          <cell r="CR74"/>
          <cell r="CS74"/>
          <cell r="CT74"/>
          <cell r="CU74"/>
          <cell r="CV74" t="str">
            <v>70</v>
          </cell>
          <cell r="CW74"/>
          <cell r="CX74"/>
          <cell r="CY74">
            <v>307003</v>
          </cell>
          <cell r="CZ74">
            <v>307005</v>
          </cell>
          <cell r="DC74">
            <v>307011</v>
          </cell>
          <cell r="DD74">
            <v>307013</v>
          </cell>
        </row>
        <row r="75">
          <cell r="B75" t="str">
            <v>71</v>
          </cell>
          <cell r="C75"/>
          <cell r="D75"/>
          <cell r="E75"/>
          <cell r="F75"/>
          <cell r="G75"/>
          <cell r="H75"/>
          <cell r="I75"/>
          <cell r="J75"/>
          <cell r="K75"/>
          <cell r="L75"/>
          <cell r="M75"/>
          <cell r="N75"/>
          <cell r="O75"/>
          <cell r="P75"/>
          <cell r="Q75"/>
          <cell r="R75"/>
          <cell r="S75"/>
          <cell r="T75"/>
          <cell r="U75"/>
          <cell r="V75"/>
          <cell r="W75"/>
          <cell r="X75"/>
          <cell r="Y75"/>
          <cell r="Z75"/>
          <cell r="AA75"/>
          <cell r="AB75"/>
          <cell r="AC75"/>
          <cell r="AD75"/>
          <cell r="AE75"/>
          <cell r="AF75"/>
          <cell r="AG75"/>
          <cell r="AH75"/>
          <cell r="AI75"/>
          <cell r="AJ75"/>
          <cell r="AK75"/>
          <cell r="AL75" t="e">
            <v>#REF!</v>
          </cell>
          <cell r="AM75"/>
          <cell r="AN75"/>
          <cell r="AO75"/>
          <cell r="AP75"/>
          <cell r="AQ75" t="str">
            <v>Net Additions or Deductions</v>
          </cell>
          <cell r="AR75"/>
          <cell r="AS75"/>
          <cell r="AT75"/>
          <cell r="AU75"/>
          <cell r="AV75"/>
          <cell r="AW75"/>
          <cell r="AX75"/>
          <cell r="AY75"/>
          <cell r="AZ75"/>
          <cell r="BA75"/>
          <cell r="BB75"/>
          <cell r="BC75"/>
          <cell r="BD75"/>
          <cell r="BE75"/>
          <cell r="BF75"/>
          <cell r="BG75"/>
          <cell r="BH75"/>
          <cell r="BI75"/>
          <cell r="BJ75"/>
          <cell r="BK75"/>
          <cell r="BL75"/>
          <cell r="BM75"/>
          <cell r="BN75" t="str">
            <v>(L70 Adds Less L70 Deds)</v>
          </cell>
          <cell r="BO75" t="str">
            <v>TT31</v>
          </cell>
          <cell r="BP75"/>
          <cell r="BQ75"/>
          <cell r="BR75"/>
          <cell r="BS75"/>
          <cell r="BT75"/>
          <cell r="BU75"/>
          <cell r="BV75"/>
          <cell r="BW75">
            <v>76743</v>
          </cell>
          <cell r="BX75"/>
          <cell r="BY75"/>
          <cell r="BZ75"/>
          <cell r="CA75"/>
          <cell r="CB75"/>
          <cell r="CC75"/>
          <cell r="CD75"/>
          <cell r="CE75"/>
          <cell r="CF75"/>
          <cell r="CG75" t="e">
            <v>#REF!</v>
          </cell>
          <cell r="CH75"/>
          <cell r="CI75"/>
          <cell r="CJ75"/>
          <cell r="CK75"/>
          <cell r="CL75">
            <v>635446</v>
          </cell>
          <cell r="CM75"/>
          <cell r="CN75"/>
          <cell r="CO75"/>
          <cell r="CP75"/>
          <cell r="CQ75" t="e">
            <v>#REF!</v>
          </cell>
          <cell r="CR75"/>
          <cell r="CS75"/>
          <cell r="CT75"/>
          <cell r="CU75"/>
          <cell r="CV75" t="str">
            <v>71</v>
          </cell>
          <cell r="CW75"/>
          <cell r="CX75"/>
          <cell r="CY75">
            <v>307103</v>
          </cell>
          <cell r="CZ75">
            <v>307105</v>
          </cell>
          <cell r="DC75">
            <v>307111</v>
          </cell>
          <cell r="DD75">
            <v>307113</v>
          </cell>
        </row>
        <row r="76">
          <cell r="B76"/>
          <cell r="C76"/>
          <cell r="D76"/>
          <cell r="E76"/>
          <cell r="F76"/>
          <cell r="G76"/>
          <cell r="H76"/>
          <cell r="I76"/>
          <cell r="J76"/>
          <cell r="K76"/>
          <cell r="L76"/>
          <cell r="M76"/>
          <cell r="N76"/>
          <cell r="O76"/>
          <cell r="P76"/>
          <cell r="Q76"/>
          <cell r="R76"/>
          <cell r="S76"/>
          <cell r="T76"/>
          <cell r="U76"/>
          <cell r="V76"/>
          <cell r="W76"/>
          <cell r="X76"/>
          <cell r="Y76"/>
          <cell r="Z76"/>
          <cell r="AA76"/>
          <cell r="AB76"/>
          <cell r="AC76"/>
          <cell r="AD76"/>
          <cell r="AE76"/>
          <cell r="AF76"/>
          <cell r="AG76"/>
          <cell r="AH76"/>
          <cell r="AI76"/>
          <cell r="AJ76"/>
          <cell r="AK76"/>
          <cell r="AL76"/>
          <cell r="AM76"/>
          <cell r="AN76"/>
          <cell r="AO76"/>
          <cell r="AP76"/>
          <cell r="AQ76"/>
          <cell r="AR76"/>
          <cell r="AS76"/>
          <cell r="AT76"/>
          <cell r="AU76"/>
          <cell r="AV76"/>
          <cell r="AW76"/>
          <cell r="AX76"/>
          <cell r="AY76"/>
          <cell r="AZ76"/>
          <cell r="BA76"/>
          <cell r="BB76"/>
          <cell r="BC76"/>
          <cell r="BD76"/>
          <cell r="BE76"/>
          <cell r="BF76"/>
          <cell r="BG76"/>
          <cell r="BH76"/>
          <cell r="BI76"/>
          <cell r="BJ76"/>
          <cell r="BK76"/>
          <cell r="BL76"/>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v>307403</v>
          </cell>
          <cell r="CZ76">
            <v>307405</v>
          </cell>
          <cell r="DC76">
            <v>307411</v>
          </cell>
          <cell r="DD76">
            <v>307413</v>
          </cell>
        </row>
      </sheetData>
      <sheetData sheetId="3" refreshError="1">
        <row r="1">
          <cell r="B1"/>
          <cell r="C1"/>
          <cell r="D1"/>
          <cell r="E1"/>
          <cell r="F1"/>
          <cell r="G1"/>
          <cell r="H1" t="str">
            <v>NEW VEHICLE DEPARTMENTAL SALES GROSS PROFIT</v>
          </cell>
          <cell r="I1"/>
          <cell r="J1"/>
          <cell r="K1"/>
          <cell r="L1"/>
          <cell r="M1"/>
          <cell r="N1"/>
          <cell r="O1"/>
        </row>
        <row r="2">
          <cell r="B2" t="str">
            <v>Page 4              Current Month: (Month)</v>
          </cell>
          <cell r="C2"/>
          <cell r="D2"/>
          <cell r="E2"/>
          <cell r="F2"/>
          <cell r="G2"/>
          <cell r="H2"/>
          <cell r="I2"/>
          <cell r="J2" t="str">
            <v>Year To Date: (Year)</v>
          </cell>
          <cell r="K2"/>
          <cell r="L2"/>
          <cell r="M2"/>
          <cell r="N2"/>
          <cell r="O2"/>
        </row>
        <row r="3">
          <cell r="B3" t="str">
            <v>UNITS</v>
          </cell>
          <cell r="C3" t="str">
            <v>SALES</v>
          </cell>
          <cell r="D3" t="str">
            <v>GROSS</v>
          </cell>
          <cell r="E3" t="str">
            <v>Inccentive</v>
          </cell>
          <cell r="F3" t="str">
            <v>GROSS</v>
          </cell>
          <cell r="G3" t="str">
            <v>Acct.</v>
          </cell>
          <cell r="H3" t="str">
            <v>ACCOUNT NAME</v>
          </cell>
          <cell r="I3"/>
          <cell r="J3" t="str">
            <v>UNITS</v>
          </cell>
          <cell r="K3" t="str">
            <v>SALES</v>
          </cell>
          <cell r="L3" t="str">
            <v xml:space="preserve">GROSS </v>
          </cell>
          <cell r="M3" t="str">
            <v>Inccentive</v>
          </cell>
          <cell r="N3" t="str">
            <v>GROSS</v>
          </cell>
          <cell r="O3" t="str">
            <v>LINE</v>
          </cell>
        </row>
        <row r="4">
          <cell r="B4"/>
          <cell r="C4"/>
          <cell r="D4"/>
          <cell r="E4" t="str">
            <v>Inc in GP</v>
          </cell>
          <cell r="F4" t="str">
            <v>PER UNIT</v>
          </cell>
          <cell r="G4" t="str">
            <v>No.</v>
          </cell>
          <cell r="H4"/>
          <cell r="I4"/>
          <cell r="J4"/>
          <cell r="K4"/>
          <cell r="L4"/>
          <cell r="M4" t="str">
            <v>Inc in GP</v>
          </cell>
          <cell r="N4" t="str">
            <v>PER UNIT</v>
          </cell>
          <cell r="O4" t="str">
            <v>NO</v>
          </cell>
        </row>
        <row r="5">
          <cell r="B5">
            <v>1</v>
          </cell>
          <cell r="C5">
            <v>14540</v>
          </cell>
          <cell r="D5">
            <v>-489</v>
          </cell>
          <cell r="E5">
            <v>0</v>
          </cell>
          <cell r="F5">
            <v>-489</v>
          </cell>
          <cell r="G5">
            <v>4042</v>
          </cell>
          <cell r="H5" t="str">
            <v>Versa Note / Hatch - Retail</v>
          </cell>
          <cell r="I5"/>
          <cell r="J5">
            <v>4</v>
          </cell>
          <cell r="K5">
            <v>66280</v>
          </cell>
          <cell r="L5">
            <v>-2364</v>
          </cell>
          <cell r="M5">
            <v>0</v>
          </cell>
          <cell r="N5">
            <v>-591</v>
          </cell>
          <cell r="O5" t="str">
            <v>1</v>
          </cell>
        </row>
        <row r="6">
          <cell r="B6">
            <v>12</v>
          </cell>
          <cell r="C6">
            <v>167410</v>
          </cell>
          <cell r="D6">
            <v>-14651</v>
          </cell>
          <cell r="E6">
            <v>0</v>
          </cell>
          <cell r="F6">
            <v>-1221</v>
          </cell>
          <cell r="G6">
            <v>4052</v>
          </cell>
          <cell r="H6" t="str">
            <v>Versa Sedan - Retail</v>
          </cell>
          <cell r="I6"/>
          <cell r="J6">
            <v>86</v>
          </cell>
          <cell r="K6">
            <v>1293322</v>
          </cell>
          <cell r="L6">
            <v>-46627</v>
          </cell>
          <cell r="M6">
            <v>0</v>
          </cell>
          <cell r="N6">
            <v>-542</v>
          </cell>
          <cell r="O6" t="str">
            <v>2</v>
          </cell>
        </row>
        <row r="7">
          <cell r="B7">
            <v>10</v>
          </cell>
          <cell r="C7">
            <v>182160</v>
          </cell>
          <cell r="D7">
            <v>-10765</v>
          </cell>
          <cell r="E7">
            <v>0</v>
          </cell>
          <cell r="F7">
            <v>-1077</v>
          </cell>
          <cell r="G7">
            <v>4000</v>
          </cell>
          <cell r="H7" t="str">
            <v>Sentra - Retail</v>
          </cell>
          <cell r="I7"/>
          <cell r="J7">
            <v>147</v>
          </cell>
          <cell r="K7">
            <v>2745095</v>
          </cell>
          <cell r="L7">
            <v>-130882</v>
          </cell>
          <cell r="M7">
            <v>0</v>
          </cell>
          <cell r="N7">
            <v>-890</v>
          </cell>
          <cell r="O7" t="str">
            <v>3</v>
          </cell>
        </row>
        <row r="8">
          <cell r="B8">
            <v>39</v>
          </cell>
          <cell r="C8">
            <v>908195</v>
          </cell>
          <cell r="D8">
            <v>-68342</v>
          </cell>
          <cell r="E8">
            <v>0</v>
          </cell>
          <cell r="F8">
            <v>-1752</v>
          </cell>
          <cell r="G8">
            <v>4070</v>
          </cell>
          <cell r="H8" t="str">
            <v>Altima 4 Cyl - Retail</v>
          </cell>
          <cell r="I8"/>
          <cell r="J8">
            <v>448</v>
          </cell>
          <cell r="K8">
            <v>10415681</v>
          </cell>
          <cell r="L8">
            <v>-603438</v>
          </cell>
          <cell r="M8">
            <v>0</v>
          </cell>
          <cell r="N8">
            <v>-1347</v>
          </cell>
          <cell r="O8" t="str">
            <v>4</v>
          </cell>
        </row>
        <row r="9">
          <cell r="B9">
            <v>0</v>
          </cell>
          <cell r="C9">
            <v>0</v>
          </cell>
          <cell r="D9">
            <v>0</v>
          </cell>
          <cell r="E9">
            <v>0</v>
          </cell>
          <cell r="F9">
            <v>0</v>
          </cell>
          <cell r="G9">
            <v>4170</v>
          </cell>
          <cell r="H9" t="str">
            <v>Altima 6 Cyl - Retail</v>
          </cell>
          <cell r="I9"/>
          <cell r="J9">
            <v>5</v>
          </cell>
          <cell r="K9">
            <v>150200</v>
          </cell>
          <cell r="L9">
            <v>-2689</v>
          </cell>
          <cell r="M9">
            <v>0</v>
          </cell>
          <cell r="N9">
            <v>-538</v>
          </cell>
          <cell r="O9" t="str">
            <v>5</v>
          </cell>
        </row>
        <row r="10">
          <cell r="B10">
            <v>7</v>
          </cell>
          <cell r="C10">
            <v>252858</v>
          </cell>
          <cell r="D10">
            <v>-6656</v>
          </cell>
          <cell r="E10">
            <v>0</v>
          </cell>
          <cell r="F10">
            <v>-951</v>
          </cell>
          <cell r="G10">
            <v>4050</v>
          </cell>
          <cell r="H10" t="str">
            <v>Maxima - Retail</v>
          </cell>
          <cell r="I10"/>
          <cell r="J10">
            <v>79</v>
          </cell>
          <cell r="K10">
            <v>2834659</v>
          </cell>
          <cell r="L10">
            <v>-62815</v>
          </cell>
          <cell r="M10">
            <v>0</v>
          </cell>
          <cell r="N10">
            <v>-795</v>
          </cell>
          <cell r="O10" t="str">
            <v>6</v>
          </cell>
        </row>
        <row r="11">
          <cell r="B11">
            <v>1</v>
          </cell>
          <cell r="C11">
            <v>31405</v>
          </cell>
          <cell r="D11">
            <v>-1064</v>
          </cell>
          <cell r="E11">
            <v>0</v>
          </cell>
          <cell r="F11">
            <v>-1064</v>
          </cell>
          <cell r="G11">
            <v>4010</v>
          </cell>
          <cell r="H11" t="str">
            <v>Z Coupe - Retail</v>
          </cell>
          <cell r="I11"/>
          <cell r="J11">
            <v>8</v>
          </cell>
          <cell r="K11">
            <v>227764</v>
          </cell>
          <cell r="L11">
            <v>-5451</v>
          </cell>
          <cell r="M11">
            <v>0</v>
          </cell>
          <cell r="N11">
            <v>-681</v>
          </cell>
          <cell r="O11" t="str">
            <v>7</v>
          </cell>
        </row>
        <row r="12">
          <cell r="B12">
            <v>1</v>
          </cell>
          <cell r="C12">
            <v>50735</v>
          </cell>
          <cell r="D12">
            <v>2049</v>
          </cell>
          <cell r="E12">
            <v>0</v>
          </cell>
          <cell r="F12">
            <v>2049</v>
          </cell>
          <cell r="G12">
            <v>4012</v>
          </cell>
          <cell r="H12" t="str">
            <v>Z Roadster - Retail</v>
          </cell>
          <cell r="I12"/>
          <cell r="J12">
            <v>2</v>
          </cell>
          <cell r="K12">
            <v>84595</v>
          </cell>
          <cell r="L12">
            <v>-457</v>
          </cell>
          <cell r="M12">
            <v>0</v>
          </cell>
          <cell r="N12">
            <v>-229</v>
          </cell>
          <cell r="O12" t="str">
            <v>8</v>
          </cell>
        </row>
        <row r="13">
          <cell r="B13">
            <v>0</v>
          </cell>
          <cell r="C13">
            <v>0</v>
          </cell>
          <cell r="D13">
            <v>0</v>
          </cell>
          <cell r="E13">
            <v>0</v>
          </cell>
          <cell r="F13">
            <v>0</v>
          </cell>
          <cell r="G13">
            <v>4002</v>
          </cell>
          <cell r="H13" t="str">
            <v>GT-R - Retail</v>
          </cell>
          <cell r="I13"/>
          <cell r="J13">
            <v>0</v>
          </cell>
          <cell r="K13">
            <v>0</v>
          </cell>
          <cell r="L13">
            <v>0</v>
          </cell>
          <cell r="M13">
            <v>0</v>
          </cell>
          <cell r="N13">
            <v>0</v>
          </cell>
          <cell r="O13" t="str">
            <v>9</v>
          </cell>
        </row>
        <row r="14">
          <cell r="B14">
            <v>0</v>
          </cell>
          <cell r="C14">
            <v>0</v>
          </cell>
          <cell r="D14">
            <v>0</v>
          </cell>
          <cell r="E14">
            <v>0</v>
          </cell>
          <cell r="F14">
            <v>0</v>
          </cell>
          <cell r="G14">
            <v>4011</v>
          </cell>
          <cell r="H14" t="str">
            <v>LEAF Electric Vehicle - Retail</v>
          </cell>
          <cell r="I14"/>
          <cell r="J14">
            <v>1</v>
          </cell>
          <cell r="K14">
            <v>30250</v>
          </cell>
          <cell r="L14">
            <v>-2079</v>
          </cell>
          <cell r="M14">
            <v>0</v>
          </cell>
          <cell r="N14">
            <v>-2079</v>
          </cell>
          <cell r="O14" t="str">
            <v>10</v>
          </cell>
        </row>
        <row r="15">
          <cell r="B15">
            <v>0</v>
          </cell>
          <cell r="C15">
            <v>0</v>
          </cell>
          <cell r="D15">
            <v>0</v>
          </cell>
          <cell r="E15">
            <v>0</v>
          </cell>
          <cell r="F15">
            <v>0</v>
          </cell>
          <cell r="G15">
            <v>4024</v>
          </cell>
          <cell r="H15" t="str">
            <v>Pathfinder HEV - Retail</v>
          </cell>
          <cell r="I15"/>
          <cell r="J15">
            <v>0</v>
          </cell>
          <cell r="K15">
            <v>0</v>
          </cell>
          <cell r="L15">
            <v>0</v>
          </cell>
          <cell r="M15">
            <v>0</v>
          </cell>
          <cell r="N15">
            <v>0</v>
          </cell>
          <cell r="O15" t="str">
            <v>11</v>
          </cell>
        </row>
        <row r="16">
          <cell r="B16">
            <v>25</v>
          </cell>
          <cell r="C16">
            <v>861425</v>
          </cell>
          <cell r="D16">
            <v>-31158</v>
          </cell>
          <cell r="E16">
            <v>0</v>
          </cell>
          <cell r="F16">
            <v>-1246</v>
          </cell>
          <cell r="G16">
            <v>4022</v>
          </cell>
          <cell r="H16" t="str">
            <v>Pathfinder - Retail</v>
          </cell>
          <cell r="I16"/>
          <cell r="J16">
            <v>162</v>
          </cell>
          <cell r="K16">
            <v>5536846</v>
          </cell>
          <cell r="L16">
            <v>-169793</v>
          </cell>
          <cell r="M16">
            <v>0</v>
          </cell>
          <cell r="N16">
            <v>-1048</v>
          </cell>
          <cell r="O16" t="str">
            <v>12</v>
          </cell>
        </row>
        <row r="17">
          <cell r="B17">
            <v>2</v>
          </cell>
          <cell r="C17">
            <v>43680</v>
          </cell>
          <cell r="D17">
            <v>-832</v>
          </cell>
          <cell r="E17">
            <v>0</v>
          </cell>
          <cell r="F17">
            <v>-416</v>
          </cell>
          <cell r="G17">
            <v>4034</v>
          </cell>
          <cell r="H17" t="str">
            <v>JUKE - Retail</v>
          </cell>
          <cell r="I17"/>
          <cell r="J17">
            <v>11</v>
          </cell>
          <cell r="K17">
            <v>254137</v>
          </cell>
          <cell r="L17">
            <v>-9673</v>
          </cell>
          <cell r="M17">
            <v>0</v>
          </cell>
          <cell r="N17">
            <v>-879</v>
          </cell>
          <cell r="O17" t="str">
            <v>13</v>
          </cell>
        </row>
        <row r="18">
          <cell r="B18">
            <v>0</v>
          </cell>
          <cell r="C18">
            <v>0</v>
          </cell>
          <cell r="D18">
            <v>0</v>
          </cell>
          <cell r="E18">
            <v>0</v>
          </cell>
          <cell r="F18">
            <v>0</v>
          </cell>
          <cell r="G18">
            <v>4130</v>
          </cell>
          <cell r="H18" t="str">
            <v>Quest - Retail</v>
          </cell>
          <cell r="I18"/>
          <cell r="J18">
            <v>3</v>
          </cell>
          <cell r="K18">
            <v>119540</v>
          </cell>
          <cell r="L18">
            <v>-225</v>
          </cell>
          <cell r="M18">
            <v>0</v>
          </cell>
          <cell r="N18">
            <v>-75</v>
          </cell>
          <cell r="O18" t="str">
            <v>14</v>
          </cell>
        </row>
        <row r="19">
          <cell r="B19">
            <v>0</v>
          </cell>
          <cell r="C19">
            <v>0</v>
          </cell>
          <cell r="D19">
            <v>0</v>
          </cell>
          <cell r="E19">
            <v>0</v>
          </cell>
          <cell r="F19">
            <v>0</v>
          </cell>
          <cell r="G19">
            <v>4142</v>
          </cell>
          <cell r="H19" t="str">
            <v>Xterra - Retail</v>
          </cell>
          <cell r="I19"/>
          <cell r="J19">
            <v>0</v>
          </cell>
          <cell r="K19">
            <v>0</v>
          </cell>
          <cell r="L19">
            <v>0</v>
          </cell>
          <cell r="M19">
            <v>0</v>
          </cell>
          <cell r="N19">
            <v>0</v>
          </cell>
          <cell r="O19" t="str">
            <v>15</v>
          </cell>
        </row>
        <row r="20">
          <cell r="B20">
            <v>52</v>
          </cell>
          <cell r="C20">
            <v>1311449</v>
          </cell>
          <cell r="D20">
            <v>-69120</v>
          </cell>
          <cell r="E20">
            <v>0</v>
          </cell>
          <cell r="F20">
            <v>-1329</v>
          </cell>
          <cell r="G20">
            <v>4112</v>
          </cell>
          <cell r="H20" t="str">
            <v>Rogue - Retail</v>
          </cell>
          <cell r="I20"/>
          <cell r="J20">
            <v>369</v>
          </cell>
          <cell r="K20">
            <v>9287237</v>
          </cell>
          <cell r="L20">
            <v>-356651</v>
          </cell>
          <cell r="M20">
            <v>0</v>
          </cell>
          <cell r="N20">
            <v>-967</v>
          </cell>
          <cell r="O20" t="str">
            <v>16</v>
          </cell>
        </row>
        <row r="21">
          <cell r="B21">
            <v>2</v>
          </cell>
          <cell r="C21">
            <v>54790</v>
          </cell>
          <cell r="D21">
            <v>-960</v>
          </cell>
          <cell r="E21">
            <v>0</v>
          </cell>
          <cell r="F21">
            <v>-480</v>
          </cell>
          <cell r="G21">
            <v>4026</v>
          </cell>
          <cell r="H21" t="str">
            <v>Rogue Select - Retail</v>
          </cell>
          <cell r="I21"/>
          <cell r="J21">
            <v>8</v>
          </cell>
          <cell r="K21">
            <v>198170</v>
          </cell>
          <cell r="L21">
            <v>2238</v>
          </cell>
          <cell r="M21">
            <v>0</v>
          </cell>
          <cell r="N21">
            <v>280</v>
          </cell>
          <cell r="O21" t="str">
            <v>17</v>
          </cell>
        </row>
        <row r="22">
          <cell r="B22">
            <v>0</v>
          </cell>
          <cell r="C22">
            <v>0</v>
          </cell>
          <cell r="D22">
            <v>0</v>
          </cell>
          <cell r="E22">
            <v>0</v>
          </cell>
          <cell r="F22">
            <v>0</v>
          </cell>
          <cell r="G22">
            <v>4113</v>
          </cell>
          <cell r="H22" t="str">
            <v>Rogue HEV - Retail</v>
          </cell>
          <cell r="I22"/>
          <cell r="J22">
            <v>0</v>
          </cell>
          <cell r="K22">
            <v>0</v>
          </cell>
          <cell r="L22">
            <v>0</v>
          </cell>
          <cell r="M22">
            <v>0</v>
          </cell>
          <cell r="N22">
            <v>0</v>
          </cell>
          <cell r="O22" t="str">
            <v>18</v>
          </cell>
        </row>
        <row r="23">
          <cell r="B23">
            <v>11</v>
          </cell>
          <cell r="C23">
            <v>419570</v>
          </cell>
          <cell r="D23">
            <v>-7675</v>
          </cell>
          <cell r="E23">
            <v>0</v>
          </cell>
          <cell r="F23">
            <v>-698</v>
          </cell>
          <cell r="G23">
            <v>4092</v>
          </cell>
          <cell r="H23" t="str">
            <v>Murano - Retail</v>
          </cell>
          <cell r="I23"/>
          <cell r="J23">
            <v>101</v>
          </cell>
          <cell r="K23">
            <v>3757962</v>
          </cell>
          <cell r="L23">
            <v>-71635</v>
          </cell>
          <cell r="M23">
            <v>0</v>
          </cell>
          <cell r="N23">
            <v>-709</v>
          </cell>
          <cell r="O23" t="str">
            <v>19</v>
          </cell>
        </row>
        <row r="24">
          <cell r="B24">
            <v>0</v>
          </cell>
          <cell r="C24">
            <v>0</v>
          </cell>
          <cell r="D24">
            <v>0</v>
          </cell>
          <cell r="E24">
            <v>0</v>
          </cell>
          <cell r="F24">
            <v>0</v>
          </cell>
          <cell r="G24">
            <v>4122</v>
          </cell>
          <cell r="H24" t="str">
            <v>Murano HEV - Retail</v>
          </cell>
          <cell r="I24"/>
          <cell r="J24">
            <v>0</v>
          </cell>
          <cell r="K24">
            <v>0</v>
          </cell>
          <cell r="L24">
            <v>0</v>
          </cell>
          <cell r="M24">
            <v>0</v>
          </cell>
          <cell r="N24">
            <v>0</v>
          </cell>
          <cell r="O24" t="str">
            <v>20</v>
          </cell>
        </row>
        <row r="25">
          <cell r="B25">
            <v>3</v>
          </cell>
          <cell r="C25">
            <v>160810</v>
          </cell>
          <cell r="D25">
            <v>-3393</v>
          </cell>
          <cell r="E25">
            <v>0</v>
          </cell>
          <cell r="F25">
            <v>-1131</v>
          </cell>
          <cell r="G25">
            <v>4032</v>
          </cell>
          <cell r="H25" t="str">
            <v>Armada - Retail</v>
          </cell>
          <cell r="I25"/>
          <cell r="J25">
            <v>23</v>
          </cell>
          <cell r="K25">
            <v>1141243</v>
          </cell>
          <cell r="L25">
            <v>12996</v>
          </cell>
          <cell r="M25">
            <v>0</v>
          </cell>
          <cell r="N25">
            <v>565</v>
          </cell>
          <cell r="O25" t="str">
            <v>21</v>
          </cell>
        </row>
        <row r="26">
          <cell r="B26">
            <v>5</v>
          </cell>
          <cell r="C26">
            <v>112886</v>
          </cell>
          <cell r="D26">
            <v>-4308</v>
          </cell>
          <cell r="E26">
            <v>0</v>
          </cell>
          <cell r="F26">
            <v>-862</v>
          </cell>
          <cell r="G26">
            <v>4082</v>
          </cell>
          <cell r="H26" t="str">
            <v>Frontier King Cab - Retail</v>
          </cell>
          <cell r="I26"/>
          <cell r="J26">
            <v>20</v>
          </cell>
          <cell r="K26">
            <v>449086</v>
          </cell>
          <cell r="L26">
            <v>-11777</v>
          </cell>
          <cell r="M26">
            <v>0</v>
          </cell>
          <cell r="N26">
            <v>-589</v>
          </cell>
          <cell r="O26" t="str">
            <v>22</v>
          </cell>
        </row>
        <row r="27">
          <cell r="B27">
            <v>6</v>
          </cell>
          <cell r="C27">
            <v>173188</v>
          </cell>
          <cell r="D27">
            <v>-2503</v>
          </cell>
          <cell r="E27">
            <v>0</v>
          </cell>
          <cell r="F27">
            <v>-417</v>
          </cell>
          <cell r="G27">
            <v>4182</v>
          </cell>
          <cell r="H27" t="str">
            <v>Frontier Crew Cab - Retail</v>
          </cell>
          <cell r="I27"/>
          <cell r="J27">
            <v>106</v>
          </cell>
          <cell r="K27">
            <v>2807210</v>
          </cell>
          <cell r="L27">
            <v>-25808</v>
          </cell>
          <cell r="M27">
            <v>0</v>
          </cell>
          <cell r="N27">
            <v>-243</v>
          </cell>
          <cell r="O27" t="str">
            <v>23</v>
          </cell>
        </row>
        <row r="28">
          <cell r="B28">
            <v>8</v>
          </cell>
          <cell r="C28">
            <v>274441</v>
          </cell>
          <cell r="D28">
            <v>-1070</v>
          </cell>
          <cell r="E28">
            <v>0</v>
          </cell>
          <cell r="F28">
            <v>-134</v>
          </cell>
          <cell r="G28">
            <v>4150</v>
          </cell>
          <cell r="H28" t="str">
            <v>Titan King Cab - Retail</v>
          </cell>
          <cell r="I28"/>
          <cell r="J28">
            <v>38</v>
          </cell>
          <cell r="K28">
            <v>1143611</v>
          </cell>
          <cell r="L28">
            <v>-31353</v>
          </cell>
          <cell r="M28">
            <v>0</v>
          </cell>
          <cell r="N28">
            <v>-825</v>
          </cell>
          <cell r="O28" t="str">
            <v>24</v>
          </cell>
        </row>
        <row r="29">
          <cell r="B29">
            <v>2</v>
          </cell>
          <cell r="C29">
            <v>77575</v>
          </cell>
          <cell r="D29">
            <v>-980</v>
          </cell>
          <cell r="E29">
            <v>0</v>
          </cell>
          <cell r="F29">
            <v>-490</v>
          </cell>
          <cell r="G29">
            <v>4152</v>
          </cell>
          <cell r="H29" t="str">
            <v>Titan Crew Cab - Retail</v>
          </cell>
          <cell r="I29"/>
          <cell r="J29">
            <v>20</v>
          </cell>
          <cell r="K29">
            <v>858375</v>
          </cell>
          <cell r="L29">
            <v>-1897</v>
          </cell>
          <cell r="M29">
            <v>0</v>
          </cell>
          <cell r="N29">
            <v>-95</v>
          </cell>
          <cell r="O29" t="str">
            <v>25</v>
          </cell>
        </row>
        <row r="30">
          <cell r="B30">
            <v>0</v>
          </cell>
          <cell r="C30">
            <v>0</v>
          </cell>
          <cell r="D30">
            <v>0</v>
          </cell>
          <cell r="E30">
            <v>0</v>
          </cell>
          <cell r="F30">
            <v>0</v>
          </cell>
          <cell r="G30">
            <v>4140</v>
          </cell>
          <cell r="H30" t="str">
            <v>Titan Single Cab - Retail</v>
          </cell>
          <cell r="I30"/>
          <cell r="J30">
            <v>0</v>
          </cell>
          <cell r="K30">
            <v>0</v>
          </cell>
          <cell r="L30">
            <v>0</v>
          </cell>
          <cell r="M30">
            <v>0</v>
          </cell>
          <cell r="N30">
            <v>0</v>
          </cell>
          <cell r="O30" t="str">
            <v>26</v>
          </cell>
        </row>
        <row r="31">
          <cell r="B31">
            <v>0</v>
          </cell>
          <cell r="C31">
            <v>0</v>
          </cell>
          <cell r="D31">
            <v>0</v>
          </cell>
          <cell r="E31">
            <v>0</v>
          </cell>
          <cell r="F31">
            <v>0</v>
          </cell>
          <cell r="G31">
            <v>4156</v>
          </cell>
          <cell r="H31" t="str">
            <v>Titan XD King Cab - Retail</v>
          </cell>
          <cell r="I31"/>
          <cell r="J31">
            <v>0</v>
          </cell>
          <cell r="K31">
            <v>0</v>
          </cell>
          <cell r="L31">
            <v>0</v>
          </cell>
          <cell r="M31">
            <v>0</v>
          </cell>
          <cell r="N31">
            <v>0</v>
          </cell>
          <cell r="O31" t="str">
            <v>27</v>
          </cell>
        </row>
        <row r="32">
          <cell r="B32">
            <v>12</v>
          </cell>
          <cell r="C32">
            <v>719746</v>
          </cell>
          <cell r="D32">
            <v>-18107</v>
          </cell>
          <cell r="E32">
            <v>0</v>
          </cell>
          <cell r="F32">
            <v>-1509</v>
          </cell>
          <cell r="G32">
            <v>4158</v>
          </cell>
          <cell r="H32" t="str">
            <v>Titan XD Crew Cab - Retail</v>
          </cell>
          <cell r="I32"/>
          <cell r="J32">
            <v>30</v>
          </cell>
          <cell r="K32">
            <v>1864310</v>
          </cell>
          <cell r="L32">
            <v>-16496</v>
          </cell>
          <cell r="M32">
            <v>0</v>
          </cell>
          <cell r="N32">
            <v>-550</v>
          </cell>
          <cell r="O32" t="str">
            <v>28</v>
          </cell>
        </row>
        <row r="33">
          <cell r="B33">
            <v>0</v>
          </cell>
          <cell r="C33">
            <v>0</v>
          </cell>
          <cell r="D33">
            <v>0</v>
          </cell>
          <cell r="E33">
            <v>0</v>
          </cell>
          <cell r="F33">
            <v>0</v>
          </cell>
          <cell r="G33">
            <v>4148</v>
          </cell>
          <cell r="H33" t="str">
            <v>Titan XD Single Cab - Retail</v>
          </cell>
          <cell r="I33"/>
          <cell r="J33">
            <v>0</v>
          </cell>
          <cell r="K33">
            <v>0</v>
          </cell>
          <cell r="L33">
            <v>0</v>
          </cell>
          <cell r="M33">
            <v>0</v>
          </cell>
          <cell r="N33">
            <v>0</v>
          </cell>
          <cell r="O33" t="str">
            <v>29</v>
          </cell>
        </row>
        <row r="34">
          <cell r="B34">
            <v>0</v>
          </cell>
          <cell r="C34">
            <v>0</v>
          </cell>
          <cell r="D34">
            <v>0</v>
          </cell>
          <cell r="E34">
            <v>0</v>
          </cell>
          <cell r="F34">
            <v>0</v>
          </cell>
          <cell r="G34">
            <v>4060</v>
          </cell>
          <cell r="H34" t="str">
            <v>Non-Current Models - Retail</v>
          </cell>
          <cell r="I34"/>
          <cell r="J34">
            <v>0</v>
          </cell>
          <cell r="K34">
            <v>0</v>
          </cell>
          <cell r="L34">
            <v>0</v>
          </cell>
          <cell r="M34">
            <v>0</v>
          </cell>
          <cell r="N34">
            <v>0</v>
          </cell>
          <cell r="O34" t="str">
            <v>30</v>
          </cell>
        </row>
        <row r="35">
          <cell r="B35">
            <v>199</v>
          </cell>
          <cell r="C35">
            <v>5816863</v>
          </cell>
          <cell r="D35">
            <v>-240024</v>
          </cell>
          <cell r="E35">
            <v>0</v>
          </cell>
          <cell r="F35">
            <v>-1206</v>
          </cell>
          <cell r="G35" t="str">
            <v>SUBTOTAL NISSAN VEHICLE - RETAIL</v>
          </cell>
          <cell r="H35"/>
          <cell r="I35" t="str">
            <v xml:space="preserve">(Lines 1 to 30) </v>
          </cell>
          <cell r="J35">
            <v>1671</v>
          </cell>
          <cell r="K35">
            <v>45265573</v>
          </cell>
          <cell r="L35">
            <v>-1536876</v>
          </cell>
          <cell r="M35">
            <v>0</v>
          </cell>
          <cell r="N35">
            <v>-920</v>
          </cell>
          <cell r="O35" t="str">
            <v>31</v>
          </cell>
        </row>
        <row r="36">
          <cell r="B36">
            <v>0</v>
          </cell>
          <cell r="C36">
            <v>0</v>
          </cell>
          <cell r="D36">
            <v>0</v>
          </cell>
          <cell r="E36">
            <v>0</v>
          </cell>
          <cell r="F36">
            <v>0</v>
          </cell>
          <cell r="G36">
            <v>4047</v>
          </cell>
          <cell r="H36" t="str">
            <v>Versa Note / Hatch - Lease</v>
          </cell>
          <cell r="I36"/>
          <cell r="J36">
            <v>0</v>
          </cell>
          <cell r="K36">
            <v>0</v>
          </cell>
          <cell r="L36">
            <v>0</v>
          </cell>
          <cell r="M36">
            <v>0</v>
          </cell>
          <cell r="N36">
            <v>0</v>
          </cell>
          <cell r="O36" t="str">
            <v>32</v>
          </cell>
        </row>
        <row r="37">
          <cell r="B37">
            <v>0</v>
          </cell>
          <cell r="C37">
            <v>0</v>
          </cell>
          <cell r="D37">
            <v>0</v>
          </cell>
          <cell r="E37">
            <v>0</v>
          </cell>
          <cell r="F37">
            <v>0</v>
          </cell>
          <cell r="G37">
            <v>4057</v>
          </cell>
          <cell r="H37" t="str">
            <v>Versa Sedan - Lease</v>
          </cell>
          <cell r="I37"/>
          <cell r="J37">
            <v>0</v>
          </cell>
          <cell r="K37">
            <v>0</v>
          </cell>
          <cell r="L37">
            <v>0</v>
          </cell>
          <cell r="M37">
            <v>0</v>
          </cell>
          <cell r="N37">
            <v>0</v>
          </cell>
          <cell r="O37" t="str">
            <v>33</v>
          </cell>
        </row>
        <row r="38">
          <cell r="B38">
            <v>5</v>
          </cell>
          <cell r="C38">
            <v>95980</v>
          </cell>
          <cell r="D38">
            <v>-754</v>
          </cell>
          <cell r="E38">
            <v>0</v>
          </cell>
          <cell r="F38">
            <v>-151</v>
          </cell>
          <cell r="G38">
            <v>4005</v>
          </cell>
          <cell r="H38" t="str">
            <v>Sentra - Lease</v>
          </cell>
          <cell r="I38"/>
          <cell r="J38">
            <v>32</v>
          </cell>
          <cell r="K38">
            <v>596817</v>
          </cell>
          <cell r="L38">
            <v>-9241</v>
          </cell>
          <cell r="M38">
            <v>0</v>
          </cell>
          <cell r="N38">
            <v>-289</v>
          </cell>
          <cell r="O38" t="str">
            <v>34</v>
          </cell>
        </row>
        <row r="39">
          <cell r="B39">
            <v>1</v>
          </cell>
          <cell r="C39">
            <v>24630</v>
          </cell>
          <cell r="D39">
            <v>-374</v>
          </cell>
          <cell r="E39">
            <v>0</v>
          </cell>
          <cell r="F39">
            <v>-374</v>
          </cell>
          <cell r="G39">
            <v>4075</v>
          </cell>
          <cell r="H39" t="str">
            <v>Altima 4 Cyl - Lease</v>
          </cell>
          <cell r="I39"/>
          <cell r="J39">
            <v>46</v>
          </cell>
          <cell r="K39">
            <v>1170834</v>
          </cell>
          <cell r="L39">
            <v>-668</v>
          </cell>
          <cell r="M39">
            <v>0</v>
          </cell>
          <cell r="N39">
            <v>-15</v>
          </cell>
          <cell r="O39" t="str">
            <v>35</v>
          </cell>
        </row>
        <row r="40">
          <cell r="B40">
            <v>0</v>
          </cell>
          <cell r="C40">
            <v>0</v>
          </cell>
          <cell r="D40">
            <v>0</v>
          </cell>
          <cell r="E40">
            <v>0</v>
          </cell>
          <cell r="F40">
            <v>0</v>
          </cell>
          <cell r="G40">
            <v>4175</v>
          </cell>
          <cell r="H40" t="str">
            <v>Altima 6 Cyl - Lease</v>
          </cell>
          <cell r="I40"/>
          <cell r="J40">
            <v>0</v>
          </cell>
          <cell r="K40">
            <v>0</v>
          </cell>
          <cell r="L40">
            <v>0</v>
          </cell>
          <cell r="M40">
            <v>0</v>
          </cell>
          <cell r="N40">
            <v>0</v>
          </cell>
          <cell r="O40" t="str">
            <v>36</v>
          </cell>
        </row>
        <row r="41">
          <cell r="B41">
            <v>0</v>
          </cell>
          <cell r="C41">
            <v>0</v>
          </cell>
          <cell r="D41">
            <v>0</v>
          </cell>
          <cell r="E41">
            <v>0</v>
          </cell>
          <cell r="F41">
            <v>0</v>
          </cell>
          <cell r="G41">
            <v>4055</v>
          </cell>
          <cell r="H41" t="str">
            <v>Maxima - Lease</v>
          </cell>
          <cell r="I41"/>
          <cell r="J41">
            <v>16</v>
          </cell>
          <cell r="K41">
            <v>537710</v>
          </cell>
          <cell r="L41">
            <v>2020</v>
          </cell>
          <cell r="M41">
            <v>0</v>
          </cell>
          <cell r="N41">
            <v>126</v>
          </cell>
          <cell r="O41" t="str">
            <v>37</v>
          </cell>
        </row>
        <row r="42">
          <cell r="B42">
            <v>0</v>
          </cell>
          <cell r="C42">
            <v>0</v>
          </cell>
          <cell r="D42">
            <v>0</v>
          </cell>
          <cell r="E42">
            <v>0</v>
          </cell>
          <cell r="F42">
            <v>0</v>
          </cell>
          <cell r="G42">
            <v>4015</v>
          </cell>
          <cell r="H42" t="str">
            <v>Z Coupe - Lease</v>
          </cell>
          <cell r="I42"/>
          <cell r="J42">
            <v>0</v>
          </cell>
          <cell r="K42">
            <v>0</v>
          </cell>
          <cell r="L42">
            <v>0</v>
          </cell>
          <cell r="M42">
            <v>0</v>
          </cell>
          <cell r="N42">
            <v>0</v>
          </cell>
          <cell r="O42" t="str">
            <v>38</v>
          </cell>
        </row>
        <row r="43">
          <cell r="B43">
            <v>0</v>
          </cell>
          <cell r="C43">
            <v>0</v>
          </cell>
          <cell r="D43">
            <v>0</v>
          </cell>
          <cell r="E43">
            <v>0</v>
          </cell>
          <cell r="F43">
            <v>0</v>
          </cell>
          <cell r="G43">
            <v>4017</v>
          </cell>
          <cell r="H43" t="str">
            <v>Z Roadster - Lease</v>
          </cell>
          <cell r="I43"/>
          <cell r="J43">
            <v>0</v>
          </cell>
          <cell r="K43">
            <v>0</v>
          </cell>
          <cell r="L43">
            <v>0</v>
          </cell>
          <cell r="M43">
            <v>0</v>
          </cell>
          <cell r="N43">
            <v>0</v>
          </cell>
          <cell r="O43" t="str">
            <v>39</v>
          </cell>
        </row>
        <row r="44">
          <cell r="B44">
            <v>0</v>
          </cell>
          <cell r="C44">
            <v>0</v>
          </cell>
          <cell r="D44">
            <v>0</v>
          </cell>
          <cell r="E44">
            <v>0</v>
          </cell>
          <cell r="F44">
            <v>0</v>
          </cell>
          <cell r="G44">
            <v>4007</v>
          </cell>
          <cell r="H44" t="str">
            <v>GT-R - Lease</v>
          </cell>
          <cell r="I44"/>
          <cell r="J44">
            <v>0</v>
          </cell>
          <cell r="K44">
            <v>0</v>
          </cell>
          <cell r="L44">
            <v>0</v>
          </cell>
          <cell r="M44">
            <v>0</v>
          </cell>
          <cell r="N44">
            <v>0</v>
          </cell>
          <cell r="O44" t="str">
            <v>40</v>
          </cell>
        </row>
        <row r="45">
          <cell r="B45">
            <v>0</v>
          </cell>
          <cell r="C45">
            <v>0</v>
          </cell>
          <cell r="D45">
            <v>0</v>
          </cell>
          <cell r="E45">
            <v>0</v>
          </cell>
          <cell r="F45">
            <v>0</v>
          </cell>
          <cell r="G45">
            <v>4013</v>
          </cell>
          <cell r="H45" t="str">
            <v>LEAF Electric Vehicle - Lease</v>
          </cell>
          <cell r="I45"/>
          <cell r="J45">
            <v>1</v>
          </cell>
          <cell r="K45">
            <v>36702</v>
          </cell>
          <cell r="L45">
            <v>-650</v>
          </cell>
          <cell r="M45">
            <v>0</v>
          </cell>
          <cell r="N45">
            <v>-650</v>
          </cell>
          <cell r="O45" t="str">
            <v>41</v>
          </cell>
        </row>
        <row r="46">
          <cell r="B46">
            <v>0</v>
          </cell>
          <cell r="C46">
            <v>0</v>
          </cell>
          <cell r="D46">
            <v>0</v>
          </cell>
          <cell r="E46">
            <v>0</v>
          </cell>
          <cell r="F46">
            <v>0</v>
          </cell>
          <cell r="G46">
            <v>4025</v>
          </cell>
          <cell r="H46" t="str">
            <v>Pathfinder HEV - Lease</v>
          </cell>
          <cell r="I46"/>
          <cell r="J46">
            <v>0</v>
          </cell>
          <cell r="K46">
            <v>0</v>
          </cell>
          <cell r="L46">
            <v>0</v>
          </cell>
          <cell r="M46">
            <v>0</v>
          </cell>
          <cell r="N46">
            <v>0</v>
          </cell>
          <cell r="O46" t="str">
            <v>42</v>
          </cell>
        </row>
        <row r="47">
          <cell r="B47">
            <v>0</v>
          </cell>
          <cell r="C47">
            <v>0</v>
          </cell>
          <cell r="D47">
            <v>150</v>
          </cell>
          <cell r="E47">
            <v>0</v>
          </cell>
          <cell r="F47">
            <v>0</v>
          </cell>
          <cell r="G47">
            <v>4027</v>
          </cell>
          <cell r="H47" t="str">
            <v>Pathfinder - Lease</v>
          </cell>
          <cell r="I47"/>
          <cell r="J47">
            <v>7</v>
          </cell>
          <cell r="K47">
            <v>227981</v>
          </cell>
          <cell r="L47">
            <v>-1324</v>
          </cell>
          <cell r="M47">
            <v>0</v>
          </cell>
          <cell r="N47">
            <v>-189</v>
          </cell>
          <cell r="O47" t="str">
            <v>43</v>
          </cell>
        </row>
        <row r="48">
          <cell r="B48">
            <v>0</v>
          </cell>
          <cell r="C48">
            <v>0</v>
          </cell>
          <cell r="D48">
            <v>0</v>
          </cell>
          <cell r="E48">
            <v>0</v>
          </cell>
          <cell r="F48">
            <v>0</v>
          </cell>
          <cell r="G48">
            <v>4039</v>
          </cell>
          <cell r="H48" t="str">
            <v>JUKE - Lease</v>
          </cell>
          <cell r="I48"/>
          <cell r="J48">
            <v>2</v>
          </cell>
          <cell r="K48">
            <v>45620</v>
          </cell>
          <cell r="L48">
            <v>-641</v>
          </cell>
          <cell r="M48">
            <v>0</v>
          </cell>
          <cell r="N48">
            <v>-321</v>
          </cell>
          <cell r="O48" t="str">
            <v>44</v>
          </cell>
        </row>
        <row r="49">
          <cell r="B49">
            <v>0</v>
          </cell>
          <cell r="C49">
            <v>0</v>
          </cell>
          <cell r="D49">
            <v>0</v>
          </cell>
          <cell r="E49">
            <v>0</v>
          </cell>
          <cell r="F49">
            <v>0</v>
          </cell>
          <cell r="G49">
            <v>4135</v>
          </cell>
          <cell r="H49" t="str">
            <v>Quest - Lease</v>
          </cell>
          <cell r="I49"/>
          <cell r="J49">
            <v>0</v>
          </cell>
          <cell r="K49">
            <v>0</v>
          </cell>
          <cell r="L49">
            <v>0</v>
          </cell>
          <cell r="M49">
            <v>0</v>
          </cell>
          <cell r="N49">
            <v>0</v>
          </cell>
          <cell r="O49" t="str">
            <v>45</v>
          </cell>
        </row>
        <row r="50">
          <cell r="B50">
            <v>0</v>
          </cell>
          <cell r="C50">
            <v>0</v>
          </cell>
          <cell r="D50">
            <v>0</v>
          </cell>
          <cell r="E50">
            <v>0</v>
          </cell>
          <cell r="F50">
            <v>0</v>
          </cell>
          <cell r="G50">
            <v>4147</v>
          </cell>
          <cell r="H50" t="str">
            <v>Xterra - Lease</v>
          </cell>
          <cell r="I50"/>
          <cell r="J50">
            <v>0</v>
          </cell>
          <cell r="K50">
            <v>0</v>
          </cell>
          <cell r="L50">
            <v>0</v>
          </cell>
          <cell r="M50">
            <v>0</v>
          </cell>
          <cell r="N50">
            <v>0</v>
          </cell>
          <cell r="O50" t="str">
            <v>46</v>
          </cell>
        </row>
        <row r="51">
          <cell r="B51">
            <v>5</v>
          </cell>
          <cell r="C51">
            <v>140768</v>
          </cell>
          <cell r="D51">
            <v>458</v>
          </cell>
          <cell r="E51">
            <v>0</v>
          </cell>
          <cell r="F51">
            <v>92</v>
          </cell>
          <cell r="G51">
            <v>4117</v>
          </cell>
          <cell r="H51" t="str">
            <v>Rogue - Lease</v>
          </cell>
          <cell r="I51"/>
          <cell r="J51">
            <v>53</v>
          </cell>
          <cell r="K51">
            <v>1401751</v>
          </cell>
          <cell r="L51">
            <v>-3067</v>
          </cell>
          <cell r="M51">
            <v>0</v>
          </cell>
          <cell r="N51">
            <v>-58</v>
          </cell>
          <cell r="O51" t="str">
            <v>47</v>
          </cell>
        </row>
        <row r="52">
          <cell r="B52">
            <v>1</v>
          </cell>
          <cell r="C52">
            <v>28040</v>
          </cell>
          <cell r="D52">
            <v>440</v>
          </cell>
          <cell r="E52">
            <v>0</v>
          </cell>
          <cell r="F52">
            <v>440</v>
          </cell>
          <cell r="G52">
            <v>4028</v>
          </cell>
          <cell r="H52" t="str">
            <v>Rogue Select - Lease</v>
          </cell>
          <cell r="I52"/>
          <cell r="J52">
            <v>2</v>
          </cell>
          <cell r="K52">
            <v>50879</v>
          </cell>
          <cell r="L52">
            <v>106</v>
          </cell>
          <cell r="M52">
            <v>0</v>
          </cell>
          <cell r="N52">
            <v>53</v>
          </cell>
          <cell r="O52" t="str">
            <v>48</v>
          </cell>
        </row>
        <row r="53">
          <cell r="B53">
            <v>0</v>
          </cell>
          <cell r="C53">
            <v>0</v>
          </cell>
          <cell r="D53">
            <v>0</v>
          </cell>
          <cell r="E53">
            <v>0</v>
          </cell>
          <cell r="F53">
            <v>0</v>
          </cell>
          <cell r="G53">
            <v>4114</v>
          </cell>
          <cell r="H53" t="str">
            <v xml:space="preserve">Rogue HEV - Lease </v>
          </cell>
          <cell r="I53"/>
          <cell r="J53">
            <v>0</v>
          </cell>
          <cell r="K53">
            <v>0</v>
          </cell>
          <cell r="L53">
            <v>0</v>
          </cell>
          <cell r="M53">
            <v>0</v>
          </cell>
          <cell r="N53">
            <v>0</v>
          </cell>
          <cell r="O53" t="str">
            <v>49</v>
          </cell>
        </row>
        <row r="54">
          <cell r="B54">
            <v>1</v>
          </cell>
          <cell r="C54">
            <v>38940</v>
          </cell>
          <cell r="D54">
            <v>-1406</v>
          </cell>
          <cell r="E54">
            <v>0</v>
          </cell>
          <cell r="F54">
            <v>-1406</v>
          </cell>
          <cell r="G54">
            <v>4097</v>
          </cell>
          <cell r="H54" t="str">
            <v>Murano - Lease</v>
          </cell>
          <cell r="I54"/>
          <cell r="J54">
            <v>25</v>
          </cell>
          <cell r="K54">
            <v>925837</v>
          </cell>
          <cell r="L54">
            <v>606</v>
          </cell>
          <cell r="M54">
            <v>0</v>
          </cell>
          <cell r="N54">
            <v>24</v>
          </cell>
          <cell r="O54" t="str">
            <v>50</v>
          </cell>
        </row>
        <row r="55">
          <cell r="B55">
            <v>0</v>
          </cell>
          <cell r="C55">
            <v>0</v>
          </cell>
          <cell r="D55">
            <v>0</v>
          </cell>
          <cell r="E55">
            <v>0</v>
          </cell>
          <cell r="F55">
            <v>0</v>
          </cell>
          <cell r="G55">
            <v>4127</v>
          </cell>
          <cell r="H55" t="str">
            <v>Murano HEV - Lease</v>
          </cell>
          <cell r="I55"/>
          <cell r="J55">
            <v>0</v>
          </cell>
          <cell r="K55">
            <v>0</v>
          </cell>
          <cell r="L55">
            <v>0</v>
          </cell>
          <cell r="M55">
            <v>0</v>
          </cell>
          <cell r="N55">
            <v>0</v>
          </cell>
          <cell r="O55" t="str">
            <v>51</v>
          </cell>
        </row>
        <row r="56">
          <cell r="B56">
            <v>0</v>
          </cell>
          <cell r="C56">
            <v>0</v>
          </cell>
          <cell r="D56">
            <v>0</v>
          </cell>
          <cell r="E56">
            <v>0</v>
          </cell>
          <cell r="F56">
            <v>0</v>
          </cell>
          <cell r="G56">
            <v>4037</v>
          </cell>
          <cell r="H56" t="str">
            <v>Armada - Lease</v>
          </cell>
          <cell r="I56"/>
          <cell r="J56">
            <v>1</v>
          </cell>
          <cell r="K56">
            <v>48165</v>
          </cell>
          <cell r="L56">
            <v>-155</v>
          </cell>
          <cell r="M56">
            <v>0</v>
          </cell>
          <cell r="N56">
            <v>-155</v>
          </cell>
          <cell r="O56" t="str">
            <v>52</v>
          </cell>
        </row>
        <row r="57">
          <cell r="B57">
            <v>0</v>
          </cell>
          <cell r="C57">
            <v>0</v>
          </cell>
          <cell r="D57">
            <v>0</v>
          </cell>
          <cell r="E57">
            <v>0</v>
          </cell>
          <cell r="F57">
            <v>0</v>
          </cell>
          <cell r="G57">
            <v>4087</v>
          </cell>
          <cell r="H57" t="str">
            <v>Frontier King Cab - Lease</v>
          </cell>
          <cell r="I57"/>
          <cell r="J57">
            <v>0</v>
          </cell>
          <cell r="K57">
            <v>0</v>
          </cell>
          <cell r="L57">
            <v>0</v>
          </cell>
          <cell r="M57">
            <v>0</v>
          </cell>
          <cell r="N57">
            <v>0</v>
          </cell>
          <cell r="O57" t="str">
            <v>53</v>
          </cell>
        </row>
        <row r="58">
          <cell r="B58">
            <v>0</v>
          </cell>
          <cell r="C58">
            <v>0</v>
          </cell>
          <cell r="D58">
            <v>0</v>
          </cell>
          <cell r="E58">
            <v>0</v>
          </cell>
          <cell r="F58">
            <v>0</v>
          </cell>
          <cell r="G58">
            <v>4187</v>
          </cell>
          <cell r="H58" t="str">
            <v>Frontier Crew Cab - Lease</v>
          </cell>
          <cell r="I58"/>
          <cell r="J58">
            <v>4</v>
          </cell>
          <cell r="K58">
            <v>101762</v>
          </cell>
          <cell r="L58">
            <v>669</v>
          </cell>
          <cell r="M58">
            <v>0</v>
          </cell>
          <cell r="N58">
            <v>167</v>
          </cell>
          <cell r="O58" t="str">
            <v>54</v>
          </cell>
        </row>
        <row r="59">
          <cell r="B59">
            <v>0</v>
          </cell>
          <cell r="C59">
            <v>0</v>
          </cell>
          <cell r="D59">
            <v>0</v>
          </cell>
          <cell r="E59">
            <v>0</v>
          </cell>
          <cell r="F59">
            <v>0</v>
          </cell>
          <cell r="G59">
            <v>4155</v>
          </cell>
          <cell r="H59" t="str">
            <v>Titan King Cab - Lease</v>
          </cell>
          <cell r="I59"/>
          <cell r="J59">
            <v>0</v>
          </cell>
          <cell r="K59">
            <v>0</v>
          </cell>
          <cell r="L59">
            <v>0</v>
          </cell>
          <cell r="M59">
            <v>0</v>
          </cell>
          <cell r="N59">
            <v>0</v>
          </cell>
          <cell r="O59" t="str">
            <v>55</v>
          </cell>
        </row>
        <row r="60">
          <cell r="B60">
            <v>0</v>
          </cell>
          <cell r="C60">
            <v>0</v>
          </cell>
          <cell r="D60">
            <v>0</v>
          </cell>
          <cell r="E60">
            <v>0</v>
          </cell>
          <cell r="F60">
            <v>0</v>
          </cell>
          <cell r="G60">
            <v>4157</v>
          </cell>
          <cell r="H60" t="str">
            <v>Titan Crew Cab - Lease</v>
          </cell>
          <cell r="I60"/>
          <cell r="J60">
            <v>0</v>
          </cell>
          <cell r="K60">
            <v>0</v>
          </cell>
          <cell r="L60">
            <v>0</v>
          </cell>
          <cell r="M60">
            <v>0</v>
          </cell>
          <cell r="N60">
            <v>0</v>
          </cell>
          <cell r="O60" t="str">
            <v>56</v>
          </cell>
        </row>
        <row r="61">
          <cell r="B61">
            <v>0</v>
          </cell>
          <cell r="C61">
            <v>0</v>
          </cell>
          <cell r="D61">
            <v>0</v>
          </cell>
          <cell r="E61">
            <v>0</v>
          </cell>
          <cell r="F61">
            <v>0</v>
          </cell>
          <cell r="G61">
            <v>4141</v>
          </cell>
          <cell r="H61" t="str">
            <v>Titan Single Cab- Lease</v>
          </cell>
          <cell r="I61"/>
          <cell r="J61">
            <v>0</v>
          </cell>
          <cell r="K61">
            <v>0</v>
          </cell>
          <cell r="L61">
            <v>0</v>
          </cell>
          <cell r="M61">
            <v>0</v>
          </cell>
          <cell r="N61">
            <v>0</v>
          </cell>
          <cell r="O61" t="str">
            <v>57</v>
          </cell>
        </row>
        <row r="62">
          <cell r="B62">
            <v>0</v>
          </cell>
          <cell r="C62">
            <v>0</v>
          </cell>
          <cell r="D62">
            <v>0</v>
          </cell>
          <cell r="E62">
            <v>0</v>
          </cell>
          <cell r="F62">
            <v>0</v>
          </cell>
          <cell r="G62">
            <v>4143</v>
          </cell>
          <cell r="H62" t="str">
            <v>Titan XD King Cab - Lease</v>
          </cell>
          <cell r="I62"/>
          <cell r="J62">
            <v>0</v>
          </cell>
          <cell r="K62">
            <v>0</v>
          </cell>
          <cell r="L62">
            <v>0</v>
          </cell>
          <cell r="M62">
            <v>0</v>
          </cell>
          <cell r="N62">
            <v>0</v>
          </cell>
          <cell r="O62" t="str">
            <v>58</v>
          </cell>
        </row>
        <row r="63">
          <cell r="B63">
            <v>0</v>
          </cell>
          <cell r="C63">
            <v>0</v>
          </cell>
          <cell r="D63">
            <v>0</v>
          </cell>
          <cell r="E63">
            <v>0</v>
          </cell>
          <cell r="F63">
            <v>0</v>
          </cell>
          <cell r="G63">
            <v>4151</v>
          </cell>
          <cell r="H63" t="str">
            <v>Titan XD Crew Cab - Lease</v>
          </cell>
          <cell r="I63"/>
          <cell r="J63">
            <v>0</v>
          </cell>
          <cell r="K63">
            <v>0</v>
          </cell>
          <cell r="L63">
            <v>0</v>
          </cell>
          <cell r="M63">
            <v>0</v>
          </cell>
          <cell r="N63">
            <v>0</v>
          </cell>
          <cell r="O63" t="str">
            <v>59</v>
          </cell>
        </row>
        <row r="64">
          <cell r="B64">
            <v>0</v>
          </cell>
          <cell r="C64">
            <v>0</v>
          </cell>
          <cell r="D64">
            <v>0</v>
          </cell>
          <cell r="E64">
            <v>0</v>
          </cell>
          <cell r="F64">
            <v>0</v>
          </cell>
          <cell r="G64">
            <v>4149</v>
          </cell>
          <cell r="H64" t="str">
            <v>Titan XD Single Cab - Lease</v>
          </cell>
          <cell r="I64"/>
          <cell r="J64">
            <v>0</v>
          </cell>
          <cell r="K64">
            <v>0</v>
          </cell>
          <cell r="L64">
            <v>0</v>
          </cell>
          <cell r="M64">
            <v>0</v>
          </cell>
          <cell r="N64">
            <v>0</v>
          </cell>
          <cell r="O64" t="str">
            <v>60</v>
          </cell>
        </row>
        <row r="65">
          <cell r="B65">
            <v>0</v>
          </cell>
          <cell r="C65">
            <v>0</v>
          </cell>
          <cell r="D65">
            <v>0</v>
          </cell>
          <cell r="E65">
            <v>0</v>
          </cell>
          <cell r="F65">
            <v>0</v>
          </cell>
          <cell r="G65">
            <v>4065</v>
          </cell>
          <cell r="H65" t="str">
            <v>Non-Current Models - Lease</v>
          </cell>
          <cell r="I65"/>
          <cell r="J65">
            <v>0</v>
          </cell>
          <cell r="K65">
            <v>0</v>
          </cell>
          <cell r="L65">
            <v>0</v>
          </cell>
          <cell r="M65">
            <v>0</v>
          </cell>
          <cell r="N65">
            <v>0</v>
          </cell>
          <cell r="O65" t="str">
            <v>61</v>
          </cell>
        </row>
        <row r="66">
          <cell r="B66">
            <v>13</v>
          </cell>
          <cell r="C66">
            <v>328358</v>
          </cell>
          <cell r="D66">
            <v>-1486</v>
          </cell>
          <cell r="E66">
            <v>0</v>
          </cell>
          <cell r="F66">
            <v>-114</v>
          </cell>
          <cell r="G66" t="str">
            <v>SUBTOTAL NISSAN VEHICLE - LEASE</v>
          </cell>
          <cell r="H66"/>
          <cell r="I66" t="str">
            <v>(Lines 32 to 61)</v>
          </cell>
          <cell r="J66">
            <v>189</v>
          </cell>
          <cell r="K66">
            <v>5144058</v>
          </cell>
          <cell r="L66">
            <v>-12345</v>
          </cell>
          <cell r="M66">
            <v>0</v>
          </cell>
          <cell r="N66">
            <v>-65</v>
          </cell>
          <cell r="O66" t="str">
            <v>62</v>
          </cell>
        </row>
        <row r="67">
          <cell r="B67">
            <v>212</v>
          </cell>
          <cell r="C67">
            <v>6145221</v>
          </cell>
          <cell r="D67">
            <v>-241510</v>
          </cell>
          <cell r="E67">
            <v>0</v>
          </cell>
          <cell r="F67">
            <v>-1139</v>
          </cell>
          <cell r="G67" t="str">
            <v>TOTAL NISSAN RETAIL &amp; LEASE VEHICLES</v>
          </cell>
          <cell r="H67"/>
          <cell r="I67" t="str">
            <v>(Lines 31 &amp; 62)</v>
          </cell>
          <cell r="J67">
            <v>1860</v>
          </cell>
          <cell r="K67">
            <v>50409631</v>
          </cell>
          <cell r="L67">
            <v>-1549221</v>
          </cell>
          <cell r="M67">
            <v>0</v>
          </cell>
          <cell r="N67">
            <v>-833</v>
          </cell>
          <cell r="O67" t="str">
            <v>63</v>
          </cell>
        </row>
        <row r="68">
          <cell r="B68">
            <v>0</v>
          </cell>
          <cell r="C68">
            <v>0</v>
          </cell>
          <cell r="D68">
            <v>0</v>
          </cell>
          <cell r="E68"/>
          <cell r="F68">
            <v>0</v>
          </cell>
          <cell r="G68">
            <v>4100</v>
          </cell>
          <cell r="H68" t="str">
            <v>Nissan - Fleet Cars &amp; Trucks</v>
          </cell>
          <cell r="I68"/>
          <cell r="J68">
            <v>0</v>
          </cell>
          <cell r="K68">
            <v>0</v>
          </cell>
          <cell r="L68">
            <v>0</v>
          </cell>
          <cell r="M68"/>
          <cell r="N68">
            <v>0</v>
          </cell>
          <cell r="O68" t="str">
            <v>64</v>
          </cell>
        </row>
        <row r="69">
          <cell r="B69">
            <v>212</v>
          </cell>
          <cell r="C69">
            <v>6145221</v>
          </cell>
          <cell r="D69">
            <v>-241510</v>
          </cell>
          <cell r="E69">
            <v>0</v>
          </cell>
          <cell r="F69">
            <v>-1139</v>
          </cell>
          <cell r="G69" t="str">
            <v>TOTAL NISSAN RETL/LEASE/FLEET VEHICLES</v>
          </cell>
          <cell r="H69"/>
          <cell r="I69" t="str">
            <v>(Lines 63 &amp; 64)</v>
          </cell>
          <cell r="J69">
            <v>1860</v>
          </cell>
          <cell r="K69">
            <v>50409631</v>
          </cell>
          <cell r="L69">
            <v>-1549221</v>
          </cell>
          <cell r="M69">
            <v>0</v>
          </cell>
          <cell r="N69">
            <v>-833</v>
          </cell>
          <cell r="O69" t="str">
            <v>65</v>
          </cell>
        </row>
        <row r="70">
          <cell r="B70">
            <v>0</v>
          </cell>
          <cell r="C70">
            <v>0</v>
          </cell>
          <cell r="D70">
            <v>0</v>
          </cell>
          <cell r="E70">
            <v>0</v>
          </cell>
          <cell r="F70">
            <v>0</v>
          </cell>
          <cell r="G70">
            <v>4154</v>
          </cell>
          <cell r="H70" t="str">
            <v>NV Standard Roof - Retail</v>
          </cell>
          <cell r="I70"/>
          <cell r="J70">
            <v>0</v>
          </cell>
          <cell r="K70">
            <v>0</v>
          </cell>
          <cell r="L70">
            <v>0</v>
          </cell>
          <cell r="M70">
            <v>0</v>
          </cell>
          <cell r="N70">
            <v>0</v>
          </cell>
          <cell r="O70" t="str">
            <v>66</v>
          </cell>
        </row>
        <row r="71">
          <cell r="B71">
            <v>0</v>
          </cell>
          <cell r="C71">
            <v>0</v>
          </cell>
          <cell r="D71">
            <v>0</v>
          </cell>
          <cell r="E71">
            <v>0</v>
          </cell>
          <cell r="F71">
            <v>0</v>
          </cell>
          <cell r="G71">
            <v>4164</v>
          </cell>
          <cell r="H71" t="str">
            <v>NV High Roof - Retail</v>
          </cell>
          <cell r="I71"/>
          <cell r="J71">
            <v>0</v>
          </cell>
          <cell r="K71">
            <v>0</v>
          </cell>
          <cell r="L71">
            <v>0</v>
          </cell>
          <cell r="M71">
            <v>0</v>
          </cell>
          <cell r="N71">
            <v>0</v>
          </cell>
          <cell r="O71" t="str">
            <v>67</v>
          </cell>
        </row>
        <row r="72">
          <cell r="B72">
            <v>0</v>
          </cell>
          <cell r="C72">
            <v>0</v>
          </cell>
          <cell r="D72">
            <v>0</v>
          </cell>
          <cell r="E72">
            <v>0</v>
          </cell>
          <cell r="F72">
            <v>0</v>
          </cell>
          <cell r="G72">
            <v>4166</v>
          </cell>
          <cell r="H72" t="str">
            <v>NV Passenger - Retail</v>
          </cell>
          <cell r="I72"/>
          <cell r="J72">
            <v>0</v>
          </cell>
          <cell r="K72">
            <v>0</v>
          </cell>
          <cell r="L72">
            <v>0</v>
          </cell>
          <cell r="M72">
            <v>0</v>
          </cell>
          <cell r="N72">
            <v>0</v>
          </cell>
          <cell r="O72" t="str">
            <v>68</v>
          </cell>
        </row>
        <row r="73">
          <cell r="B73">
            <v>1</v>
          </cell>
          <cell r="C73">
            <v>21807</v>
          </cell>
          <cell r="D73">
            <v>-1176</v>
          </cell>
          <cell r="E73">
            <v>0</v>
          </cell>
          <cell r="F73">
            <v>-1176</v>
          </cell>
          <cell r="G73">
            <v>4168</v>
          </cell>
          <cell r="H73" t="str">
            <v>NV200 - Retail</v>
          </cell>
          <cell r="I73"/>
          <cell r="J73">
            <v>5</v>
          </cell>
          <cell r="K73">
            <v>103348</v>
          </cell>
          <cell r="L73">
            <v>-4417</v>
          </cell>
          <cell r="M73">
            <v>0</v>
          </cell>
          <cell r="N73">
            <v>-883</v>
          </cell>
          <cell r="O73" t="str">
            <v>69</v>
          </cell>
        </row>
        <row r="74">
          <cell r="B74">
            <v>0</v>
          </cell>
          <cell r="C74">
            <v>0</v>
          </cell>
          <cell r="D74">
            <v>0</v>
          </cell>
          <cell r="E74">
            <v>0</v>
          </cell>
          <cell r="F74">
            <v>0</v>
          </cell>
          <cell r="G74">
            <v>4174</v>
          </cell>
          <cell r="H74" t="str">
            <v>NV200 Taxi - Retail</v>
          </cell>
          <cell r="I74"/>
          <cell r="J74">
            <v>0</v>
          </cell>
          <cell r="K74">
            <v>0</v>
          </cell>
          <cell r="L74">
            <v>0</v>
          </cell>
          <cell r="M74">
            <v>0</v>
          </cell>
          <cell r="N74">
            <v>0</v>
          </cell>
          <cell r="O74" t="str">
            <v>70</v>
          </cell>
        </row>
        <row r="75">
          <cell r="B75">
            <v>1</v>
          </cell>
          <cell r="C75">
            <v>21807</v>
          </cell>
          <cell r="D75">
            <v>-1176</v>
          </cell>
          <cell r="E75">
            <v>0</v>
          </cell>
          <cell r="F75">
            <v>-1176</v>
          </cell>
          <cell r="G75" t="str">
            <v>SUBTOTAL NISSAN NCV VEHICLES - RETAIL</v>
          </cell>
          <cell r="H75"/>
          <cell r="I75" t="str">
            <v>(Lines 66 to 70)</v>
          </cell>
          <cell r="J75">
            <v>5</v>
          </cell>
          <cell r="K75">
            <v>103348</v>
          </cell>
          <cell r="L75">
            <v>-4417</v>
          </cell>
          <cell r="M75">
            <v>0</v>
          </cell>
          <cell r="N75">
            <v>-883</v>
          </cell>
          <cell r="O75" t="str">
            <v>71</v>
          </cell>
        </row>
        <row r="76">
          <cell r="B76">
            <v>0</v>
          </cell>
          <cell r="C76">
            <v>0</v>
          </cell>
          <cell r="D76">
            <v>0</v>
          </cell>
          <cell r="E76">
            <v>0</v>
          </cell>
          <cell r="F76">
            <v>0</v>
          </cell>
          <cell r="G76">
            <v>4159</v>
          </cell>
          <cell r="H76" t="str">
            <v>NV Standard Roof - Lease</v>
          </cell>
          <cell r="I76"/>
          <cell r="J76">
            <v>0</v>
          </cell>
          <cell r="K76">
            <v>0</v>
          </cell>
          <cell r="L76">
            <v>0</v>
          </cell>
          <cell r="M76">
            <v>0</v>
          </cell>
          <cell r="N76">
            <v>0</v>
          </cell>
          <cell r="O76" t="str">
            <v>72</v>
          </cell>
        </row>
        <row r="77">
          <cell r="B77">
            <v>0</v>
          </cell>
          <cell r="C77">
            <v>0</v>
          </cell>
          <cell r="D77">
            <v>0</v>
          </cell>
          <cell r="E77">
            <v>0</v>
          </cell>
          <cell r="F77">
            <v>0</v>
          </cell>
          <cell r="G77">
            <v>4169</v>
          </cell>
          <cell r="H77" t="str">
            <v>NV High Roof - Lease</v>
          </cell>
          <cell r="I77"/>
          <cell r="J77">
            <v>0</v>
          </cell>
          <cell r="K77">
            <v>0</v>
          </cell>
          <cell r="L77">
            <v>0</v>
          </cell>
          <cell r="M77">
            <v>0</v>
          </cell>
          <cell r="N77">
            <v>0</v>
          </cell>
          <cell r="O77" t="str">
            <v>73</v>
          </cell>
        </row>
        <row r="78">
          <cell r="B78">
            <v>0</v>
          </cell>
          <cell r="C78">
            <v>0</v>
          </cell>
          <cell r="D78">
            <v>0</v>
          </cell>
          <cell r="E78">
            <v>0</v>
          </cell>
          <cell r="F78">
            <v>0</v>
          </cell>
          <cell r="G78">
            <v>4165</v>
          </cell>
          <cell r="H78" t="str">
            <v>NV Passenger - Lease</v>
          </cell>
          <cell r="I78"/>
          <cell r="J78">
            <v>0</v>
          </cell>
          <cell r="K78">
            <v>0</v>
          </cell>
          <cell r="L78">
            <v>0</v>
          </cell>
          <cell r="M78">
            <v>0</v>
          </cell>
          <cell r="N78">
            <v>0</v>
          </cell>
          <cell r="O78" t="str">
            <v>74</v>
          </cell>
        </row>
        <row r="79">
          <cell r="B79">
            <v>0</v>
          </cell>
          <cell r="C79">
            <v>0</v>
          </cell>
          <cell r="D79">
            <v>0</v>
          </cell>
          <cell r="E79">
            <v>0</v>
          </cell>
          <cell r="F79">
            <v>0</v>
          </cell>
          <cell r="G79">
            <v>4167</v>
          </cell>
          <cell r="H79" t="str">
            <v>NV200 - Lease</v>
          </cell>
          <cell r="I79"/>
          <cell r="J79">
            <v>0</v>
          </cell>
          <cell r="K79">
            <v>0</v>
          </cell>
          <cell r="L79">
            <v>0</v>
          </cell>
          <cell r="M79">
            <v>0</v>
          </cell>
          <cell r="N79">
            <v>0</v>
          </cell>
          <cell r="O79" t="str">
            <v>75</v>
          </cell>
        </row>
        <row r="80">
          <cell r="B80">
            <v>0</v>
          </cell>
          <cell r="C80">
            <v>0</v>
          </cell>
          <cell r="D80">
            <v>0</v>
          </cell>
          <cell r="E80">
            <v>0</v>
          </cell>
          <cell r="F80">
            <v>0</v>
          </cell>
          <cell r="G80">
            <v>4179</v>
          </cell>
          <cell r="H80" t="str">
            <v>NV200 Taxi - Lease</v>
          </cell>
          <cell r="I80"/>
          <cell r="J80">
            <v>0</v>
          </cell>
          <cell r="K80">
            <v>0</v>
          </cell>
          <cell r="L80">
            <v>0</v>
          </cell>
          <cell r="M80">
            <v>0</v>
          </cell>
          <cell r="N80">
            <v>0</v>
          </cell>
          <cell r="O80" t="str">
            <v>76</v>
          </cell>
        </row>
        <row r="81">
          <cell r="B81">
            <v>0</v>
          </cell>
          <cell r="C81">
            <v>0</v>
          </cell>
          <cell r="D81">
            <v>0</v>
          </cell>
          <cell r="E81">
            <v>0</v>
          </cell>
          <cell r="F81">
            <v>0</v>
          </cell>
          <cell r="G81" t="str">
            <v>SUBTOTAL NISSAN NCV VEHICLES - LEASE</v>
          </cell>
          <cell r="H81"/>
          <cell r="I81" t="str">
            <v>(Lines 72 to 76)</v>
          </cell>
          <cell r="J81">
            <v>0</v>
          </cell>
          <cell r="K81">
            <v>0</v>
          </cell>
          <cell r="L81">
            <v>0</v>
          </cell>
          <cell r="M81">
            <v>0</v>
          </cell>
          <cell r="N81">
            <v>0</v>
          </cell>
          <cell r="O81" t="str">
            <v>77</v>
          </cell>
        </row>
        <row r="82">
          <cell r="B82">
            <v>1</v>
          </cell>
          <cell r="C82">
            <v>21807</v>
          </cell>
          <cell r="D82">
            <v>-1176</v>
          </cell>
          <cell r="E82">
            <v>0</v>
          </cell>
          <cell r="F82">
            <v>-1176</v>
          </cell>
          <cell r="G82" t="str">
            <v>TOTAL NCV RETAIL / LEASE VEHICLES</v>
          </cell>
          <cell r="H82"/>
          <cell r="I82" t="str">
            <v>(Lines 71 &amp; 77)</v>
          </cell>
          <cell r="J82">
            <v>5</v>
          </cell>
          <cell r="K82">
            <v>103348</v>
          </cell>
          <cell r="L82">
            <v>-4417</v>
          </cell>
          <cell r="M82">
            <v>0</v>
          </cell>
          <cell r="N82">
            <v>-883</v>
          </cell>
          <cell r="O82" t="str">
            <v>78</v>
          </cell>
        </row>
        <row r="83">
          <cell r="B83">
            <v>0</v>
          </cell>
          <cell r="C83">
            <v>0</v>
          </cell>
          <cell r="D83">
            <v>0</v>
          </cell>
          <cell r="E83"/>
          <cell r="F83">
            <v>0</v>
          </cell>
          <cell r="G83">
            <v>4105</v>
          </cell>
          <cell r="H83" t="str">
            <v>NCV - Fleet Vehicle</v>
          </cell>
          <cell r="I83"/>
          <cell r="J83">
            <v>0</v>
          </cell>
          <cell r="K83">
            <v>0</v>
          </cell>
          <cell r="L83">
            <v>0</v>
          </cell>
          <cell r="M83"/>
          <cell r="N83">
            <v>0</v>
          </cell>
          <cell r="O83" t="str">
            <v>79</v>
          </cell>
        </row>
        <row r="84">
          <cell r="B84">
            <v>1</v>
          </cell>
          <cell r="C84">
            <v>21807</v>
          </cell>
          <cell r="D84">
            <v>-1176</v>
          </cell>
          <cell r="E84">
            <v>0</v>
          </cell>
          <cell r="F84">
            <v>-1176</v>
          </cell>
          <cell r="G84" t="str">
            <v>TOTAL NCV RETAIL / LEASE / FLEET VEHICLES</v>
          </cell>
          <cell r="H84"/>
          <cell r="I84" t="str">
            <v>(Lines 78 &amp; 79)</v>
          </cell>
          <cell r="J84">
            <v>5</v>
          </cell>
          <cell r="K84">
            <v>103348</v>
          </cell>
          <cell r="L84">
            <v>-4417</v>
          </cell>
          <cell r="M84">
            <v>0</v>
          </cell>
          <cell r="N84">
            <v>-883</v>
          </cell>
          <cell r="O84" t="str">
            <v>80</v>
          </cell>
        </row>
        <row r="85">
          <cell r="B85">
            <v>213</v>
          </cell>
          <cell r="C85">
            <v>6167028</v>
          </cell>
          <cell r="D85">
            <v>-242686</v>
          </cell>
          <cell r="E85">
            <v>0</v>
          </cell>
          <cell r="F85">
            <v>-1139</v>
          </cell>
          <cell r="G85" t="str">
            <v>TOTAL ALL NISSAN NEW VEHICLES</v>
          </cell>
          <cell r="H85"/>
          <cell r="I85" t="str">
            <v>(Lines 65 &amp; 80)</v>
          </cell>
          <cell r="J85">
            <v>1865</v>
          </cell>
          <cell r="K85">
            <v>50512979</v>
          </cell>
          <cell r="L85">
            <v>-1553638</v>
          </cell>
          <cell r="M85">
            <v>0</v>
          </cell>
          <cell r="N85">
            <v>-833</v>
          </cell>
          <cell r="O85" t="str">
            <v>81</v>
          </cell>
        </row>
      </sheetData>
      <sheetData sheetId="4" refreshError="1">
        <row r="1">
          <cell r="B1" t="str">
            <v>NEW (CONT'D), USED VEHICLES SALES AND GROSS PROFIT</v>
          </cell>
          <cell r="C1"/>
          <cell r="D1"/>
          <cell r="E1"/>
          <cell r="F1"/>
          <cell r="G1"/>
          <cell r="H1"/>
          <cell r="I1"/>
          <cell r="J1"/>
          <cell r="K1"/>
          <cell r="L1"/>
          <cell r="M1"/>
          <cell r="N1"/>
          <cell r="O1"/>
        </row>
        <row r="2">
          <cell r="B2" t="str">
            <v>Page 5                    Current Month: (Month)</v>
          </cell>
          <cell r="C2"/>
          <cell r="D2"/>
          <cell r="E2"/>
          <cell r="F2"/>
          <cell r="G2"/>
          <cell r="H2"/>
          <cell r="I2"/>
          <cell r="J2"/>
          <cell r="K2" t="str">
            <v>Year to Date: (Year)</v>
          </cell>
          <cell r="L2"/>
          <cell r="M2"/>
          <cell r="N2"/>
          <cell r="O2"/>
        </row>
        <row r="3">
          <cell r="B3" t="str">
            <v>LINE NO</v>
          </cell>
          <cell r="C3" t="str">
            <v>UNITS</v>
          </cell>
          <cell r="D3" t="str">
            <v>SALES</v>
          </cell>
          <cell r="E3" t="str">
            <v>GROSS PROFIT</v>
          </cell>
          <cell r="F3" t="str">
            <v>GROSS PER UNIT</v>
          </cell>
          <cell r="G3" t="str">
            <v>ACCT. NO.</v>
          </cell>
          <cell r="H3" t="str">
            <v>ACCOUNT NAME</v>
          </cell>
          <cell r="I3"/>
          <cell r="J3"/>
          <cell r="K3" t="str">
            <v>UNITS</v>
          </cell>
          <cell r="L3" t="str">
            <v>SALES</v>
          </cell>
          <cell r="M3" t="str">
            <v>GROSS PROFIT</v>
          </cell>
          <cell r="N3" t="str">
            <v>GROSS PER UNIT</v>
          </cell>
          <cell r="O3" t="str">
            <v>LINE NO</v>
          </cell>
        </row>
        <row r="4">
          <cell r="B4"/>
          <cell r="C4"/>
          <cell r="D4"/>
          <cell r="E4"/>
          <cell r="F4"/>
          <cell r="G4"/>
          <cell r="H4"/>
          <cell r="I4"/>
          <cell r="J4"/>
          <cell r="K4"/>
          <cell r="L4"/>
          <cell r="M4"/>
          <cell r="N4"/>
          <cell r="O4"/>
        </row>
        <row r="5">
          <cell r="B5" t="str">
            <v>1</v>
          </cell>
          <cell r="C5">
            <v>0</v>
          </cell>
          <cell r="D5">
            <v>0</v>
          </cell>
          <cell r="E5">
            <v>0</v>
          </cell>
          <cell r="F5">
            <v>0</v>
          </cell>
          <cell r="G5">
            <v>4200</v>
          </cell>
          <cell r="H5" t="str">
            <v>Other Makes Vehicles</v>
          </cell>
          <cell r="I5"/>
          <cell r="J5"/>
          <cell r="K5">
            <v>0</v>
          </cell>
          <cell r="L5">
            <v>0</v>
          </cell>
          <cell r="M5">
            <v>0</v>
          </cell>
          <cell r="N5">
            <v>0</v>
          </cell>
          <cell r="O5" t="str">
            <v>1</v>
          </cell>
        </row>
        <row r="6">
          <cell r="B6" t="str">
            <v>2</v>
          </cell>
          <cell r="C6"/>
          <cell r="D6"/>
          <cell r="E6">
            <v>0</v>
          </cell>
          <cell r="F6"/>
          <cell r="G6">
            <v>6300</v>
          </cell>
          <cell r="H6" t="str">
            <v>Incentive Earnings - Other Makes</v>
          </cell>
          <cell r="I6"/>
          <cell r="J6"/>
          <cell r="K6"/>
          <cell r="L6"/>
          <cell r="M6">
            <v>0</v>
          </cell>
          <cell r="N6"/>
          <cell r="O6" t="str">
            <v>2</v>
          </cell>
        </row>
        <row r="7">
          <cell r="B7" t="str">
            <v>3</v>
          </cell>
          <cell r="C7">
            <v>0</v>
          </cell>
          <cell r="D7">
            <v>0</v>
          </cell>
          <cell r="E7">
            <v>0</v>
          </cell>
          <cell r="F7">
            <v>0</v>
          </cell>
          <cell r="G7">
            <v>4205</v>
          </cell>
          <cell r="H7" t="str">
            <v>Other Makes Fleet Cars and Trucks</v>
          </cell>
          <cell r="I7"/>
          <cell r="J7"/>
          <cell r="K7">
            <v>0</v>
          </cell>
          <cell r="L7">
            <v>0</v>
          </cell>
          <cell r="M7">
            <v>0</v>
          </cell>
          <cell r="N7">
            <v>0</v>
          </cell>
          <cell r="O7" t="str">
            <v>3</v>
          </cell>
        </row>
        <row r="8">
          <cell r="B8" t="str">
            <v>4</v>
          </cell>
          <cell r="C8">
            <v>0</v>
          </cell>
          <cell r="D8">
            <v>0</v>
          </cell>
          <cell r="E8">
            <v>0</v>
          </cell>
          <cell r="F8">
            <v>0</v>
          </cell>
          <cell r="G8" t="str">
            <v>TOTAL OTHER MAKES - NEW</v>
          </cell>
          <cell r="H8"/>
          <cell r="I8"/>
          <cell r="J8" t="str">
            <v>(Lines 1 to 3)</v>
          </cell>
          <cell r="K8">
            <v>0</v>
          </cell>
          <cell r="L8">
            <v>0</v>
          </cell>
          <cell r="M8">
            <v>0</v>
          </cell>
          <cell r="N8">
            <v>0</v>
          </cell>
          <cell r="O8" t="str">
            <v>4</v>
          </cell>
        </row>
        <row r="9">
          <cell r="B9" t="str">
            <v>5</v>
          </cell>
          <cell r="C9">
            <v>176</v>
          </cell>
          <cell r="D9"/>
          <cell r="E9">
            <v>186201</v>
          </cell>
          <cell r="F9">
            <v>1058</v>
          </cell>
          <cell r="G9">
            <v>6310</v>
          </cell>
          <cell r="H9" t="str">
            <v>Finance Reserve Inc. - New Nissan Veh</v>
          </cell>
          <cell r="I9"/>
          <cell r="J9"/>
          <cell r="K9">
            <v>1567</v>
          </cell>
          <cell r="L9"/>
          <cell r="M9">
            <v>1413867</v>
          </cell>
          <cell r="N9">
            <v>902</v>
          </cell>
          <cell r="O9" t="str">
            <v>5</v>
          </cell>
        </row>
        <row r="10">
          <cell r="B10" t="str">
            <v>6</v>
          </cell>
          <cell r="C10">
            <v>107</v>
          </cell>
          <cell r="D10">
            <v>241658</v>
          </cell>
          <cell r="E10">
            <v>113022</v>
          </cell>
          <cell r="F10">
            <v>1056</v>
          </cell>
          <cell r="G10">
            <v>4280</v>
          </cell>
          <cell r="H10" t="str">
            <v>Security+Plus Svc. Contracts Sls. - New Nissan Veh</v>
          </cell>
          <cell r="I10"/>
          <cell r="J10"/>
          <cell r="K10">
            <v>1072</v>
          </cell>
          <cell r="L10">
            <v>2345745</v>
          </cell>
          <cell r="M10">
            <v>1101799</v>
          </cell>
          <cell r="N10">
            <v>1028</v>
          </cell>
          <cell r="O10" t="str">
            <v>6</v>
          </cell>
        </row>
        <row r="11">
          <cell r="B11" t="str">
            <v>7</v>
          </cell>
          <cell r="C11">
            <v>0</v>
          </cell>
          <cell r="D11">
            <v>0</v>
          </cell>
          <cell r="E11">
            <v>0</v>
          </cell>
          <cell r="F11">
            <v>0</v>
          </cell>
          <cell r="G11">
            <v>4285</v>
          </cell>
          <cell r="H11" t="str">
            <v>Other Svc. Contract Sls. - New Nissan Veh.</v>
          </cell>
          <cell r="I11"/>
          <cell r="J11"/>
          <cell r="K11">
            <v>0</v>
          </cell>
          <cell r="L11">
            <v>0</v>
          </cell>
          <cell r="M11">
            <v>0</v>
          </cell>
          <cell r="N11">
            <v>0</v>
          </cell>
          <cell r="O11" t="str">
            <v>7</v>
          </cell>
        </row>
        <row r="12">
          <cell r="B12" t="str">
            <v>8</v>
          </cell>
          <cell r="C12">
            <v>72</v>
          </cell>
          <cell r="D12">
            <v>50295</v>
          </cell>
          <cell r="E12">
            <v>21697</v>
          </cell>
          <cell r="F12">
            <v>301</v>
          </cell>
          <cell r="G12">
            <v>4260</v>
          </cell>
          <cell r="H12" t="str">
            <v>GAP Sales - New Nissan Veh.</v>
          </cell>
          <cell r="I12"/>
          <cell r="J12"/>
          <cell r="K12">
            <v>721</v>
          </cell>
          <cell r="L12">
            <v>496317</v>
          </cell>
          <cell r="M12">
            <v>246659</v>
          </cell>
          <cell r="N12">
            <v>342</v>
          </cell>
          <cell r="O12" t="str">
            <v>8</v>
          </cell>
        </row>
        <row r="13">
          <cell r="B13" t="str">
            <v>9</v>
          </cell>
          <cell r="C13">
            <v>37</v>
          </cell>
          <cell r="D13">
            <v>47048</v>
          </cell>
          <cell r="E13">
            <v>16112</v>
          </cell>
          <cell r="F13">
            <v>435</v>
          </cell>
          <cell r="G13">
            <v>4230</v>
          </cell>
          <cell r="H13" t="str">
            <v>Maintenance Contract Sales - New Nissan Veh.</v>
          </cell>
          <cell r="I13"/>
          <cell r="J13"/>
          <cell r="K13">
            <v>232</v>
          </cell>
          <cell r="L13">
            <v>263550</v>
          </cell>
          <cell r="M13">
            <v>74690</v>
          </cell>
          <cell r="N13">
            <v>322</v>
          </cell>
          <cell r="O13" t="str">
            <v>9</v>
          </cell>
        </row>
        <row r="14">
          <cell r="B14" t="str">
            <v>10</v>
          </cell>
          <cell r="C14">
            <v>84</v>
          </cell>
          <cell r="D14">
            <v>49290</v>
          </cell>
          <cell r="E14">
            <v>25477</v>
          </cell>
          <cell r="F14">
            <v>303</v>
          </cell>
          <cell r="G14">
            <v>4210</v>
          </cell>
          <cell r="H14" t="str">
            <v>All Other F &amp; I Products - New Nissan Veh.</v>
          </cell>
          <cell r="I14"/>
          <cell r="J14"/>
          <cell r="K14">
            <v>581</v>
          </cell>
          <cell r="L14">
            <v>381893</v>
          </cell>
          <cell r="M14">
            <v>212356</v>
          </cell>
          <cell r="N14">
            <v>366</v>
          </cell>
          <cell r="O14" t="str">
            <v>10</v>
          </cell>
        </row>
        <row r="15">
          <cell r="B15" t="str">
            <v>11</v>
          </cell>
          <cell r="C15"/>
          <cell r="D15"/>
          <cell r="E15">
            <v>37064</v>
          </cell>
          <cell r="F15"/>
          <cell r="G15">
            <v>6340</v>
          </cell>
          <cell r="H15" t="str">
            <v>LESS Fin., Ins. &amp; Svc. Cont. Adj. - New Nissan Veh.</v>
          </cell>
          <cell r="I15"/>
          <cell r="J15"/>
          <cell r="K15"/>
          <cell r="L15"/>
          <cell r="M15">
            <v>393603</v>
          </cell>
          <cell r="N15"/>
          <cell r="O15" t="str">
            <v>11</v>
          </cell>
        </row>
        <row r="16">
          <cell r="B16" t="str">
            <v>12</v>
          </cell>
          <cell r="C16">
            <v>476</v>
          </cell>
          <cell r="D16">
            <v>388291</v>
          </cell>
          <cell r="E16">
            <v>325445</v>
          </cell>
          <cell r="F16">
            <v>1535</v>
          </cell>
          <cell r="G16" t="str">
            <v>SUBTOTAL F &amp; I / SVC. CONT. INC. - NEW NISSAN</v>
          </cell>
          <cell r="H16"/>
          <cell r="I16"/>
          <cell r="J16" t="str">
            <v>(Lines 5 to 11)</v>
          </cell>
          <cell r="K16">
            <v>4173</v>
          </cell>
          <cell r="L16">
            <v>3487505</v>
          </cell>
          <cell r="M16">
            <v>2655768</v>
          </cell>
          <cell r="N16">
            <v>1428</v>
          </cell>
          <cell r="O16" t="str">
            <v>12</v>
          </cell>
        </row>
        <row r="17">
          <cell r="B17" t="str">
            <v>13</v>
          </cell>
          <cell r="C17">
            <v>0</v>
          </cell>
          <cell r="D17"/>
          <cell r="E17">
            <v>0</v>
          </cell>
          <cell r="F17">
            <v>0</v>
          </cell>
          <cell r="G17">
            <v>6317</v>
          </cell>
          <cell r="H17" t="str">
            <v>Finance Reserve Inc. - NCV Veh.</v>
          </cell>
          <cell r="I17"/>
          <cell r="J17"/>
          <cell r="K17">
            <v>0</v>
          </cell>
          <cell r="L17"/>
          <cell r="M17">
            <v>0</v>
          </cell>
          <cell r="N17">
            <v>0</v>
          </cell>
          <cell r="O17" t="str">
            <v>13</v>
          </cell>
        </row>
        <row r="18">
          <cell r="B18" t="str">
            <v>14</v>
          </cell>
          <cell r="C18">
            <v>0</v>
          </cell>
          <cell r="D18">
            <v>0</v>
          </cell>
          <cell r="E18">
            <v>0</v>
          </cell>
          <cell r="F18">
            <v>0</v>
          </cell>
          <cell r="G18">
            <v>4287</v>
          </cell>
          <cell r="H18" t="str">
            <v>Security+Plus Svc. Cont. Sls. - NCV Veh.</v>
          </cell>
          <cell r="I18"/>
          <cell r="J18"/>
          <cell r="K18">
            <v>0</v>
          </cell>
          <cell r="L18">
            <v>0</v>
          </cell>
          <cell r="M18">
            <v>0</v>
          </cell>
          <cell r="N18">
            <v>0</v>
          </cell>
          <cell r="O18" t="str">
            <v>14</v>
          </cell>
        </row>
        <row r="19">
          <cell r="B19" t="str">
            <v>15</v>
          </cell>
          <cell r="C19">
            <v>0</v>
          </cell>
          <cell r="D19">
            <v>0</v>
          </cell>
          <cell r="E19">
            <v>0</v>
          </cell>
          <cell r="F19">
            <v>0</v>
          </cell>
          <cell r="G19">
            <v>4289</v>
          </cell>
          <cell r="H19" t="str">
            <v>Other Svc. Contract Sls. - NCV Veh.</v>
          </cell>
          <cell r="I19"/>
          <cell r="J19"/>
          <cell r="K19">
            <v>0</v>
          </cell>
          <cell r="L19">
            <v>0</v>
          </cell>
          <cell r="M19">
            <v>0</v>
          </cell>
          <cell r="N19">
            <v>0</v>
          </cell>
          <cell r="O19" t="str">
            <v>15</v>
          </cell>
        </row>
        <row r="20">
          <cell r="B20" t="str">
            <v>16</v>
          </cell>
          <cell r="C20">
            <v>0</v>
          </cell>
          <cell r="D20">
            <v>0</v>
          </cell>
          <cell r="E20">
            <v>0</v>
          </cell>
          <cell r="F20">
            <v>0</v>
          </cell>
          <cell r="G20">
            <v>4267</v>
          </cell>
          <cell r="H20" t="str">
            <v>GAP Sales - NCV Vehicles</v>
          </cell>
          <cell r="I20"/>
          <cell r="J20"/>
          <cell r="K20">
            <v>0</v>
          </cell>
          <cell r="L20">
            <v>0</v>
          </cell>
          <cell r="M20">
            <v>0</v>
          </cell>
          <cell r="N20">
            <v>0</v>
          </cell>
          <cell r="O20" t="str">
            <v>16</v>
          </cell>
        </row>
        <row r="21">
          <cell r="B21" t="str">
            <v>17</v>
          </cell>
          <cell r="C21">
            <v>0</v>
          </cell>
          <cell r="D21">
            <v>0</v>
          </cell>
          <cell r="E21">
            <v>0</v>
          </cell>
          <cell r="F21">
            <v>0</v>
          </cell>
          <cell r="G21">
            <v>4237</v>
          </cell>
          <cell r="H21" t="str">
            <v>Maintenance Contract Sales - NCV Veh.</v>
          </cell>
          <cell r="I21"/>
          <cell r="J21"/>
          <cell r="K21">
            <v>0</v>
          </cell>
          <cell r="L21">
            <v>0</v>
          </cell>
          <cell r="M21">
            <v>0</v>
          </cell>
          <cell r="N21">
            <v>0</v>
          </cell>
          <cell r="O21" t="str">
            <v>17</v>
          </cell>
        </row>
        <row r="22">
          <cell r="B22" t="str">
            <v>18</v>
          </cell>
          <cell r="C22">
            <v>0</v>
          </cell>
          <cell r="D22">
            <v>0</v>
          </cell>
          <cell r="E22">
            <v>0</v>
          </cell>
          <cell r="F22">
            <v>0</v>
          </cell>
          <cell r="G22">
            <v>4217</v>
          </cell>
          <cell r="H22" t="str">
            <v>All Other F &amp; I Products - NCV Veh.</v>
          </cell>
          <cell r="I22"/>
          <cell r="J22"/>
          <cell r="K22">
            <v>0</v>
          </cell>
          <cell r="L22">
            <v>0</v>
          </cell>
          <cell r="M22">
            <v>0</v>
          </cell>
          <cell r="N22">
            <v>0</v>
          </cell>
          <cell r="O22" t="str">
            <v>18</v>
          </cell>
        </row>
        <row r="23">
          <cell r="B23" t="str">
            <v>19</v>
          </cell>
          <cell r="C23"/>
          <cell r="D23"/>
          <cell r="E23">
            <v>0</v>
          </cell>
          <cell r="F23"/>
          <cell r="G23">
            <v>6347</v>
          </cell>
          <cell r="H23" t="str">
            <v>LESS Fin., Ins. &amp; Svc. Cont. Adj. - NCV</v>
          </cell>
          <cell r="I23"/>
          <cell r="J23"/>
          <cell r="K23"/>
          <cell r="L23"/>
          <cell r="M23">
            <v>0</v>
          </cell>
          <cell r="N23"/>
          <cell r="O23" t="str">
            <v>19</v>
          </cell>
        </row>
        <row r="24">
          <cell r="B24" t="str">
            <v>20</v>
          </cell>
          <cell r="C24">
            <v>0</v>
          </cell>
          <cell r="D24">
            <v>0</v>
          </cell>
          <cell r="E24">
            <v>0</v>
          </cell>
          <cell r="F24">
            <v>0</v>
          </cell>
          <cell r="G24" t="str">
            <v>SUBTOTAL F &amp; I / SVC. CONT. INC. - NCV VEHICLES</v>
          </cell>
          <cell r="H24"/>
          <cell r="I24"/>
          <cell r="J24" t="str">
            <v>(Lines 13 to 19)</v>
          </cell>
          <cell r="K24">
            <v>0</v>
          </cell>
          <cell r="L24">
            <v>0</v>
          </cell>
          <cell r="M24">
            <v>0</v>
          </cell>
          <cell r="N24">
            <v>0</v>
          </cell>
          <cell r="O24" t="str">
            <v>20</v>
          </cell>
        </row>
        <row r="25">
          <cell r="B25" t="str">
            <v>21</v>
          </cell>
          <cell r="C25">
            <v>0</v>
          </cell>
          <cell r="D25"/>
          <cell r="E25">
            <v>0</v>
          </cell>
          <cell r="F25">
            <v>0</v>
          </cell>
          <cell r="G25">
            <v>6330</v>
          </cell>
          <cell r="H25" t="str">
            <v>Finance Reserve Inc. - New Other Makes Veh.</v>
          </cell>
          <cell r="I25"/>
          <cell r="J25"/>
          <cell r="K25">
            <v>0</v>
          </cell>
          <cell r="L25"/>
          <cell r="M25">
            <v>0</v>
          </cell>
          <cell r="N25">
            <v>0</v>
          </cell>
          <cell r="O25" t="str">
            <v>21</v>
          </cell>
        </row>
        <row r="26">
          <cell r="B26" t="str">
            <v>22</v>
          </cell>
          <cell r="C26">
            <v>0</v>
          </cell>
          <cell r="D26">
            <v>0</v>
          </cell>
          <cell r="E26">
            <v>0</v>
          </cell>
          <cell r="F26">
            <v>0</v>
          </cell>
          <cell r="G26">
            <v>4290</v>
          </cell>
          <cell r="H26" t="str">
            <v>Other Service Contract Sls. - New Other Makes Veh.</v>
          </cell>
          <cell r="I26"/>
          <cell r="J26"/>
          <cell r="K26">
            <v>0</v>
          </cell>
          <cell r="L26">
            <v>0</v>
          </cell>
          <cell r="M26">
            <v>0</v>
          </cell>
          <cell r="N26">
            <v>0</v>
          </cell>
          <cell r="O26" t="str">
            <v>22</v>
          </cell>
        </row>
        <row r="27">
          <cell r="B27" t="str">
            <v>23</v>
          </cell>
          <cell r="C27">
            <v>0</v>
          </cell>
          <cell r="D27">
            <v>0</v>
          </cell>
          <cell r="E27">
            <v>0</v>
          </cell>
          <cell r="F27">
            <v>0</v>
          </cell>
          <cell r="G27">
            <v>4270</v>
          </cell>
          <cell r="H27" t="str">
            <v>GAP Sales - New Other Makes Veh.</v>
          </cell>
          <cell r="I27"/>
          <cell r="J27"/>
          <cell r="K27">
            <v>0</v>
          </cell>
          <cell r="L27">
            <v>0</v>
          </cell>
          <cell r="M27">
            <v>0</v>
          </cell>
          <cell r="N27">
            <v>0</v>
          </cell>
          <cell r="O27" t="str">
            <v>23</v>
          </cell>
        </row>
        <row r="28">
          <cell r="B28" t="str">
            <v>24</v>
          </cell>
          <cell r="C28">
            <v>0</v>
          </cell>
          <cell r="D28">
            <v>0</v>
          </cell>
          <cell r="E28">
            <v>0</v>
          </cell>
          <cell r="F28">
            <v>0</v>
          </cell>
          <cell r="G28">
            <v>4235</v>
          </cell>
          <cell r="H28" t="str">
            <v>Maintenance Contract Sales - New Other Makes Veh.</v>
          </cell>
          <cell r="I28"/>
          <cell r="J28"/>
          <cell r="K28">
            <v>0</v>
          </cell>
          <cell r="L28">
            <v>0</v>
          </cell>
          <cell r="M28">
            <v>0</v>
          </cell>
          <cell r="N28">
            <v>0</v>
          </cell>
          <cell r="O28" t="str">
            <v>24</v>
          </cell>
        </row>
        <row r="29">
          <cell r="B29" t="str">
            <v>25</v>
          </cell>
          <cell r="C29">
            <v>0</v>
          </cell>
          <cell r="D29">
            <v>0</v>
          </cell>
          <cell r="E29">
            <v>0</v>
          </cell>
          <cell r="F29">
            <v>0</v>
          </cell>
          <cell r="G29">
            <v>4250</v>
          </cell>
          <cell r="H29" t="str">
            <v>All Other F &amp; I Products - New Other Makes Veh.</v>
          </cell>
          <cell r="I29"/>
          <cell r="J29"/>
          <cell r="K29">
            <v>0</v>
          </cell>
          <cell r="L29">
            <v>0</v>
          </cell>
          <cell r="M29">
            <v>0</v>
          </cell>
          <cell r="N29">
            <v>0</v>
          </cell>
          <cell r="O29" t="str">
            <v>25</v>
          </cell>
        </row>
        <row r="30">
          <cell r="B30" t="str">
            <v>26</v>
          </cell>
          <cell r="C30"/>
          <cell r="D30"/>
          <cell r="E30">
            <v>0</v>
          </cell>
          <cell r="F30"/>
          <cell r="G30">
            <v>6345</v>
          </cell>
          <cell r="H30" t="str">
            <v>LESS Fin., Ins. &amp; Svc. Cont. Adj. - New Other Makes Veh.</v>
          </cell>
          <cell r="I30"/>
          <cell r="J30"/>
          <cell r="K30"/>
          <cell r="L30"/>
          <cell r="M30">
            <v>0</v>
          </cell>
          <cell r="N30"/>
          <cell r="O30" t="str">
            <v>26</v>
          </cell>
        </row>
        <row r="31">
          <cell r="B31" t="str">
            <v>27</v>
          </cell>
          <cell r="C31">
            <v>0</v>
          </cell>
          <cell r="D31">
            <v>0</v>
          </cell>
          <cell r="E31">
            <v>0</v>
          </cell>
          <cell r="F31">
            <v>0</v>
          </cell>
          <cell r="G31" t="str">
            <v>SUBTOTAL F &amp; I / SVC. CONT INC. - NEW OTHER MAKES VEH</v>
          </cell>
          <cell r="H31"/>
          <cell r="I31"/>
          <cell r="J31" t="str">
            <v>(Lines 21 to 26)</v>
          </cell>
          <cell r="K31">
            <v>0</v>
          </cell>
          <cell r="L31">
            <v>0</v>
          </cell>
          <cell r="M31">
            <v>0</v>
          </cell>
          <cell r="N31">
            <v>0</v>
          </cell>
          <cell r="O31" t="str">
            <v>27</v>
          </cell>
        </row>
        <row r="32">
          <cell r="B32" t="str">
            <v>28</v>
          </cell>
          <cell r="C32">
            <v>476</v>
          </cell>
          <cell r="D32">
            <v>388291</v>
          </cell>
          <cell r="E32">
            <v>325445</v>
          </cell>
          <cell r="F32">
            <v>1535</v>
          </cell>
          <cell r="G32" t="str">
            <v>TOTAL F &amp; I / SVC. CONT. INC. - NEW</v>
          </cell>
          <cell r="H32"/>
          <cell r="I32"/>
          <cell r="J32" t="str">
            <v>(Lines 12, 20 &amp; 27)</v>
          </cell>
          <cell r="K32">
            <v>4173</v>
          </cell>
          <cell r="L32">
            <v>3487505</v>
          </cell>
          <cell r="M32">
            <v>2655768</v>
          </cell>
          <cell r="N32">
            <v>1428</v>
          </cell>
          <cell r="O32" t="str">
            <v>28</v>
          </cell>
        </row>
        <row r="33">
          <cell r="B33" t="str">
            <v>29</v>
          </cell>
          <cell r="C33"/>
          <cell r="D33"/>
          <cell r="E33">
            <v>0</v>
          </cell>
          <cell r="F33"/>
          <cell r="G33">
            <v>6320</v>
          </cell>
          <cell r="H33" t="str">
            <v>LESS Repo Losses - New</v>
          </cell>
          <cell r="I33"/>
          <cell r="J33"/>
          <cell r="K33"/>
          <cell r="L33"/>
          <cell r="M33">
            <v>0</v>
          </cell>
          <cell r="N33"/>
          <cell r="O33" t="str">
            <v>29</v>
          </cell>
        </row>
        <row r="34">
          <cell r="B34" t="str">
            <v>30</v>
          </cell>
          <cell r="C34"/>
          <cell r="D34"/>
          <cell r="E34">
            <v>-4973</v>
          </cell>
          <cell r="F34"/>
          <cell r="G34">
            <v>6350</v>
          </cell>
          <cell r="H34" t="str">
            <v>Dealer trades</v>
          </cell>
          <cell r="I34"/>
          <cell r="J34"/>
          <cell r="K34"/>
          <cell r="L34"/>
          <cell r="M34">
            <v>-13448</v>
          </cell>
          <cell r="N34"/>
          <cell r="O34" t="str">
            <v>30</v>
          </cell>
        </row>
        <row r="35">
          <cell r="B35" t="str">
            <v>31</v>
          </cell>
          <cell r="C35">
            <v>213</v>
          </cell>
          <cell r="D35">
            <v>6555319</v>
          </cell>
          <cell r="E35">
            <v>87732</v>
          </cell>
          <cell r="F35">
            <v>412</v>
          </cell>
          <cell r="G35" t="str">
            <v>TT40</v>
          </cell>
          <cell r="H35" t="str">
            <v>TOTAL NEW VEHICLE DEPT.</v>
          </cell>
          <cell r="I35"/>
          <cell r="J35" t="str">
            <v>(Pg 4 L81 Plus Pg 5 L4, 28 -30)</v>
          </cell>
          <cell r="K35">
            <v>1865</v>
          </cell>
          <cell r="L35">
            <v>54000484</v>
          </cell>
          <cell r="M35">
            <v>1115578</v>
          </cell>
          <cell r="N35">
            <v>598</v>
          </cell>
          <cell r="O35" t="str">
            <v>31</v>
          </cell>
        </row>
        <row r="36">
          <cell r="B36">
            <v>32</v>
          </cell>
          <cell r="C36"/>
          <cell r="D36"/>
          <cell r="E36"/>
          <cell r="F36"/>
          <cell r="G36"/>
          <cell r="H36"/>
          <cell r="I36"/>
          <cell r="J36"/>
          <cell r="K36"/>
          <cell r="L36"/>
          <cell r="M36"/>
          <cell r="N36"/>
          <cell r="O36">
            <v>32</v>
          </cell>
        </row>
        <row r="37">
          <cell r="B37">
            <v>33</v>
          </cell>
          <cell r="C37" t="str">
            <v>UNITS</v>
          </cell>
          <cell r="D37" t="str">
            <v>SALES</v>
          </cell>
          <cell r="E37" t="str">
            <v>GROSS PROFIT</v>
          </cell>
          <cell r="F37" t="str">
            <v>GROSS PER UNIT</v>
          </cell>
          <cell r="G37" t="str">
            <v>ACCT. NO.</v>
          </cell>
          <cell r="H37" t="str">
            <v>ACCOUNT NAME</v>
          </cell>
          <cell r="I37"/>
          <cell r="J37"/>
          <cell r="K37" t="str">
            <v>UNITS</v>
          </cell>
          <cell r="L37" t="str">
            <v>SALES</v>
          </cell>
          <cell r="M37" t="str">
            <v>GROSS PROFIT</v>
          </cell>
          <cell r="N37" t="str">
            <v>GROSS PER UNIT</v>
          </cell>
          <cell r="O37">
            <v>33</v>
          </cell>
        </row>
        <row r="38">
          <cell r="B38"/>
          <cell r="C38"/>
          <cell r="D38"/>
          <cell r="E38"/>
          <cell r="F38"/>
          <cell r="G38"/>
          <cell r="H38"/>
          <cell r="I38"/>
          <cell r="J38"/>
          <cell r="K38"/>
          <cell r="L38"/>
          <cell r="M38"/>
          <cell r="N38"/>
          <cell r="O38"/>
        </row>
        <row r="39">
          <cell r="B39" t="str">
            <v>34</v>
          </cell>
          <cell r="C39" t="str">
            <v>USED VEHICLE DEPARTMENT (B)</v>
          </cell>
          <cell r="D39"/>
          <cell r="E39"/>
          <cell r="F39"/>
          <cell r="G39"/>
          <cell r="H39"/>
          <cell r="I39"/>
          <cell r="J39"/>
          <cell r="K39"/>
          <cell r="L39"/>
          <cell r="M39"/>
          <cell r="N39"/>
          <cell r="O39" t="str">
            <v>34</v>
          </cell>
        </row>
        <row r="40">
          <cell r="B40" t="str">
            <v>35</v>
          </cell>
          <cell r="C40">
            <v>9</v>
          </cell>
          <cell r="D40">
            <v>105366</v>
          </cell>
          <cell r="E40">
            <v>24393</v>
          </cell>
          <cell r="F40">
            <v>2710</v>
          </cell>
          <cell r="G40">
            <v>4400</v>
          </cell>
          <cell r="H40" t="str">
            <v>Used Vehicles - Nissan - Retail</v>
          </cell>
          <cell r="I40"/>
          <cell r="J40"/>
          <cell r="K40">
            <v>379</v>
          </cell>
          <cell r="L40">
            <v>5871691</v>
          </cell>
          <cell r="M40">
            <v>987149</v>
          </cell>
          <cell r="N40">
            <v>2605</v>
          </cell>
          <cell r="O40" t="str">
            <v>35</v>
          </cell>
        </row>
        <row r="41">
          <cell r="B41" t="str">
            <v>36</v>
          </cell>
          <cell r="C41"/>
          <cell r="D41"/>
          <cell r="E41">
            <v>12657</v>
          </cell>
          <cell r="F41">
            <v>1406</v>
          </cell>
          <cell r="G41" t="str">
            <v>6400R</v>
          </cell>
          <cell r="H41" t="str">
            <v>LESS Reconditioning Nissan - Retail</v>
          </cell>
          <cell r="I41"/>
          <cell r="J41"/>
          <cell r="K41"/>
          <cell r="L41"/>
          <cell r="M41">
            <v>463123</v>
          </cell>
          <cell r="N41">
            <v>1222</v>
          </cell>
          <cell r="O41" t="str">
            <v>36</v>
          </cell>
        </row>
        <row r="42">
          <cell r="B42" t="str">
            <v>37</v>
          </cell>
          <cell r="C42">
            <v>38</v>
          </cell>
          <cell r="D42">
            <v>659474</v>
          </cell>
          <cell r="E42">
            <v>108480</v>
          </cell>
          <cell r="F42">
            <v>2855</v>
          </cell>
          <cell r="G42">
            <v>4405</v>
          </cell>
          <cell r="H42" t="str">
            <v>Used Vehicles - Nissan Certified Retail</v>
          </cell>
          <cell r="I42"/>
          <cell r="J42"/>
          <cell r="K42">
            <v>322</v>
          </cell>
          <cell r="L42">
            <v>5990537</v>
          </cell>
          <cell r="M42">
            <v>723496</v>
          </cell>
          <cell r="N42">
            <v>2247</v>
          </cell>
          <cell r="O42" t="str">
            <v>37</v>
          </cell>
        </row>
        <row r="43">
          <cell r="B43" t="str">
            <v>38</v>
          </cell>
          <cell r="C43"/>
          <cell r="D43"/>
          <cell r="E43">
            <v>51115</v>
          </cell>
          <cell r="F43">
            <v>1345</v>
          </cell>
          <cell r="G43" t="str">
            <v>6405R</v>
          </cell>
          <cell r="H43" t="str">
            <v>LESS Reconditioning - Nissan Certified Retail</v>
          </cell>
          <cell r="I43"/>
          <cell r="J43"/>
          <cell r="K43"/>
          <cell r="L43"/>
          <cell r="M43">
            <v>338448</v>
          </cell>
          <cell r="N43">
            <v>1051</v>
          </cell>
          <cell r="O43" t="str">
            <v>38</v>
          </cell>
        </row>
        <row r="44">
          <cell r="B44" t="str">
            <v>39</v>
          </cell>
          <cell r="C44">
            <v>55</v>
          </cell>
          <cell r="D44">
            <v>1013164</v>
          </cell>
          <cell r="E44">
            <v>157738</v>
          </cell>
          <cell r="F44">
            <v>2868</v>
          </cell>
          <cell r="G44">
            <v>4410</v>
          </cell>
          <cell r="H44" t="str">
            <v>Used Vehicles - Other Makes - Retail</v>
          </cell>
          <cell r="I44"/>
          <cell r="J44"/>
          <cell r="K44">
            <v>702</v>
          </cell>
          <cell r="L44">
            <v>11970039</v>
          </cell>
          <cell r="M44">
            <v>1683027</v>
          </cell>
          <cell r="N44">
            <v>2397</v>
          </cell>
          <cell r="O44" t="str">
            <v>39</v>
          </cell>
        </row>
        <row r="45">
          <cell r="B45" t="str">
            <v>40</v>
          </cell>
          <cell r="C45"/>
          <cell r="D45"/>
          <cell r="E45">
            <v>76271</v>
          </cell>
          <cell r="F45">
            <v>1387</v>
          </cell>
          <cell r="G45" t="str">
            <v>6410R</v>
          </cell>
          <cell r="H45" t="str">
            <v>LESS Reconditioning Other Makes - Retail</v>
          </cell>
          <cell r="I45"/>
          <cell r="J45"/>
          <cell r="K45"/>
          <cell r="L45"/>
          <cell r="M45">
            <v>830698</v>
          </cell>
          <cell r="N45">
            <v>1183</v>
          </cell>
          <cell r="O45" t="str">
            <v>40</v>
          </cell>
        </row>
        <row r="46">
          <cell r="B46" t="str">
            <v>41</v>
          </cell>
          <cell r="C46">
            <v>83</v>
          </cell>
          <cell r="D46">
            <v>724514</v>
          </cell>
          <cell r="E46">
            <v>-18315</v>
          </cell>
          <cell r="F46">
            <v>-221</v>
          </cell>
          <cell r="G46">
            <v>4420</v>
          </cell>
          <cell r="H46" t="str">
            <v>Used Vehicles - Wholesale</v>
          </cell>
          <cell r="I46"/>
          <cell r="J46"/>
          <cell r="K46">
            <v>789</v>
          </cell>
          <cell r="L46">
            <v>6444309</v>
          </cell>
          <cell r="M46">
            <v>-123674</v>
          </cell>
          <cell r="N46">
            <v>-157</v>
          </cell>
          <cell r="O46" t="str">
            <v>41</v>
          </cell>
        </row>
        <row r="47">
          <cell r="B47" t="str">
            <v>42</v>
          </cell>
          <cell r="C47"/>
          <cell r="D47"/>
          <cell r="E47">
            <v>0</v>
          </cell>
          <cell r="F47"/>
          <cell r="G47">
            <v>6430</v>
          </cell>
          <cell r="H47" t="str">
            <v>LESS Adj. - Used Vehicle Inventory</v>
          </cell>
          <cell r="I47"/>
          <cell r="J47"/>
          <cell r="K47"/>
          <cell r="L47"/>
          <cell r="M47">
            <v>0</v>
          </cell>
          <cell r="N47"/>
          <cell r="O47" t="str">
            <v>42</v>
          </cell>
        </row>
        <row r="48">
          <cell r="B48" t="str">
            <v>43</v>
          </cell>
          <cell r="C48">
            <v>185</v>
          </cell>
          <cell r="D48">
            <v>2502518</v>
          </cell>
          <cell r="E48">
            <v>132253</v>
          </cell>
          <cell r="F48">
            <v>715</v>
          </cell>
          <cell r="G48" t="str">
            <v>TOTAL USED VEHICLE SALES</v>
          </cell>
          <cell r="H48"/>
          <cell r="I48"/>
          <cell r="J48" t="str">
            <v xml:space="preserve">(Lines 35 to 42) </v>
          </cell>
          <cell r="K48">
            <v>2192</v>
          </cell>
          <cell r="L48">
            <v>30276576</v>
          </cell>
          <cell r="M48">
            <v>1637729</v>
          </cell>
          <cell r="N48">
            <v>747</v>
          </cell>
          <cell r="O48" t="str">
            <v>43</v>
          </cell>
        </row>
        <row r="49">
          <cell r="B49" t="str">
            <v>44</v>
          </cell>
          <cell r="C49">
            <v>0</v>
          </cell>
          <cell r="D49"/>
          <cell r="E49">
            <v>0</v>
          </cell>
          <cell r="F49">
            <v>0</v>
          </cell>
          <cell r="G49">
            <v>6440</v>
          </cell>
          <cell r="H49" t="str">
            <v>Finance Res Inc. - Used Nissan Veh</v>
          </cell>
          <cell r="I49"/>
          <cell r="J49"/>
          <cell r="K49">
            <v>0</v>
          </cell>
          <cell r="L49"/>
          <cell r="M49">
            <v>0</v>
          </cell>
          <cell r="N49">
            <v>0</v>
          </cell>
          <cell r="O49" t="str">
            <v>44</v>
          </cell>
        </row>
        <row r="50">
          <cell r="B50" t="str">
            <v>45</v>
          </cell>
          <cell r="C50">
            <v>0</v>
          </cell>
          <cell r="D50">
            <v>0</v>
          </cell>
          <cell r="E50">
            <v>0</v>
          </cell>
          <cell r="F50">
            <v>0</v>
          </cell>
          <cell r="G50">
            <v>4480</v>
          </cell>
          <cell r="H50" t="str">
            <v>Security+Plus Service Contracts Sls. - Used Nissan Veh.</v>
          </cell>
          <cell r="I50"/>
          <cell r="J50"/>
          <cell r="K50">
            <v>0</v>
          </cell>
          <cell r="L50">
            <v>0</v>
          </cell>
          <cell r="M50">
            <v>0</v>
          </cell>
          <cell r="N50">
            <v>0</v>
          </cell>
          <cell r="O50" t="str">
            <v>45</v>
          </cell>
        </row>
        <row r="51">
          <cell r="B51" t="str">
            <v>46</v>
          </cell>
          <cell r="C51">
            <v>0</v>
          </cell>
          <cell r="D51">
            <v>0</v>
          </cell>
          <cell r="E51">
            <v>0</v>
          </cell>
          <cell r="F51">
            <v>0</v>
          </cell>
          <cell r="G51">
            <v>4482</v>
          </cell>
          <cell r="H51" t="str">
            <v>Other Svc. Contract Sls. - Used Nissan Veh.</v>
          </cell>
          <cell r="I51"/>
          <cell r="J51"/>
          <cell r="K51">
            <v>0</v>
          </cell>
          <cell r="L51">
            <v>0</v>
          </cell>
          <cell r="M51">
            <v>0</v>
          </cell>
          <cell r="N51">
            <v>0</v>
          </cell>
          <cell r="O51" t="str">
            <v>46</v>
          </cell>
        </row>
        <row r="52">
          <cell r="B52" t="str">
            <v>47</v>
          </cell>
          <cell r="C52">
            <v>0</v>
          </cell>
          <cell r="D52">
            <v>0</v>
          </cell>
          <cell r="E52">
            <v>0</v>
          </cell>
          <cell r="F52">
            <v>0</v>
          </cell>
          <cell r="G52">
            <v>4445</v>
          </cell>
          <cell r="H52" t="str">
            <v>GAP Sales - Used Nissan Veh.</v>
          </cell>
          <cell r="I52"/>
          <cell r="J52"/>
          <cell r="K52">
            <v>0</v>
          </cell>
          <cell r="L52">
            <v>0</v>
          </cell>
          <cell r="M52">
            <v>0</v>
          </cell>
          <cell r="N52">
            <v>0</v>
          </cell>
          <cell r="O52" t="str">
            <v>47</v>
          </cell>
        </row>
        <row r="53">
          <cell r="B53" t="str">
            <v>48</v>
          </cell>
          <cell r="C53">
            <v>0</v>
          </cell>
          <cell r="D53">
            <v>0</v>
          </cell>
          <cell r="E53">
            <v>0</v>
          </cell>
          <cell r="F53">
            <v>0</v>
          </cell>
          <cell r="G53">
            <v>4481</v>
          </cell>
          <cell r="H53" t="str">
            <v>Maintenance Contract Sales - Used Nissan Veh.</v>
          </cell>
          <cell r="I53"/>
          <cell r="J53"/>
          <cell r="K53">
            <v>0</v>
          </cell>
          <cell r="L53">
            <v>0</v>
          </cell>
          <cell r="M53">
            <v>0</v>
          </cell>
          <cell r="N53">
            <v>0</v>
          </cell>
          <cell r="O53" t="str">
            <v>48</v>
          </cell>
        </row>
        <row r="54">
          <cell r="B54" t="str">
            <v>49</v>
          </cell>
          <cell r="C54">
            <v>0</v>
          </cell>
          <cell r="D54">
            <v>0</v>
          </cell>
          <cell r="E54">
            <v>0</v>
          </cell>
          <cell r="F54">
            <v>0</v>
          </cell>
          <cell r="G54">
            <v>4452</v>
          </cell>
          <cell r="H54" t="str">
            <v>All Other F &amp; I Products - Used Nissan Veh.</v>
          </cell>
          <cell r="I54"/>
          <cell r="J54"/>
          <cell r="K54">
            <v>0</v>
          </cell>
          <cell r="L54">
            <v>0</v>
          </cell>
          <cell r="M54">
            <v>0</v>
          </cell>
          <cell r="N54">
            <v>0</v>
          </cell>
          <cell r="O54" t="str">
            <v>49</v>
          </cell>
        </row>
        <row r="55">
          <cell r="B55" t="str">
            <v>50</v>
          </cell>
          <cell r="C55"/>
          <cell r="D55"/>
          <cell r="E55">
            <v>0</v>
          </cell>
          <cell r="F55"/>
          <cell r="G55">
            <v>6470</v>
          </cell>
          <cell r="H55" t="str">
            <v>LESS Fin., Ins. &amp; Svc. Cont. Adj. - Used Nissan Veh.</v>
          </cell>
          <cell r="I55"/>
          <cell r="J55"/>
          <cell r="K55"/>
          <cell r="L55"/>
          <cell r="M55">
            <v>0</v>
          </cell>
          <cell r="N55"/>
          <cell r="O55" t="str">
            <v>50</v>
          </cell>
        </row>
        <row r="56">
          <cell r="B56" t="str">
            <v>51</v>
          </cell>
          <cell r="C56">
            <v>0</v>
          </cell>
          <cell r="D56">
            <v>0</v>
          </cell>
          <cell r="E56">
            <v>0</v>
          </cell>
          <cell r="F56">
            <v>0</v>
          </cell>
          <cell r="G56" t="str">
            <v>SUBTOTAL F &amp; I / SVC. CONT. INC. - USED NISSAN</v>
          </cell>
          <cell r="H56"/>
          <cell r="I56"/>
          <cell r="J56" t="str">
            <v xml:space="preserve">(Lines 44 to 50) </v>
          </cell>
          <cell r="K56">
            <v>0</v>
          </cell>
          <cell r="L56">
            <v>0</v>
          </cell>
          <cell r="M56">
            <v>0</v>
          </cell>
          <cell r="N56">
            <v>0</v>
          </cell>
          <cell r="O56" t="str">
            <v>51</v>
          </cell>
        </row>
        <row r="57">
          <cell r="B57" t="str">
            <v>52</v>
          </cell>
          <cell r="C57">
            <v>68</v>
          </cell>
          <cell r="D57"/>
          <cell r="E57">
            <v>39327</v>
          </cell>
          <cell r="F57">
            <v>578</v>
          </cell>
          <cell r="G57">
            <v>6460</v>
          </cell>
          <cell r="H57" t="str">
            <v>Finance Res. Inc. - Used Other Makes Veh.</v>
          </cell>
          <cell r="I57"/>
          <cell r="J57"/>
          <cell r="K57">
            <v>853</v>
          </cell>
          <cell r="L57"/>
          <cell r="M57">
            <v>525093</v>
          </cell>
          <cell r="N57">
            <v>616</v>
          </cell>
          <cell r="O57" t="str">
            <v>52</v>
          </cell>
        </row>
        <row r="58">
          <cell r="B58" t="str">
            <v>53</v>
          </cell>
          <cell r="C58">
            <v>37</v>
          </cell>
          <cell r="D58">
            <v>89724</v>
          </cell>
          <cell r="E58">
            <v>31638</v>
          </cell>
          <cell r="F58">
            <v>855</v>
          </cell>
          <cell r="G58">
            <v>4485</v>
          </cell>
          <cell r="H58" t="str">
            <v>QualityGuard+Plus Svc. Cont. Sls. - Used Other Makes Veh.</v>
          </cell>
          <cell r="I58"/>
          <cell r="J58"/>
          <cell r="K58">
            <v>617</v>
          </cell>
          <cell r="L58">
            <v>1457502</v>
          </cell>
          <cell r="M58">
            <v>487561</v>
          </cell>
          <cell r="N58">
            <v>790</v>
          </cell>
          <cell r="O58" t="str">
            <v>53</v>
          </cell>
        </row>
        <row r="59">
          <cell r="B59" t="str">
            <v>54</v>
          </cell>
          <cell r="C59">
            <v>0</v>
          </cell>
          <cell r="D59">
            <v>0</v>
          </cell>
          <cell r="E59">
            <v>0</v>
          </cell>
          <cell r="F59">
            <v>0</v>
          </cell>
          <cell r="G59">
            <v>4487</v>
          </cell>
          <cell r="H59" t="str">
            <v>Othr Svc. Contract Sls. - Used Other Makes Veh.</v>
          </cell>
          <cell r="I59"/>
          <cell r="J59"/>
          <cell r="K59">
            <v>0</v>
          </cell>
          <cell r="L59">
            <v>0</v>
          </cell>
          <cell r="M59">
            <v>0</v>
          </cell>
          <cell r="N59">
            <v>0</v>
          </cell>
          <cell r="O59" t="str">
            <v>54</v>
          </cell>
        </row>
        <row r="60">
          <cell r="B60" t="str">
            <v>55</v>
          </cell>
          <cell r="C60">
            <v>1</v>
          </cell>
          <cell r="D60">
            <v>1199</v>
          </cell>
          <cell r="E60">
            <v>1199</v>
          </cell>
          <cell r="F60">
            <v>1199</v>
          </cell>
          <cell r="G60">
            <v>4489</v>
          </cell>
          <cell r="H60" t="str">
            <v>Maintenance Contract Sales - Used Other Makes Veh.</v>
          </cell>
          <cell r="I60"/>
          <cell r="J60"/>
          <cell r="K60">
            <v>30</v>
          </cell>
          <cell r="L60">
            <v>28373</v>
          </cell>
          <cell r="M60">
            <v>23042</v>
          </cell>
          <cell r="N60">
            <v>768</v>
          </cell>
          <cell r="O60" t="str">
            <v>55</v>
          </cell>
        </row>
        <row r="61">
          <cell r="B61" t="str">
            <v>56</v>
          </cell>
          <cell r="C61">
            <v>35</v>
          </cell>
          <cell r="D61">
            <v>23109</v>
          </cell>
          <cell r="E61">
            <v>9804</v>
          </cell>
          <cell r="F61">
            <v>280</v>
          </cell>
          <cell r="G61">
            <v>4465</v>
          </cell>
          <cell r="H61" t="str">
            <v>GAP Sales - Used Other Makes Veh.</v>
          </cell>
          <cell r="I61"/>
          <cell r="J61"/>
          <cell r="K61">
            <v>439</v>
          </cell>
          <cell r="L61">
            <v>289329</v>
          </cell>
          <cell r="M61">
            <v>141549</v>
          </cell>
          <cell r="N61">
            <v>322</v>
          </cell>
          <cell r="O61" t="str">
            <v>56</v>
          </cell>
        </row>
        <row r="62">
          <cell r="B62" t="str">
            <v>57</v>
          </cell>
          <cell r="C62">
            <v>20</v>
          </cell>
          <cell r="D62">
            <v>2894</v>
          </cell>
          <cell r="E62">
            <v>1163</v>
          </cell>
          <cell r="F62">
            <v>58</v>
          </cell>
          <cell r="G62">
            <v>4455</v>
          </cell>
          <cell r="H62" t="str">
            <v>All Other F &amp; I Products - Used Other Makes Veh.</v>
          </cell>
          <cell r="I62"/>
          <cell r="J62"/>
          <cell r="K62">
            <v>179</v>
          </cell>
          <cell r="L62">
            <v>76971</v>
          </cell>
          <cell r="M62">
            <v>42292</v>
          </cell>
          <cell r="N62">
            <v>236</v>
          </cell>
          <cell r="O62" t="str">
            <v>57</v>
          </cell>
        </row>
        <row r="63">
          <cell r="B63" t="str">
            <v>58</v>
          </cell>
          <cell r="C63"/>
          <cell r="D63"/>
          <cell r="E63">
            <v>9786</v>
          </cell>
          <cell r="F63"/>
          <cell r="G63">
            <v>6475</v>
          </cell>
          <cell r="H63" t="str">
            <v>LESS Fin., Ins. &amp; Svc. Cont. Adj. - Used Other Makes Veh.</v>
          </cell>
          <cell r="I63"/>
          <cell r="J63"/>
          <cell r="K63"/>
          <cell r="L63"/>
          <cell r="M63">
            <v>148103</v>
          </cell>
          <cell r="N63"/>
          <cell r="O63" t="str">
            <v>58</v>
          </cell>
        </row>
        <row r="64">
          <cell r="B64" t="str">
            <v>59</v>
          </cell>
          <cell r="C64">
            <v>161</v>
          </cell>
          <cell r="D64">
            <v>116926</v>
          </cell>
          <cell r="E64">
            <v>73345</v>
          </cell>
          <cell r="F64">
            <v>1334</v>
          </cell>
          <cell r="G64" t="str">
            <v>SUBTOTAL F &amp; I / SVC. CONT INC.- USED OTHER MAKES VEH</v>
          </cell>
          <cell r="H64"/>
          <cell r="I64"/>
          <cell r="J64" t="str">
            <v xml:space="preserve">(Lines 52 to 58) </v>
          </cell>
          <cell r="K64">
            <v>2118</v>
          </cell>
          <cell r="L64">
            <v>1852175</v>
          </cell>
          <cell r="M64">
            <v>1071434</v>
          </cell>
          <cell r="N64">
            <v>1526</v>
          </cell>
          <cell r="O64" t="str">
            <v>59</v>
          </cell>
        </row>
        <row r="65">
          <cell r="B65" t="str">
            <v>60</v>
          </cell>
          <cell r="C65">
            <v>161</v>
          </cell>
          <cell r="D65">
            <v>116926</v>
          </cell>
          <cell r="E65">
            <v>73345</v>
          </cell>
          <cell r="F65">
            <v>719</v>
          </cell>
          <cell r="G65"/>
          <cell r="H65" t="str">
            <v>TOTAL F &amp; I / SVC. CONT. INC. - USED</v>
          </cell>
          <cell r="I65"/>
          <cell r="J65" t="str">
            <v xml:space="preserve">(Lines 51 &amp; 59) </v>
          </cell>
          <cell r="K65">
            <v>2118</v>
          </cell>
          <cell r="L65">
            <v>1852175</v>
          </cell>
          <cell r="M65">
            <v>1071434</v>
          </cell>
          <cell r="N65">
            <v>764</v>
          </cell>
          <cell r="O65" t="str">
            <v>60</v>
          </cell>
        </row>
        <row r="66">
          <cell r="B66" t="str">
            <v>61</v>
          </cell>
          <cell r="C66"/>
          <cell r="D66"/>
          <cell r="E66">
            <v>0</v>
          </cell>
          <cell r="F66"/>
          <cell r="G66">
            <v>6450</v>
          </cell>
          <cell r="H66" t="str">
            <v>LESS Repo Losses - Used Vehicles</v>
          </cell>
          <cell r="I66"/>
          <cell r="J66"/>
          <cell r="K66"/>
          <cell r="L66"/>
          <cell r="M66">
            <v>0</v>
          </cell>
          <cell r="N66"/>
          <cell r="O66" t="str">
            <v>61</v>
          </cell>
        </row>
        <row r="67">
          <cell r="B67" t="str">
            <v>62</v>
          </cell>
          <cell r="C67">
            <v>185</v>
          </cell>
          <cell r="D67">
            <v>2619444</v>
          </cell>
          <cell r="E67">
            <v>205598</v>
          </cell>
          <cell r="F67">
            <v>1111</v>
          </cell>
          <cell r="G67" t="str">
            <v>TT41</v>
          </cell>
          <cell r="H67" t="str">
            <v>TOTAL USED VEHICLE DEPT.</v>
          </cell>
          <cell r="I67"/>
          <cell r="J67" t="str">
            <v xml:space="preserve">(Lines 43, 60 &amp; 61) </v>
          </cell>
          <cell r="K67">
            <v>2192</v>
          </cell>
          <cell r="L67">
            <v>32128751</v>
          </cell>
          <cell r="M67">
            <v>2709163</v>
          </cell>
          <cell r="N67">
            <v>1236</v>
          </cell>
          <cell r="O67" t="str">
            <v>62</v>
          </cell>
        </row>
        <row r="68">
          <cell r="B68" t="str">
            <v>63</v>
          </cell>
          <cell r="C68">
            <v>398</v>
          </cell>
          <cell r="D68">
            <v>9174763</v>
          </cell>
          <cell r="E68">
            <v>293330</v>
          </cell>
          <cell r="F68">
            <v>737</v>
          </cell>
          <cell r="G68" t="str">
            <v>TOTAL NEW &amp; USED VEHICLES</v>
          </cell>
          <cell r="H68"/>
          <cell r="I68"/>
          <cell r="J68" t="str">
            <v xml:space="preserve">(Lines 31 &amp; 62) </v>
          </cell>
          <cell r="K68">
            <v>4057</v>
          </cell>
          <cell r="L68">
            <v>86129235</v>
          </cell>
          <cell r="M68">
            <v>3824741</v>
          </cell>
          <cell r="N68">
            <v>943</v>
          </cell>
          <cell r="O68" t="str">
            <v>63</v>
          </cell>
        </row>
        <row r="69">
          <cell r="B69" t="str">
            <v>64</v>
          </cell>
          <cell r="C69"/>
          <cell r="D69"/>
          <cell r="E69"/>
          <cell r="F69"/>
          <cell r="G69"/>
          <cell r="H69" t="str">
            <v>SERVICE DEPARTMENT (C)</v>
          </cell>
          <cell r="I69"/>
          <cell r="J69"/>
          <cell r="K69"/>
          <cell r="L69"/>
          <cell r="M69"/>
          <cell r="N69"/>
          <cell r="O69" t="str">
            <v>64</v>
          </cell>
        </row>
        <row r="70">
          <cell r="B70" t="str">
            <v>65</v>
          </cell>
          <cell r="C70">
            <v>1262</v>
          </cell>
          <cell r="D70">
            <v>144615</v>
          </cell>
          <cell r="E70">
            <v>86925</v>
          </cell>
          <cell r="F70">
            <v>601</v>
          </cell>
          <cell r="G70">
            <v>4500</v>
          </cell>
          <cell r="H70" t="str">
            <v>Cust. Mech. Labor - Nissan Vehicles</v>
          </cell>
          <cell r="I70"/>
          <cell r="J70"/>
          <cell r="K70">
            <v>14637</v>
          </cell>
          <cell r="L70">
            <v>1789222</v>
          </cell>
          <cell r="M70">
            <v>1262828</v>
          </cell>
          <cell r="N70">
            <v>706</v>
          </cell>
          <cell r="O70" t="str">
            <v>65</v>
          </cell>
        </row>
        <row r="71">
          <cell r="B71" t="str">
            <v>66</v>
          </cell>
          <cell r="C71">
            <v>0</v>
          </cell>
          <cell r="D71">
            <v>0</v>
          </cell>
          <cell r="E71">
            <v>0</v>
          </cell>
          <cell r="F71">
            <v>0</v>
          </cell>
          <cell r="G71">
            <v>4504</v>
          </cell>
          <cell r="H71" t="str">
            <v>Service / Maint Contract - Labor - Nissan Vehicles</v>
          </cell>
          <cell r="I71"/>
          <cell r="J71"/>
          <cell r="K71">
            <v>0</v>
          </cell>
          <cell r="L71">
            <v>0</v>
          </cell>
          <cell r="M71">
            <v>0</v>
          </cell>
          <cell r="N71">
            <v>0</v>
          </cell>
          <cell r="O71" t="str">
            <v>66</v>
          </cell>
        </row>
        <row r="72">
          <cell r="B72" t="str">
            <v>67</v>
          </cell>
          <cell r="C72">
            <v>527</v>
          </cell>
          <cell r="D72">
            <v>59977</v>
          </cell>
          <cell r="E72">
            <v>42622</v>
          </cell>
          <cell r="F72">
            <v>711</v>
          </cell>
          <cell r="G72">
            <v>4540</v>
          </cell>
          <cell r="H72" t="str">
            <v>Warranty Mech. Labor - Nissan Vehicles</v>
          </cell>
          <cell r="I72"/>
          <cell r="J72"/>
          <cell r="K72">
            <v>6558</v>
          </cell>
          <cell r="L72">
            <v>609888</v>
          </cell>
          <cell r="M72">
            <v>475575</v>
          </cell>
          <cell r="N72">
            <v>780</v>
          </cell>
          <cell r="O72" t="str">
            <v>67</v>
          </cell>
        </row>
        <row r="73">
          <cell r="B73" t="str">
            <v>68</v>
          </cell>
          <cell r="C73">
            <v>437</v>
          </cell>
          <cell r="D73">
            <v>75866</v>
          </cell>
          <cell r="E73">
            <v>58754</v>
          </cell>
          <cell r="F73">
            <v>774</v>
          </cell>
          <cell r="G73">
            <v>4550</v>
          </cell>
          <cell r="H73" t="str">
            <v>Internal Mech. Labor - Nissan Vehicles</v>
          </cell>
          <cell r="I73"/>
          <cell r="J73"/>
          <cell r="K73">
            <v>5558</v>
          </cell>
          <cell r="L73">
            <v>907316</v>
          </cell>
          <cell r="M73">
            <v>712611</v>
          </cell>
          <cell r="N73">
            <v>785</v>
          </cell>
          <cell r="O73" t="str">
            <v>68</v>
          </cell>
        </row>
        <row r="74">
          <cell r="B74" t="str">
            <v>69</v>
          </cell>
          <cell r="C74">
            <v>2226</v>
          </cell>
          <cell r="D74">
            <v>280458</v>
          </cell>
          <cell r="E74">
            <v>188301</v>
          </cell>
          <cell r="F74">
            <v>671</v>
          </cell>
          <cell r="G74" t="str">
            <v>SUBTOTAL - NISSAN MECH. LABOR</v>
          </cell>
          <cell r="H74"/>
          <cell r="I74"/>
          <cell r="J74" t="str">
            <v xml:space="preserve">(Lines 65 to 68) </v>
          </cell>
          <cell r="K74">
            <v>26753</v>
          </cell>
          <cell r="L74">
            <v>3306426</v>
          </cell>
          <cell r="M74">
            <v>2451014</v>
          </cell>
          <cell r="N74">
            <v>741</v>
          </cell>
          <cell r="O74" t="str">
            <v>69</v>
          </cell>
        </row>
        <row r="75">
          <cell r="B75" t="str">
            <v>70</v>
          </cell>
          <cell r="C75">
            <v>19</v>
          </cell>
          <cell r="D75">
            <v>632</v>
          </cell>
          <cell r="E75">
            <v>580</v>
          </cell>
          <cell r="F75">
            <v>918</v>
          </cell>
          <cell r="G75">
            <v>4502</v>
          </cell>
          <cell r="H75" t="str">
            <v>Express Service - Cust. Mech. Labor - Nissan Vehicles</v>
          </cell>
          <cell r="I75"/>
          <cell r="J75"/>
          <cell r="K75">
            <v>377</v>
          </cell>
          <cell r="L75">
            <v>12405</v>
          </cell>
          <cell r="M75">
            <v>10105</v>
          </cell>
          <cell r="N75">
            <v>815</v>
          </cell>
          <cell r="O75" t="str">
            <v>70</v>
          </cell>
        </row>
        <row r="76">
          <cell r="B76" t="str">
            <v>71</v>
          </cell>
          <cell r="C76">
            <v>1117</v>
          </cell>
          <cell r="D76">
            <v>13376</v>
          </cell>
          <cell r="E76">
            <v>10822</v>
          </cell>
          <cell r="F76">
            <v>809</v>
          </cell>
          <cell r="G76">
            <v>4506</v>
          </cell>
          <cell r="H76" t="str">
            <v>Exp. Service Service / Maint. Cont. Labor - Nissan Vehicles</v>
          </cell>
          <cell r="I76"/>
          <cell r="J76"/>
          <cell r="K76">
            <v>13540</v>
          </cell>
          <cell r="L76">
            <v>141646</v>
          </cell>
          <cell r="M76">
            <v>108249</v>
          </cell>
          <cell r="N76">
            <v>764</v>
          </cell>
          <cell r="O76" t="str">
            <v>71</v>
          </cell>
        </row>
        <row r="77">
          <cell r="B77" t="str">
            <v>72</v>
          </cell>
          <cell r="C77">
            <v>0</v>
          </cell>
          <cell r="D77">
            <v>0</v>
          </cell>
          <cell r="E77">
            <v>0</v>
          </cell>
          <cell r="F77">
            <v>0</v>
          </cell>
          <cell r="G77">
            <v>4543</v>
          </cell>
          <cell r="H77" t="str">
            <v>Express Service - Warranty Labor - Nissan Vehicles</v>
          </cell>
          <cell r="I77"/>
          <cell r="J77"/>
          <cell r="K77">
            <v>0</v>
          </cell>
          <cell r="L77">
            <v>0</v>
          </cell>
          <cell r="M77">
            <v>0</v>
          </cell>
          <cell r="N77">
            <v>0</v>
          </cell>
          <cell r="O77" t="str">
            <v>72</v>
          </cell>
        </row>
        <row r="78">
          <cell r="B78" t="str">
            <v>73</v>
          </cell>
          <cell r="C78">
            <v>0</v>
          </cell>
          <cell r="D78">
            <v>0</v>
          </cell>
          <cell r="E78">
            <v>0</v>
          </cell>
          <cell r="F78">
            <v>0</v>
          </cell>
          <cell r="G78">
            <v>4553</v>
          </cell>
          <cell r="H78" t="str">
            <v>Express Service Internal Labor - Nissan Vehicles</v>
          </cell>
          <cell r="I78"/>
          <cell r="J78"/>
          <cell r="K78">
            <v>0</v>
          </cell>
          <cell r="L78">
            <v>0</v>
          </cell>
          <cell r="M78">
            <v>0</v>
          </cell>
          <cell r="N78">
            <v>0</v>
          </cell>
          <cell r="O78" t="str">
            <v>73</v>
          </cell>
        </row>
        <row r="79">
          <cell r="B79" t="str">
            <v>74</v>
          </cell>
          <cell r="C79">
            <v>1136</v>
          </cell>
          <cell r="D79">
            <v>14008</v>
          </cell>
          <cell r="E79">
            <v>11402</v>
          </cell>
          <cell r="F79">
            <v>814</v>
          </cell>
          <cell r="G79" t="str">
            <v>SUBTOTAL - ES NISSAN MECH. LABOR</v>
          </cell>
          <cell r="H79"/>
          <cell r="I79"/>
          <cell r="J79" t="str">
            <v>(Lines 70 to 73)</v>
          </cell>
          <cell r="K79">
            <v>13917</v>
          </cell>
          <cell r="L79">
            <v>154051</v>
          </cell>
          <cell r="M79">
            <v>118354</v>
          </cell>
          <cell r="N79">
            <v>768</v>
          </cell>
          <cell r="O79" t="str">
            <v>74</v>
          </cell>
        </row>
      </sheetData>
      <sheetData sheetId="5" refreshError="1">
        <row r="1">
          <cell r="B1"/>
          <cell r="C1" t="str">
            <v>FIXED OPERATIONS SALES AND GROSS PROFIT</v>
          </cell>
          <cell r="D1"/>
          <cell r="E1"/>
          <cell r="F1"/>
          <cell r="G1"/>
          <cell r="H1"/>
          <cell r="I1"/>
          <cell r="J1"/>
          <cell r="K1"/>
          <cell r="L1"/>
          <cell r="M1"/>
          <cell r="N1"/>
          <cell r="O1"/>
          <cell r="P1"/>
          <cell r="Q1"/>
          <cell r="R1"/>
          <cell r="S1"/>
          <cell r="T1"/>
          <cell r="U1"/>
          <cell r="V1"/>
          <cell r="W1"/>
          <cell r="X1"/>
          <cell r="Y1"/>
          <cell r="Z1"/>
          <cell r="AA1"/>
          <cell r="AB1"/>
          <cell r="AC1"/>
          <cell r="AD1"/>
          <cell r="AE1"/>
          <cell r="AF1"/>
          <cell r="AG1"/>
          <cell r="AH1"/>
          <cell r="AI1"/>
          <cell r="AJ1"/>
          <cell r="AK1"/>
          <cell r="AL1"/>
          <cell r="AM1"/>
          <cell r="AN1"/>
          <cell r="AO1"/>
          <cell r="AP1"/>
          <cell r="AQ1"/>
          <cell r="AR1"/>
          <cell r="AS1"/>
          <cell r="AT1"/>
          <cell r="AU1"/>
          <cell r="AV1"/>
          <cell r="AW1"/>
          <cell r="AX1"/>
          <cell r="AY1"/>
          <cell r="AZ1"/>
          <cell r="BA1"/>
          <cell r="BB1"/>
          <cell r="BC1"/>
          <cell r="BD1"/>
          <cell r="BE1"/>
          <cell r="BF1"/>
          <cell r="BG1"/>
          <cell r="BH1"/>
          <cell r="BI1"/>
          <cell r="BJ1"/>
          <cell r="BK1"/>
          <cell r="BL1"/>
          <cell r="BM1"/>
          <cell r="BN1"/>
          <cell r="BO1"/>
          <cell r="BP1"/>
          <cell r="BQ1"/>
          <cell r="BR1"/>
          <cell r="BS1"/>
          <cell r="BT1"/>
          <cell r="BU1"/>
          <cell r="BV1"/>
          <cell r="BW1"/>
          <cell r="BX1"/>
          <cell r="BY1"/>
          <cell r="BZ1"/>
          <cell r="CA1"/>
          <cell r="CB1"/>
          <cell r="CC1"/>
          <cell r="CD1"/>
          <cell r="CE1"/>
          <cell r="CF1"/>
          <cell r="CG1"/>
          <cell r="CH1"/>
          <cell r="CI1"/>
          <cell r="CJ1"/>
          <cell r="CK1"/>
          <cell r="CL1"/>
          <cell r="CM1"/>
          <cell r="CN1"/>
          <cell r="CO1"/>
          <cell r="CP1"/>
          <cell r="CQ1"/>
          <cell r="CR1"/>
          <cell r="CS1"/>
          <cell r="CT1"/>
          <cell r="CU1"/>
          <cell r="CV1"/>
          <cell r="CW1"/>
          <cell r="CX1"/>
          <cell r="CY1"/>
        </row>
        <row r="2">
          <cell r="B2" t="str">
            <v>Page 6</v>
          </cell>
          <cell r="C2" t="str">
            <v>Current Month: (Month)</v>
          </cell>
          <cell r="D2"/>
          <cell r="E2"/>
          <cell r="F2"/>
          <cell r="G2"/>
          <cell r="H2"/>
          <cell r="I2"/>
          <cell r="J2"/>
          <cell r="K2"/>
          <cell r="L2"/>
          <cell r="M2"/>
          <cell r="N2"/>
          <cell r="O2"/>
          <cell r="P2"/>
          <cell r="Q2"/>
          <cell r="R2"/>
          <cell r="S2"/>
          <cell r="T2"/>
          <cell r="U2"/>
          <cell r="V2"/>
          <cell r="W2"/>
          <cell r="X2"/>
          <cell r="Y2"/>
          <cell r="Z2"/>
          <cell r="AA2"/>
          <cell r="AB2"/>
          <cell r="AC2"/>
          <cell r="AD2"/>
          <cell r="AE2"/>
          <cell r="AF2"/>
          <cell r="AG2"/>
          <cell r="AH2"/>
          <cell r="AI2"/>
          <cell r="AJ2"/>
          <cell r="AK2"/>
          <cell r="AL2"/>
          <cell r="AM2"/>
          <cell r="AN2"/>
          <cell r="AO2"/>
          <cell r="AP2"/>
          <cell r="AQ2"/>
          <cell r="AR2"/>
          <cell r="AS2"/>
          <cell r="AT2"/>
          <cell r="AU2"/>
          <cell r="AV2"/>
          <cell r="AW2"/>
          <cell r="AX2"/>
          <cell r="AY2"/>
          <cell r="AZ2"/>
          <cell r="BA2"/>
          <cell r="BB2"/>
          <cell r="BC2"/>
          <cell r="BD2"/>
          <cell r="BE2"/>
          <cell r="BF2"/>
          <cell r="BG2"/>
          <cell r="BH2"/>
          <cell r="BI2" t="str">
            <v>Year to Date: (Year)</v>
          </cell>
          <cell r="BJ2"/>
          <cell r="BK2"/>
          <cell r="BL2"/>
          <cell r="BM2"/>
          <cell r="BN2"/>
          <cell r="BO2"/>
          <cell r="BP2"/>
          <cell r="BQ2"/>
          <cell r="BR2"/>
          <cell r="BS2"/>
          <cell r="BT2"/>
          <cell r="BU2"/>
          <cell r="BV2"/>
          <cell r="BW2"/>
          <cell r="BX2"/>
          <cell r="BY2"/>
          <cell r="BZ2"/>
          <cell r="CA2"/>
          <cell r="CB2"/>
          <cell r="CC2"/>
          <cell r="CD2"/>
          <cell r="CE2"/>
          <cell r="CF2"/>
          <cell r="CG2"/>
          <cell r="CH2"/>
          <cell r="CI2"/>
          <cell r="CJ2"/>
          <cell r="CK2"/>
          <cell r="CL2"/>
          <cell r="CM2"/>
          <cell r="CN2"/>
          <cell r="CO2"/>
          <cell r="CP2"/>
          <cell r="CQ2"/>
          <cell r="CR2"/>
          <cell r="CS2"/>
          <cell r="CT2"/>
          <cell r="CU2"/>
          <cell r="CV2"/>
          <cell r="CW2"/>
          <cell r="CX2"/>
          <cell r="CY2"/>
        </row>
        <row r="3">
          <cell r="B3" t="str">
            <v>LINE NO</v>
          </cell>
          <cell r="C3" t="str">
            <v>UNITS</v>
          </cell>
          <cell r="D3"/>
          <cell r="E3"/>
          <cell r="F3"/>
          <cell r="G3"/>
          <cell r="H3"/>
          <cell r="I3"/>
          <cell r="J3"/>
          <cell r="K3" t="str">
            <v>SALES</v>
          </cell>
          <cell r="L3"/>
          <cell r="M3"/>
          <cell r="N3"/>
          <cell r="O3"/>
          <cell r="P3"/>
          <cell r="Q3"/>
          <cell r="R3"/>
          <cell r="S3"/>
          <cell r="T3"/>
          <cell r="U3"/>
          <cell r="V3"/>
          <cell r="W3"/>
          <cell r="X3" t="str">
            <v>GROSS PROFIT</v>
          </cell>
          <cell r="Y3"/>
          <cell r="Z3"/>
          <cell r="AA3"/>
          <cell r="AB3"/>
          <cell r="AC3"/>
          <cell r="AD3"/>
          <cell r="AE3"/>
          <cell r="AF3"/>
          <cell r="AG3"/>
          <cell r="AH3"/>
          <cell r="AI3"/>
          <cell r="AJ3"/>
          <cell r="AK3" t="str">
            <v>GROSS SS%</v>
          </cell>
          <cell r="AL3"/>
          <cell r="AM3"/>
          <cell r="AN3"/>
          <cell r="AO3"/>
          <cell r="AP3"/>
          <cell r="AQ3"/>
          <cell r="AR3"/>
          <cell r="AS3" t="str">
            <v>ACCT. NO.</v>
          </cell>
          <cell r="AT3" t="str">
            <v>ACCOUNT NAME</v>
          </cell>
          <cell r="AU3"/>
          <cell r="AV3"/>
          <cell r="AW3"/>
          <cell r="AX3"/>
          <cell r="AY3"/>
          <cell r="AZ3"/>
          <cell r="BA3"/>
          <cell r="BB3"/>
          <cell r="BC3"/>
          <cell r="BD3"/>
          <cell r="BE3"/>
          <cell r="BF3"/>
          <cell r="BG3"/>
          <cell r="BH3"/>
          <cell r="BI3" t="str">
            <v>UNITS</v>
          </cell>
          <cell r="BJ3"/>
          <cell r="BK3"/>
          <cell r="BL3"/>
          <cell r="BM3"/>
          <cell r="BN3"/>
          <cell r="BO3"/>
          <cell r="BP3"/>
          <cell r="BQ3" t="str">
            <v>SALES</v>
          </cell>
          <cell r="BR3"/>
          <cell r="BS3"/>
          <cell r="BT3"/>
          <cell r="BU3"/>
          <cell r="BV3"/>
          <cell r="BW3"/>
          <cell r="BX3"/>
          <cell r="BY3"/>
          <cell r="BZ3"/>
          <cell r="CA3"/>
          <cell r="CB3"/>
          <cell r="CC3"/>
          <cell r="CD3" t="str">
            <v>GROSS PROFIT</v>
          </cell>
          <cell r="CE3"/>
          <cell r="CF3"/>
          <cell r="CG3"/>
          <cell r="CH3"/>
          <cell r="CI3"/>
          <cell r="CJ3"/>
          <cell r="CK3"/>
          <cell r="CL3"/>
          <cell r="CM3"/>
          <cell r="CN3"/>
          <cell r="CO3"/>
          <cell r="CP3"/>
          <cell r="CQ3" t="str">
            <v>GROSS SS%</v>
          </cell>
          <cell r="CR3"/>
          <cell r="CS3"/>
          <cell r="CT3"/>
          <cell r="CU3"/>
          <cell r="CV3"/>
          <cell r="CW3"/>
          <cell r="CX3"/>
          <cell r="CY3" t="str">
            <v>LINE NO</v>
          </cell>
        </row>
        <row r="4">
          <cell r="B4"/>
          <cell r="C4"/>
          <cell r="D4"/>
          <cell r="E4"/>
          <cell r="F4"/>
          <cell r="G4"/>
          <cell r="H4"/>
          <cell r="I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cell r="AY4"/>
          <cell r="AZ4"/>
          <cell r="BA4"/>
          <cell r="BB4"/>
          <cell r="BC4"/>
          <cell r="BD4"/>
          <cell r="BE4"/>
          <cell r="BF4"/>
          <cell r="BG4"/>
          <cell r="BH4"/>
          <cell r="BI4"/>
          <cell r="BJ4"/>
          <cell r="BK4"/>
          <cell r="BL4"/>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cell r="CV4"/>
          <cell r="CW4"/>
          <cell r="CX4"/>
          <cell r="CY4"/>
        </row>
        <row r="5">
          <cell r="B5" t="str">
            <v>1</v>
          </cell>
          <cell r="C5" t="str">
            <v># RO's</v>
          </cell>
          <cell r="D5"/>
          <cell r="E5"/>
          <cell r="F5" t="e">
            <v>#REF!</v>
          </cell>
          <cell r="G5"/>
          <cell r="H5"/>
          <cell r="I5"/>
          <cell r="J5"/>
          <cell r="K5"/>
          <cell r="L5"/>
          <cell r="M5"/>
          <cell r="N5"/>
          <cell r="O5"/>
          <cell r="P5"/>
          <cell r="Q5"/>
          <cell r="R5"/>
          <cell r="S5" t="e">
            <v>#REF!</v>
          </cell>
          <cell r="T5"/>
          <cell r="U5"/>
          <cell r="V5"/>
          <cell r="W5"/>
          <cell r="X5"/>
          <cell r="Y5"/>
          <cell r="Z5"/>
          <cell r="AA5"/>
          <cell r="AB5"/>
          <cell r="AC5"/>
          <cell r="AD5"/>
          <cell r="AE5"/>
          <cell r="AF5" t="e">
            <v>#REF!</v>
          </cell>
          <cell r="AG5"/>
          <cell r="AH5"/>
          <cell r="AI5"/>
          <cell r="AJ5"/>
          <cell r="AK5" t="str">
            <v>GP%SLS</v>
          </cell>
          <cell r="AL5"/>
          <cell r="AM5"/>
          <cell r="AN5" t="e">
            <v>#REF!</v>
          </cell>
          <cell r="AO5"/>
          <cell r="AP5"/>
          <cell r="AQ5"/>
          <cell r="AR5"/>
          <cell r="AS5" t="str">
            <v>SERVICE DEPARTMENT (C)</v>
          </cell>
          <cell r="AT5"/>
          <cell r="AU5"/>
          <cell r="AV5"/>
          <cell r="AW5"/>
          <cell r="AX5"/>
          <cell r="AY5"/>
          <cell r="AZ5"/>
          <cell r="BA5"/>
          <cell r="BB5"/>
          <cell r="BC5"/>
          <cell r="BD5"/>
          <cell r="BE5"/>
          <cell r="BF5"/>
          <cell r="BG5"/>
          <cell r="BH5"/>
          <cell r="BI5" t="str">
            <v># RO's</v>
          </cell>
          <cell r="BJ5"/>
          <cell r="BK5"/>
          <cell r="BL5" t="e">
            <v>#REF!</v>
          </cell>
          <cell r="BM5"/>
          <cell r="BN5"/>
          <cell r="BO5"/>
          <cell r="BP5"/>
          <cell r="BQ5"/>
          <cell r="BR5"/>
          <cell r="BS5"/>
          <cell r="BT5"/>
          <cell r="BU5"/>
          <cell r="BV5"/>
          <cell r="BW5"/>
          <cell r="BX5"/>
          <cell r="BY5" t="e">
            <v>#REF!</v>
          </cell>
          <cell r="BZ5"/>
          <cell r="CA5"/>
          <cell r="CB5"/>
          <cell r="CC5"/>
          <cell r="CD5"/>
          <cell r="CE5"/>
          <cell r="CF5"/>
          <cell r="CG5"/>
          <cell r="CH5"/>
          <cell r="CI5"/>
          <cell r="CJ5"/>
          <cell r="CK5"/>
          <cell r="CL5" t="e">
            <v>#REF!</v>
          </cell>
          <cell r="CM5"/>
          <cell r="CN5"/>
          <cell r="CO5"/>
          <cell r="CP5"/>
          <cell r="CQ5" t="str">
            <v>GP%SLS</v>
          </cell>
          <cell r="CR5"/>
          <cell r="CS5"/>
          <cell r="CT5" t="e">
            <v>#REF!</v>
          </cell>
          <cell r="CU5"/>
          <cell r="CV5"/>
          <cell r="CW5"/>
          <cell r="CX5"/>
          <cell r="CY5" t="str">
            <v>1</v>
          </cell>
        </row>
        <row r="6">
          <cell r="B6" t="str">
            <v>2</v>
          </cell>
          <cell r="C6">
            <v>0</v>
          </cell>
          <cell r="D6"/>
          <cell r="E6"/>
          <cell r="F6" t="e">
            <v>#REF!</v>
          </cell>
          <cell r="G6"/>
          <cell r="H6"/>
          <cell r="I6"/>
          <cell r="J6"/>
          <cell r="K6">
            <v>0</v>
          </cell>
          <cell r="L6"/>
          <cell r="M6"/>
          <cell r="N6"/>
          <cell r="O6"/>
          <cell r="P6"/>
          <cell r="Q6"/>
          <cell r="R6"/>
          <cell r="S6" t="e">
            <v>#REF!</v>
          </cell>
          <cell r="T6"/>
          <cell r="U6"/>
          <cell r="V6"/>
          <cell r="W6"/>
          <cell r="X6">
            <v>0</v>
          </cell>
          <cell r="Y6"/>
          <cell r="Z6"/>
          <cell r="AA6"/>
          <cell r="AB6"/>
          <cell r="AC6"/>
          <cell r="AD6"/>
          <cell r="AE6"/>
          <cell r="AF6" t="e">
            <v>#REF!</v>
          </cell>
          <cell r="AG6"/>
          <cell r="AH6"/>
          <cell r="AI6"/>
          <cell r="AJ6"/>
          <cell r="AK6">
            <v>0</v>
          </cell>
          <cell r="AL6"/>
          <cell r="AM6"/>
          <cell r="AN6" t="e">
            <v>#REF!</v>
          </cell>
          <cell r="AO6"/>
          <cell r="AP6"/>
          <cell r="AQ6"/>
          <cell r="AR6"/>
          <cell r="AS6">
            <v>4530</v>
          </cell>
          <cell r="AT6" t="str">
            <v>Cust. Mech. Labor - NCV Vehicles</v>
          </cell>
          <cell r="AU6"/>
          <cell r="AV6"/>
          <cell r="AW6"/>
          <cell r="AX6"/>
          <cell r="AY6"/>
          <cell r="AZ6"/>
          <cell r="BA6"/>
          <cell r="BB6"/>
          <cell r="BC6"/>
          <cell r="BD6"/>
          <cell r="BE6"/>
          <cell r="BF6"/>
          <cell r="BG6"/>
          <cell r="BH6"/>
          <cell r="BI6">
            <v>0</v>
          </cell>
          <cell r="BJ6"/>
          <cell r="BK6"/>
          <cell r="BL6" t="e">
            <v>#REF!</v>
          </cell>
          <cell r="BM6"/>
          <cell r="BN6"/>
          <cell r="BO6"/>
          <cell r="BP6"/>
          <cell r="BQ6">
            <v>0</v>
          </cell>
          <cell r="BR6"/>
          <cell r="BS6"/>
          <cell r="BT6"/>
          <cell r="BU6"/>
          <cell r="BV6"/>
          <cell r="BW6"/>
          <cell r="BX6"/>
          <cell r="BY6" t="e">
            <v>#REF!</v>
          </cell>
          <cell r="BZ6"/>
          <cell r="CA6"/>
          <cell r="CB6"/>
          <cell r="CC6"/>
          <cell r="CD6">
            <v>0</v>
          </cell>
          <cell r="CE6"/>
          <cell r="CF6"/>
          <cell r="CG6"/>
          <cell r="CH6"/>
          <cell r="CI6"/>
          <cell r="CJ6"/>
          <cell r="CK6"/>
          <cell r="CL6" t="e">
            <v>#REF!</v>
          </cell>
          <cell r="CM6"/>
          <cell r="CN6"/>
          <cell r="CO6"/>
          <cell r="CP6"/>
          <cell r="CQ6">
            <v>0</v>
          </cell>
          <cell r="CR6"/>
          <cell r="CS6"/>
          <cell r="CT6" t="e">
            <v>#REF!</v>
          </cell>
          <cell r="CU6"/>
          <cell r="CV6"/>
          <cell r="CW6"/>
          <cell r="CX6"/>
          <cell r="CY6" t="str">
            <v>2</v>
          </cell>
        </row>
        <row r="7">
          <cell r="B7" t="str">
            <v>3</v>
          </cell>
          <cell r="C7">
            <v>0</v>
          </cell>
          <cell r="D7"/>
          <cell r="E7"/>
          <cell r="F7" t="e">
            <v>#REF!</v>
          </cell>
          <cell r="G7"/>
          <cell r="H7"/>
          <cell r="I7"/>
          <cell r="J7"/>
          <cell r="K7">
            <v>0</v>
          </cell>
          <cell r="L7"/>
          <cell r="M7"/>
          <cell r="N7"/>
          <cell r="O7"/>
          <cell r="P7"/>
          <cell r="Q7"/>
          <cell r="R7"/>
          <cell r="S7" t="e">
            <v>#REF!</v>
          </cell>
          <cell r="T7"/>
          <cell r="U7"/>
          <cell r="V7"/>
          <cell r="W7"/>
          <cell r="X7">
            <v>0</v>
          </cell>
          <cell r="Y7"/>
          <cell r="Z7"/>
          <cell r="AA7"/>
          <cell r="AB7"/>
          <cell r="AC7"/>
          <cell r="AD7"/>
          <cell r="AE7"/>
          <cell r="AF7" t="e">
            <v>#REF!</v>
          </cell>
          <cell r="AG7"/>
          <cell r="AH7"/>
          <cell r="AI7"/>
          <cell r="AJ7"/>
          <cell r="AK7">
            <v>0</v>
          </cell>
          <cell r="AL7"/>
          <cell r="AM7"/>
          <cell r="AN7" t="e">
            <v>#REF!</v>
          </cell>
          <cell r="AO7"/>
          <cell r="AP7"/>
          <cell r="AQ7"/>
          <cell r="AR7"/>
          <cell r="AS7">
            <v>4532</v>
          </cell>
          <cell r="AT7" t="str">
            <v>Express Service - Labor - NCV Vehicles</v>
          </cell>
          <cell r="AU7"/>
          <cell r="AV7"/>
          <cell r="AW7"/>
          <cell r="AX7"/>
          <cell r="AY7"/>
          <cell r="AZ7"/>
          <cell r="BA7"/>
          <cell r="BB7"/>
          <cell r="BC7"/>
          <cell r="BD7"/>
          <cell r="BE7"/>
          <cell r="BF7"/>
          <cell r="BG7"/>
          <cell r="BH7"/>
          <cell r="BI7">
            <v>0</v>
          </cell>
          <cell r="BJ7"/>
          <cell r="BK7"/>
          <cell r="BL7" t="e">
            <v>#REF!</v>
          </cell>
          <cell r="BM7"/>
          <cell r="BN7"/>
          <cell r="BO7"/>
          <cell r="BP7"/>
          <cell r="BQ7">
            <v>0</v>
          </cell>
          <cell r="BR7"/>
          <cell r="BS7"/>
          <cell r="BT7"/>
          <cell r="BU7"/>
          <cell r="BV7"/>
          <cell r="BW7"/>
          <cell r="BX7"/>
          <cell r="BY7" t="e">
            <v>#REF!</v>
          </cell>
          <cell r="BZ7"/>
          <cell r="CA7"/>
          <cell r="CB7"/>
          <cell r="CC7"/>
          <cell r="CD7">
            <v>0</v>
          </cell>
          <cell r="CE7"/>
          <cell r="CF7"/>
          <cell r="CG7"/>
          <cell r="CH7"/>
          <cell r="CI7"/>
          <cell r="CJ7"/>
          <cell r="CK7"/>
          <cell r="CL7" t="e">
            <v>#REF!</v>
          </cell>
          <cell r="CM7"/>
          <cell r="CN7"/>
          <cell r="CO7"/>
          <cell r="CP7"/>
          <cell r="CQ7">
            <v>0</v>
          </cell>
          <cell r="CR7"/>
          <cell r="CS7"/>
          <cell r="CT7" t="e">
            <v>#REF!</v>
          </cell>
          <cell r="CU7"/>
          <cell r="CV7"/>
          <cell r="CW7"/>
          <cell r="CX7"/>
          <cell r="CY7" t="str">
            <v>3</v>
          </cell>
        </row>
        <row r="8">
          <cell r="B8" t="str">
            <v>4</v>
          </cell>
          <cell r="C8">
            <v>0</v>
          </cell>
          <cell r="D8"/>
          <cell r="E8"/>
          <cell r="F8" t="e">
            <v>#REF!</v>
          </cell>
          <cell r="G8"/>
          <cell r="H8"/>
          <cell r="I8"/>
          <cell r="J8"/>
          <cell r="K8">
            <v>0</v>
          </cell>
          <cell r="L8"/>
          <cell r="M8"/>
          <cell r="N8"/>
          <cell r="O8"/>
          <cell r="P8"/>
          <cell r="Q8"/>
          <cell r="R8"/>
          <cell r="S8" t="e">
            <v>#REF!</v>
          </cell>
          <cell r="T8"/>
          <cell r="U8"/>
          <cell r="V8"/>
          <cell r="W8"/>
          <cell r="X8">
            <v>0</v>
          </cell>
          <cell r="Y8"/>
          <cell r="Z8"/>
          <cell r="AA8"/>
          <cell r="AB8"/>
          <cell r="AC8"/>
          <cell r="AD8"/>
          <cell r="AE8"/>
          <cell r="AF8" t="e">
            <v>#REF!</v>
          </cell>
          <cell r="AG8"/>
          <cell r="AH8"/>
          <cell r="AI8"/>
          <cell r="AJ8"/>
          <cell r="AK8">
            <v>0</v>
          </cell>
          <cell r="AL8"/>
          <cell r="AM8"/>
          <cell r="AN8" t="e">
            <v>#REF!</v>
          </cell>
          <cell r="AO8"/>
          <cell r="AP8"/>
          <cell r="AQ8"/>
          <cell r="AR8"/>
          <cell r="AS8">
            <v>4534</v>
          </cell>
          <cell r="AT8" t="str">
            <v>Service / Maint. Contract - Labor - NCV Vehicles</v>
          </cell>
          <cell r="AU8"/>
          <cell r="AV8"/>
          <cell r="AW8"/>
          <cell r="AX8"/>
          <cell r="AY8"/>
          <cell r="AZ8"/>
          <cell r="BA8"/>
          <cell r="BB8"/>
          <cell r="BC8"/>
          <cell r="BD8"/>
          <cell r="BE8"/>
          <cell r="BF8"/>
          <cell r="BG8"/>
          <cell r="BH8"/>
          <cell r="BI8">
            <v>0</v>
          </cell>
          <cell r="BJ8"/>
          <cell r="BK8"/>
          <cell r="BL8" t="e">
            <v>#REF!</v>
          </cell>
          <cell r="BM8"/>
          <cell r="BN8"/>
          <cell r="BO8"/>
          <cell r="BP8"/>
          <cell r="BQ8">
            <v>0</v>
          </cell>
          <cell r="BR8"/>
          <cell r="BS8"/>
          <cell r="BT8"/>
          <cell r="BU8"/>
          <cell r="BV8"/>
          <cell r="BW8"/>
          <cell r="BX8"/>
          <cell r="BY8" t="e">
            <v>#REF!</v>
          </cell>
          <cell r="BZ8"/>
          <cell r="CA8"/>
          <cell r="CB8"/>
          <cell r="CC8"/>
          <cell r="CD8">
            <v>0</v>
          </cell>
          <cell r="CE8"/>
          <cell r="CF8"/>
          <cell r="CG8"/>
          <cell r="CH8"/>
          <cell r="CI8"/>
          <cell r="CJ8"/>
          <cell r="CK8"/>
          <cell r="CL8" t="e">
            <v>#REF!</v>
          </cell>
          <cell r="CM8"/>
          <cell r="CN8"/>
          <cell r="CO8"/>
          <cell r="CP8"/>
          <cell r="CQ8">
            <v>0</v>
          </cell>
          <cell r="CR8"/>
          <cell r="CS8"/>
          <cell r="CT8" t="e">
            <v>#REF!</v>
          </cell>
          <cell r="CU8"/>
          <cell r="CV8"/>
          <cell r="CW8"/>
          <cell r="CX8"/>
          <cell r="CY8" t="str">
            <v>4</v>
          </cell>
        </row>
        <row r="9">
          <cell r="B9" t="str">
            <v>5</v>
          </cell>
          <cell r="C9">
            <v>0</v>
          </cell>
          <cell r="D9"/>
          <cell r="E9"/>
          <cell r="F9" t="e">
            <v>#REF!</v>
          </cell>
          <cell r="G9"/>
          <cell r="H9"/>
          <cell r="I9"/>
          <cell r="J9"/>
          <cell r="K9">
            <v>0</v>
          </cell>
          <cell r="L9"/>
          <cell r="M9"/>
          <cell r="N9"/>
          <cell r="O9"/>
          <cell r="P9"/>
          <cell r="Q9"/>
          <cell r="R9"/>
          <cell r="S9" t="e">
            <v>#REF!</v>
          </cell>
          <cell r="T9"/>
          <cell r="U9"/>
          <cell r="V9"/>
          <cell r="W9"/>
          <cell r="X9">
            <v>0</v>
          </cell>
          <cell r="Y9"/>
          <cell r="Z9"/>
          <cell r="AA9"/>
          <cell r="AB9"/>
          <cell r="AC9"/>
          <cell r="AD9"/>
          <cell r="AE9"/>
          <cell r="AF9" t="e">
            <v>#REF!</v>
          </cell>
          <cell r="AG9"/>
          <cell r="AH9"/>
          <cell r="AI9"/>
          <cell r="AJ9"/>
          <cell r="AK9">
            <v>0</v>
          </cell>
          <cell r="AL9"/>
          <cell r="AM9"/>
          <cell r="AN9" t="e">
            <v>#REF!</v>
          </cell>
          <cell r="AO9"/>
          <cell r="AP9"/>
          <cell r="AQ9"/>
          <cell r="AR9"/>
          <cell r="AS9">
            <v>4548</v>
          </cell>
          <cell r="AT9" t="str">
            <v>Warranty Mech. Labor - NCV Vehicles</v>
          </cell>
          <cell r="AU9"/>
          <cell r="AV9"/>
          <cell r="AW9"/>
          <cell r="AX9"/>
          <cell r="AY9"/>
          <cell r="AZ9"/>
          <cell r="BA9"/>
          <cell r="BB9"/>
          <cell r="BC9"/>
          <cell r="BD9"/>
          <cell r="BE9"/>
          <cell r="BF9"/>
          <cell r="BG9"/>
          <cell r="BH9"/>
          <cell r="BI9">
            <v>0</v>
          </cell>
          <cell r="BJ9"/>
          <cell r="BK9"/>
          <cell r="BL9" t="e">
            <v>#REF!</v>
          </cell>
          <cell r="BM9"/>
          <cell r="BN9"/>
          <cell r="BO9"/>
          <cell r="BP9"/>
          <cell r="BQ9">
            <v>0</v>
          </cell>
          <cell r="BR9"/>
          <cell r="BS9"/>
          <cell r="BT9"/>
          <cell r="BU9"/>
          <cell r="BV9"/>
          <cell r="BW9"/>
          <cell r="BX9"/>
          <cell r="BY9" t="e">
            <v>#REF!</v>
          </cell>
          <cell r="BZ9"/>
          <cell r="CA9"/>
          <cell r="CB9"/>
          <cell r="CC9"/>
          <cell r="CD9">
            <v>0</v>
          </cell>
          <cell r="CE9"/>
          <cell r="CF9"/>
          <cell r="CG9"/>
          <cell r="CH9"/>
          <cell r="CI9"/>
          <cell r="CJ9"/>
          <cell r="CK9"/>
          <cell r="CL9" t="e">
            <v>#REF!</v>
          </cell>
          <cell r="CM9"/>
          <cell r="CN9"/>
          <cell r="CO9"/>
          <cell r="CP9"/>
          <cell r="CQ9">
            <v>0</v>
          </cell>
          <cell r="CR9"/>
          <cell r="CS9"/>
          <cell r="CT9" t="e">
            <v>#REF!</v>
          </cell>
          <cell r="CU9"/>
          <cell r="CV9"/>
          <cell r="CW9"/>
          <cell r="CX9"/>
          <cell r="CY9" t="str">
            <v>5</v>
          </cell>
        </row>
        <row r="10">
          <cell r="B10" t="str">
            <v>6</v>
          </cell>
          <cell r="C10">
            <v>0</v>
          </cell>
          <cell r="D10"/>
          <cell r="E10"/>
          <cell r="F10" t="e">
            <v>#REF!</v>
          </cell>
          <cell r="G10"/>
          <cell r="H10"/>
          <cell r="I10"/>
          <cell r="J10"/>
          <cell r="K10">
            <v>0</v>
          </cell>
          <cell r="L10"/>
          <cell r="M10"/>
          <cell r="N10"/>
          <cell r="O10"/>
          <cell r="P10"/>
          <cell r="Q10"/>
          <cell r="R10"/>
          <cell r="S10" t="e">
            <v>#REF!</v>
          </cell>
          <cell r="T10"/>
          <cell r="U10"/>
          <cell r="V10"/>
          <cell r="W10"/>
          <cell r="X10">
            <v>0</v>
          </cell>
          <cell r="Y10"/>
          <cell r="Z10"/>
          <cell r="AA10"/>
          <cell r="AB10"/>
          <cell r="AC10"/>
          <cell r="AD10"/>
          <cell r="AE10"/>
          <cell r="AF10" t="e">
            <v>#REF!</v>
          </cell>
          <cell r="AG10"/>
          <cell r="AH10"/>
          <cell r="AI10"/>
          <cell r="AJ10"/>
          <cell r="AK10">
            <v>0</v>
          </cell>
          <cell r="AL10"/>
          <cell r="AM10"/>
          <cell r="AN10" t="e">
            <v>#REF!</v>
          </cell>
          <cell r="AO10"/>
          <cell r="AP10"/>
          <cell r="AQ10"/>
          <cell r="AR10"/>
          <cell r="AS10">
            <v>4558</v>
          </cell>
          <cell r="AT10" t="str">
            <v>Internal Mech. Labor - NCV Vehicles</v>
          </cell>
          <cell r="AU10"/>
          <cell r="AV10"/>
          <cell r="AW10"/>
          <cell r="AX10"/>
          <cell r="AY10"/>
          <cell r="AZ10"/>
          <cell r="BA10"/>
          <cell r="BB10"/>
          <cell r="BC10"/>
          <cell r="BD10"/>
          <cell r="BE10"/>
          <cell r="BF10"/>
          <cell r="BG10"/>
          <cell r="BH10"/>
          <cell r="BI10">
            <v>0</v>
          </cell>
          <cell r="BJ10"/>
          <cell r="BK10"/>
          <cell r="BL10" t="e">
            <v>#REF!</v>
          </cell>
          <cell r="BM10"/>
          <cell r="BN10"/>
          <cell r="BO10"/>
          <cell r="BP10"/>
          <cell r="BQ10">
            <v>0</v>
          </cell>
          <cell r="BR10"/>
          <cell r="BS10"/>
          <cell r="BT10"/>
          <cell r="BU10"/>
          <cell r="BV10"/>
          <cell r="BW10"/>
          <cell r="BX10"/>
          <cell r="BY10" t="e">
            <v>#REF!</v>
          </cell>
          <cell r="BZ10"/>
          <cell r="CA10"/>
          <cell r="CB10"/>
          <cell r="CC10"/>
          <cell r="CD10">
            <v>0</v>
          </cell>
          <cell r="CE10"/>
          <cell r="CF10"/>
          <cell r="CG10"/>
          <cell r="CH10"/>
          <cell r="CI10"/>
          <cell r="CJ10"/>
          <cell r="CK10"/>
          <cell r="CL10" t="e">
            <v>#REF!</v>
          </cell>
          <cell r="CM10"/>
          <cell r="CN10"/>
          <cell r="CO10"/>
          <cell r="CP10"/>
          <cell r="CQ10">
            <v>0</v>
          </cell>
          <cell r="CR10"/>
          <cell r="CS10"/>
          <cell r="CT10" t="e">
            <v>#REF!</v>
          </cell>
          <cell r="CU10"/>
          <cell r="CV10"/>
          <cell r="CW10"/>
          <cell r="CX10"/>
          <cell r="CY10" t="str">
            <v>6</v>
          </cell>
        </row>
        <row r="11">
          <cell r="B11" t="str">
            <v>7</v>
          </cell>
          <cell r="C11">
            <v>0</v>
          </cell>
          <cell r="D11"/>
          <cell r="E11"/>
          <cell r="F11" t="e">
            <v>#REF!</v>
          </cell>
          <cell r="G11"/>
          <cell r="H11"/>
          <cell r="I11"/>
          <cell r="J11"/>
          <cell r="K11">
            <v>0</v>
          </cell>
          <cell r="L11"/>
          <cell r="M11"/>
          <cell r="N11"/>
          <cell r="O11"/>
          <cell r="P11"/>
          <cell r="Q11"/>
          <cell r="R11"/>
          <cell r="S11" t="e">
            <v>#REF!</v>
          </cell>
          <cell r="T11"/>
          <cell r="U11"/>
          <cell r="V11"/>
          <cell r="W11"/>
          <cell r="X11">
            <v>0</v>
          </cell>
          <cell r="Y11"/>
          <cell r="Z11"/>
          <cell r="AA11"/>
          <cell r="AB11"/>
          <cell r="AC11"/>
          <cell r="AD11"/>
          <cell r="AE11"/>
          <cell r="AF11" t="e">
            <v>#REF!</v>
          </cell>
          <cell r="AG11"/>
          <cell r="AH11"/>
          <cell r="AI11"/>
          <cell r="AJ11"/>
          <cell r="AK11">
            <v>0</v>
          </cell>
          <cell r="AL11"/>
          <cell r="AM11"/>
          <cell r="AN11" t="e">
            <v>#REF!</v>
          </cell>
          <cell r="AO11"/>
          <cell r="AP11"/>
          <cell r="AQ11"/>
          <cell r="AR11"/>
          <cell r="AS11"/>
          <cell r="AT11" t="str">
            <v>SUBTOTAL - NCV MECH. LABOR</v>
          </cell>
          <cell r="AU11"/>
          <cell r="AV11"/>
          <cell r="AW11"/>
          <cell r="AX11"/>
          <cell r="AY11"/>
          <cell r="AZ11"/>
          <cell r="BA11"/>
          <cell r="BB11"/>
          <cell r="BC11"/>
          <cell r="BD11"/>
          <cell r="BE11"/>
          <cell r="BF11"/>
          <cell r="BG11"/>
          <cell r="BH11" t="str">
            <v xml:space="preserve">(Lines 2 to 6) </v>
          </cell>
          <cell r="BI11">
            <v>0</v>
          </cell>
          <cell r="BJ11"/>
          <cell r="BK11"/>
          <cell r="BL11" t="e">
            <v>#REF!</v>
          </cell>
          <cell r="BM11"/>
          <cell r="BN11"/>
          <cell r="BO11"/>
          <cell r="BP11"/>
          <cell r="BQ11">
            <v>0</v>
          </cell>
          <cell r="BR11"/>
          <cell r="BS11"/>
          <cell r="BT11"/>
          <cell r="BU11"/>
          <cell r="BV11"/>
          <cell r="BW11"/>
          <cell r="BX11"/>
          <cell r="BY11" t="e">
            <v>#REF!</v>
          </cell>
          <cell r="BZ11"/>
          <cell r="CA11"/>
          <cell r="CB11"/>
          <cell r="CC11"/>
          <cell r="CD11">
            <v>0</v>
          </cell>
          <cell r="CE11"/>
          <cell r="CF11"/>
          <cell r="CG11"/>
          <cell r="CH11"/>
          <cell r="CI11"/>
          <cell r="CJ11"/>
          <cell r="CK11"/>
          <cell r="CL11" t="e">
            <v>#REF!</v>
          </cell>
          <cell r="CM11"/>
          <cell r="CN11"/>
          <cell r="CO11"/>
          <cell r="CP11"/>
          <cell r="CQ11">
            <v>0</v>
          </cell>
          <cell r="CR11"/>
          <cell r="CS11"/>
          <cell r="CT11" t="e">
            <v>#REF!</v>
          </cell>
          <cell r="CU11"/>
          <cell r="CV11"/>
          <cell r="CW11"/>
          <cell r="CX11"/>
          <cell r="CY11" t="str">
            <v>7</v>
          </cell>
        </row>
        <row r="12">
          <cell r="B12" t="str">
            <v>8</v>
          </cell>
          <cell r="C12">
            <v>0</v>
          </cell>
          <cell r="D12"/>
          <cell r="E12"/>
          <cell r="F12" t="e">
            <v>#REF!</v>
          </cell>
          <cell r="G12"/>
          <cell r="H12"/>
          <cell r="I12"/>
          <cell r="J12"/>
          <cell r="K12">
            <v>0</v>
          </cell>
          <cell r="L12"/>
          <cell r="M12"/>
          <cell r="N12"/>
          <cell r="O12"/>
          <cell r="P12"/>
          <cell r="Q12"/>
          <cell r="R12"/>
          <cell r="S12" t="e">
            <v>#REF!</v>
          </cell>
          <cell r="T12"/>
          <cell r="U12"/>
          <cell r="V12"/>
          <cell r="W12"/>
          <cell r="X12">
            <v>0</v>
          </cell>
          <cell r="Y12"/>
          <cell r="Z12"/>
          <cell r="AA12"/>
          <cell r="AB12"/>
          <cell r="AC12"/>
          <cell r="AD12"/>
          <cell r="AE12"/>
          <cell r="AF12" t="e">
            <v>#REF!</v>
          </cell>
          <cell r="AG12"/>
          <cell r="AH12"/>
          <cell r="AI12"/>
          <cell r="AJ12"/>
          <cell r="AK12">
            <v>0</v>
          </cell>
          <cell r="AL12"/>
          <cell r="AM12"/>
          <cell r="AN12" t="e">
            <v>#REF!</v>
          </cell>
          <cell r="AO12"/>
          <cell r="AP12"/>
          <cell r="AQ12"/>
          <cell r="AR12"/>
          <cell r="AS12">
            <v>4510</v>
          </cell>
          <cell r="AT12" t="str">
            <v>Cust. Mech. Labor - Other Makes Vehicles</v>
          </cell>
          <cell r="AU12"/>
          <cell r="AV12"/>
          <cell r="AW12"/>
          <cell r="AX12"/>
          <cell r="AY12"/>
          <cell r="AZ12"/>
          <cell r="BA12"/>
          <cell r="BB12"/>
          <cell r="BC12"/>
          <cell r="BD12"/>
          <cell r="BE12"/>
          <cell r="BF12"/>
          <cell r="BG12"/>
          <cell r="BH12"/>
          <cell r="BI12">
            <v>0</v>
          </cell>
          <cell r="BJ12"/>
          <cell r="BK12"/>
          <cell r="BL12" t="e">
            <v>#REF!</v>
          </cell>
          <cell r="BM12"/>
          <cell r="BN12"/>
          <cell r="BO12"/>
          <cell r="BP12"/>
          <cell r="BQ12">
            <v>0</v>
          </cell>
          <cell r="BR12"/>
          <cell r="BS12"/>
          <cell r="BT12"/>
          <cell r="BU12"/>
          <cell r="BV12"/>
          <cell r="BW12"/>
          <cell r="BX12"/>
          <cell r="BY12" t="e">
            <v>#REF!</v>
          </cell>
          <cell r="BZ12"/>
          <cell r="CA12"/>
          <cell r="CB12"/>
          <cell r="CC12"/>
          <cell r="CD12">
            <v>0</v>
          </cell>
          <cell r="CE12"/>
          <cell r="CF12"/>
          <cell r="CG12"/>
          <cell r="CH12"/>
          <cell r="CI12"/>
          <cell r="CJ12"/>
          <cell r="CK12"/>
          <cell r="CL12" t="e">
            <v>#REF!</v>
          </cell>
          <cell r="CM12"/>
          <cell r="CN12"/>
          <cell r="CO12"/>
          <cell r="CP12"/>
          <cell r="CQ12">
            <v>0</v>
          </cell>
          <cell r="CR12"/>
          <cell r="CS12"/>
          <cell r="CT12" t="e">
            <v>#REF!</v>
          </cell>
          <cell r="CU12"/>
          <cell r="CV12"/>
          <cell r="CW12"/>
          <cell r="CX12"/>
          <cell r="CY12" t="str">
            <v>8</v>
          </cell>
        </row>
        <row r="13">
          <cell r="B13" t="str">
            <v>9</v>
          </cell>
          <cell r="C13">
            <v>0</v>
          </cell>
          <cell r="D13"/>
          <cell r="E13"/>
          <cell r="F13" t="e">
            <v>#REF!</v>
          </cell>
          <cell r="G13"/>
          <cell r="H13"/>
          <cell r="I13"/>
          <cell r="J13"/>
          <cell r="K13">
            <v>0</v>
          </cell>
          <cell r="L13"/>
          <cell r="M13"/>
          <cell r="N13"/>
          <cell r="O13"/>
          <cell r="P13"/>
          <cell r="Q13"/>
          <cell r="R13"/>
          <cell r="S13" t="e">
            <v>#REF!</v>
          </cell>
          <cell r="T13"/>
          <cell r="U13"/>
          <cell r="V13"/>
          <cell r="W13"/>
          <cell r="X13">
            <v>0</v>
          </cell>
          <cell r="Y13"/>
          <cell r="Z13"/>
          <cell r="AA13"/>
          <cell r="AB13"/>
          <cell r="AC13"/>
          <cell r="AD13"/>
          <cell r="AE13"/>
          <cell r="AF13" t="e">
            <v>#REF!</v>
          </cell>
          <cell r="AG13"/>
          <cell r="AH13"/>
          <cell r="AI13"/>
          <cell r="AJ13"/>
          <cell r="AK13">
            <v>0</v>
          </cell>
          <cell r="AL13"/>
          <cell r="AM13"/>
          <cell r="AN13" t="e">
            <v>#REF!</v>
          </cell>
          <cell r="AO13"/>
          <cell r="AP13"/>
          <cell r="AQ13"/>
          <cell r="AR13"/>
          <cell r="AS13">
            <v>4512</v>
          </cell>
          <cell r="AT13" t="str">
            <v>Express Service Labor - Other Makes Vehicles</v>
          </cell>
          <cell r="AU13"/>
          <cell r="AV13"/>
          <cell r="AW13"/>
          <cell r="AX13"/>
          <cell r="AY13"/>
          <cell r="AZ13"/>
          <cell r="BA13"/>
          <cell r="BB13"/>
          <cell r="BC13"/>
          <cell r="BD13"/>
          <cell r="BE13"/>
          <cell r="BF13"/>
          <cell r="BG13"/>
          <cell r="BH13"/>
          <cell r="BI13">
            <v>0</v>
          </cell>
          <cell r="BJ13"/>
          <cell r="BK13"/>
          <cell r="BL13" t="e">
            <v>#REF!</v>
          </cell>
          <cell r="BM13"/>
          <cell r="BN13"/>
          <cell r="BO13"/>
          <cell r="BP13"/>
          <cell r="BQ13">
            <v>0</v>
          </cell>
          <cell r="BR13"/>
          <cell r="BS13"/>
          <cell r="BT13"/>
          <cell r="BU13"/>
          <cell r="BV13"/>
          <cell r="BW13"/>
          <cell r="BX13"/>
          <cell r="BY13" t="e">
            <v>#REF!</v>
          </cell>
          <cell r="BZ13"/>
          <cell r="CA13"/>
          <cell r="CB13"/>
          <cell r="CC13"/>
          <cell r="CD13">
            <v>0</v>
          </cell>
          <cell r="CE13"/>
          <cell r="CF13"/>
          <cell r="CG13"/>
          <cell r="CH13"/>
          <cell r="CI13"/>
          <cell r="CJ13"/>
          <cell r="CK13"/>
          <cell r="CL13" t="e">
            <v>#REF!</v>
          </cell>
          <cell r="CM13"/>
          <cell r="CN13"/>
          <cell r="CO13"/>
          <cell r="CP13"/>
          <cell r="CQ13">
            <v>0</v>
          </cell>
          <cell r="CR13"/>
          <cell r="CS13"/>
          <cell r="CT13" t="e">
            <v>#REF!</v>
          </cell>
          <cell r="CU13"/>
          <cell r="CV13"/>
          <cell r="CW13"/>
          <cell r="CX13"/>
          <cell r="CY13" t="str">
            <v>9</v>
          </cell>
        </row>
        <row r="14">
          <cell r="B14" t="str">
            <v>10</v>
          </cell>
          <cell r="C14">
            <v>0</v>
          </cell>
          <cell r="D14"/>
          <cell r="E14"/>
          <cell r="F14" t="e">
            <v>#REF!</v>
          </cell>
          <cell r="G14"/>
          <cell r="H14"/>
          <cell r="I14"/>
          <cell r="J14"/>
          <cell r="K14">
            <v>0</v>
          </cell>
          <cell r="L14"/>
          <cell r="M14"/>
          <cell r="N14"/>
          <cell r="O14"/>
          <cell r="P14"/>
          <cell r="Q14"/>
          <cell r="R14"/>
          <cell r="S14" t="e">
            <v>#REF!</v>
          </cell>
          <cell r="T14"/>
          <cell r="U14"/>
          <cell r="V14"/>
          <cell r="W14"/>
          <cell r="X14">
            <v>0</v>
          </cell>
          <cell r="Y14"/>
          <cell r="Z14"/>
          <cell r="AA14"/>
          <cell r="AB14"/>
          <cell r="AC14"/>
          <cell r="AD14"/>
          <cell r="AE14"/>
          <cell r="AF14" t="e">
            <v>#REF!</v>
          </cell>
          <cell r="AG14"/>
          <cell r="AH14"/>
          <cell r="AI14"/>
          <cell r="AJ14"/>
          <cell r="AK14">
            <v>0</v>
          </cell>
          <cell r="AL14"/>
          <cell r="AM14"/>
          <cell r="AN14" t="e">
            <v>#REF!</v>
          </cell>
          <cell r="AO14"/>
          <cell r="AP14"/>
          <cell r="AQ14"/>
          <cell r="AR14"/>
          <cell r="AS14">
            <v>4544</v>
          </cell>
          <cell r="AT14" t="str">
            <v>Service / Maint. Contract Labor - Other Makes Vehicles</v>
          </cell>
          <cell r="AU14"/>
          <cell r="AV14"/>
          <cell r="AW14"/>
          <cell r="AX14"/>
          <cell r="AY14"/>
          <cell r="AZ14"/>
          <cell r="BA14"/>
          <cell r="BB14"/>
          <cell r="BC14"/>
          <cell r="BD14"/>
          <cell r="BE14"/>
          <cell r="BF14"/>
          <cell r="BG14"/>
          <cell r="BH14"/>
          <cell r="BI14">
            <v>0</v>
          </cell>
          <cell r="BJ14"/>
          <cell r="BK14"/>
          <cell r="BL14" t="e">
            <v>#REF!</v>
          </cell>
          <cell r="BM14"/>
          <cell r="BN14"/>
          <cell r="BO14"/>
          <cell r="BP14"/>
          <cell r="BQ14">
            <v>0</v>
          </cell>
          <cell r="BR14"/>
          <cell r="BS14"/>
          <cell r="BT14"/>
          <cell r="BU14"/>
          <cell r="BV14"/>
          <cell r="BW14"/>
          <cell r="BX14"/>
          <cell r="BY14" t="e">
            <v>#REF!</v>
          </cell>
          <cell r="BZ14"/>
          <cell r="CA14"/>
          <cell r="CB14"/>
          <cell r="CC14"/>
          <cell r="CD14">
            <v>0</v>
          </cell>
          <cell r="CE14"/>
          <cell r="CF14"/>
          <cell r="CG14"/>
          <cell r="CH14"/>
          <cell r="CI14"/>
          <cell r="CJ14"/>
          <cell r="CK14"/>
          <cell r="CL14" t="e">
            <v>#REF!</v>
          </cell>
          <cell r="CM14"/>
          <cell r="CN14"/>
          <cell r="CO14"/>
          <cell r="CP14"/>
          <cell r="CQ14">
            <v>0</v>
          </cell>
          <cell r="CR14"/>
          <cell r="CS14"/>
          <cell r="CT14" t="e">
            <v>#REF!</v>
          </cell>
          <cell r="CU14"/>
          <cell r="CV14"/>
          <cell r="CW14"/>
          <cell r="CX14"/>
          <cell r="CY14" t="str">
            <v>10</v>
          </cell>
        </row>
        <row r="15">
          <cell r="B15" t="str">
            <v>11</v>
          </cell>
          <cell r="C15">
            <v>0</v>
          </cell>
          <cell r="D15"/>
          <cell r="E15"/>
          <cell r="F15" t="e">
            <v>#REF!</v>
          </cell>
          <cell r="G15"/>
          <cell r="H15"/>
          <cell r="I15"/>
          <cell r="J15"/>
          <cell r="K15">
            <v>0</v>
          </cell>
          <cell r="L15"/>
          <cell r="M15"/>
          <cell r="N15"/>
          <cell r="O15"/>
          <cell r="P15"/>
          <cell r="Q15"/>
          <cell r="R15"/>
          <cell r="S15" t="e">
            <v>#REF!</v>
          </cell>
          <cell r="T15"/>
          <cell r="U15"/>
          <cell r="V15"/>
          <cell r="W15"/>
          <cell r="X15">
            <v>0</v>
          </cell>
          <cell r="Y15"/>
          <cell r="Z15"/>
          <cell r="AA15"/>
          <cell r="AB15"/>
          <cell r="AC15"/>
          <cell r="AD15"/>
          <cell r="AE15"/>
          <cell r="AF15" t="e">
            <v>#REF!</v>
          </cell>
          <cell r="AG15"/>
          <cell r="AH15"/>
          <cell r="AI15"/>
          <cell r="AJ15"/>
          <cell r="AK15">
            <v>0</v>
          </cell>
          <cell r="AL15"/>
          <cell r="AM15"/>
          <cell r="AN15" t="e">
            <v>#REF!</v>
          </cell>
          <cell r="AO15"/>
          <cell r="AP15"/>
          <cell r="AQ15"/>
          <cell r="AR15"/>
          <cell r="AS15">
            <v>4545</v>
          </cell>
          <cell r="AT15" t="str">
            <v>Warranty Mech. Labor - Other Makes Vehicles</v>
          </cell>
          <cell r="AU15"/>
          <cell r="AV15"/>
          <cell r="AW15"/>
          <cell r="AX15"/>
          <cell r="AY15"/>
          <cell r="AZ15"/>
          <cell r="BA15"/>
          <cell r="BB15"/>
          <cell r="BC15"/>
          <cell r="BD15"/>
          <cell r="BE15"/>
          <cell r="BF15"/>
          <cell r="BG15"/>
          <cell r="BH15"/>
          <cell r="BI15">
            <v>0</v>
          </cell>
          <cell r="BJ15"/>
          <cell r="BK15"/>
          <cell r="BL15" t="e">
            <v>#REF!</v>
          </cell>
          <cell r="BM15"/>
          <cell r="BN15"/>
          <cell r="BO15"/>
          <cell r="BP15"/>
          <cell r="BQ15">
            <v>0</v>
          </cell>
          <cell r="BR15"/>
          <cell r="BS15"/>
          <cell r="BT15"/>
          <cell r="BU15"/>
          <cell r="BV15"/>
          <cell r="BW15"/>
          <cell r="BX15"/>
          <cell r="BY15" t="e">
            <v>#REF!</v>
          </cell>
          <cell r="BZ15"/>
          <cell r="CA15"/>
          <cell r="CB15"/>
          <cell r="CC15"/>
          <cell r="CD15">
            <v>0</v>
          </cell>
          <cell r="CE15"/>
          <cell r="CF15"/>
          <cell r="CG15"/>
          <cell r="CH15"/>
          <cell r="CI15"/>
          <cell r="CJ15"/>
          <cell r="CK15"/>
          <cell r="CL15" t="e">
            <v>#REF!</v>
          </cell>
          <cell r="CM15"/>
          <cell r="CN15"/>
          <cell r="CO15"/>
          <cell r="CP15"/>
          <cell r="CQ15">
            <v>0</v>
          </cell>
          <cell r="CR15"/>
          <cell r="CS15"/>
          <cell r="CT15" t="e">
            <v>#REF!</v>
          </cell>
          <cell r="CU15"/>
          <cell r="CV15"/>
          <cell r="CW15"/>
          <cell r="CX15"/>
          <cell r="CY15" t="str">
            <v>11</v>
          </cell>
        </row>
        <row r="16">
          <cell r="B16" t="str">
            <v>12</v>
          </cell>
          <cell r="C16">
            <v>114</v>
          </cell>
          <cell r="D16"/>
          <cell r="E16"/>
          <cell r="F16" t="e">
            <v>#REF!</v>
          </cell>
          <cell r="G16"/>
          <cell r="H16"/>
          <cell r="I16"/>
          <cell r="J16"/>
          <cell r="K16">
            <v>19904</v>
          </cell>
          <cell r="L16"/>
          <cell r="M16"/>
          <cell r="N16"/>
          <cell r="O16"/>
          <cell r="P16"/>
          <cell r="Q16"/>
          <cell r="R16"/>
          <cell r="S16" t="e">
            <v>#REF!</v>
          </cell>
          <cell r="T16"/>
          <cell r="U16"/>
          <cell r="V16"/>
          <cell r="W16"/>
          <cell r="X16">
            <v>13282</v>
          </cell>
          <cell r="Y16"/>
          <cell r="Z16"/>
          <cell r="AA16"/>
          <cell r="AB16"/>
          <cell r="AC16"/>
          <cell r="AD16"/>
          <cell r="AE16"/>
          <cell r="AF16" t="e">
            <v>#REF!</v>
          </cell>
          <cell r="AG16"/>
          <cell r="AH16"/>
          <cell r="AI16"/>
          <cell r="AJ16"/>
          <cell r="AK16">
            <v>66.7</v>
          </cell>
          <cell r="AL16"/>
          <cell r="AM16"/>
          <cell r="AN16" t="e">
            <v>#REF!</v>
          </cell>
          <cell r="AO16"/>
          <cell r="AP16"/>
          <cell r="AQ16"/>
          <cell r="AR16"/>
          <cell r="AS16">
            <v>4555</v>
          </cell>
          <cell r="AT16" t="str">
            <v>Internal Mech. Labor - Other Makes Vehicles</v>
          </cell>
          <cell r="AU16"/>
          <cell r="AV16"/>
          <cell r="AW16"/>
          <cell r="AX16"/>
          <cell r="AY16"/>
          <cell r="AZ16"/>
          <cell r="BA16"/>
          <cell r="BB16"/>
          <cell r="BC16"/>
          <cell r="BD16"/>
          <cell r="BE16"/>
          <cell r="BF16"/>
          <cell r="BG16"/>
          <cell r="BH16"/>
          <cell r="BI16">
            <v>1629</v>
          </cell>
          <cell r="BJ16"/>
          <cell r="BK16"/>
          <cell r="BL16" t="e">
            <v>#REF!</v>
          </cell>
          <cell r="BM16"/>
          <cell r="BN16"/>
          <cell r="BO16"/>
          <cell r="BP16"/>
          <cell r="BQ16">
            <v>279854</v>
          </cell>
          <cell r="BR16"/>
          <cell r="BS16"/>
          <cell r="BT16"/>
          <cell r="BU16"/>
          <cell r="BV16"/>
          <cell r="BW16"/>
          <cell r="BX16"/>
          <cell r="BY16" t="e">
            <v>#REF!</v>
          </cell>
          <cell r="BZ16"/>
          <cell r="CA16"/>
          <cell r="CB16"/>
          <cell r="CC16"/>
          <cell r="CD16">
            <v>193222</v>
          </cell>
          <cell r="CE16"/>
          <cell r="CF16"/>
          <cell r="CG16"/>
          <cell r="CH16"/>
          <cell r="CI16"/>
          <cell r="CJ16"/>
          <cell r="CK16"/>
          <cell r="CL16" t="e">
            <v>#REF!</v>
          </cell>
          <cell r="CM16"/>
          <cell r="CN16"/>
          <cell r="CO16"/>
          <cell r="CP16"/>
          <cell r="CQ16">
            <v>69</v>
          </cell>
          <cell r="CR16"/>
          <cell r="CS16"/>
          <cell r="CT16" t="e">
            <v>#REF!</v>
          </cell>
          <cell r="CU16"/>
          <cell r="CV16"/>
          <cell r="CW16"/>
          <cell r="CX16"/>
          <cell r="CY16" t="str">
            <v>12</v>
          </cell>
        </row>
        <row r="17">
          <cell r="B17" t="str">
            <v>13</v>
          </cell>
          <cell r="C17">
            <v>114</v>
          </cell>
          <cell r="D17"/>
          <cell r="E17"/>
          <cell r="F17" t="e">
            <v>#REF!</v>
          </cell>
          <cell r="G17"/>
          <cell r="H17"/>
          <cell r="I17"/>
          <cell r="J17"/>
          <cell r="K17">
            <v>19904</v>
          </cell>
          <cell r="L17"/>
          <cell r="M17"/>
          <cell r="N17"/>
          <cell r="O17"/>
          <cell r="P17"/>
          <cell r="Q17"/>
          <cell r="R17"/>
          <cell r="S17" t="e">
            <v>#REF!</v>
          </cell>
          <cell r="T17"/>
          <cell r="U17"/>
          <cell r="V17"/>
          <cell r="W17"/>
          <cell r="X17">
            <v>13282</v>
          </cell>
          <cell r="Y17"/>
          <cell r="Z17"/>
          <cell r="AA17"/>
          <cell r="AB17"/>
          <cell r="AC17"/>
          <cell r="AD17"/>
          <cell r="AE17"/>
          <cell r="AF17" t="e">
            <v>#REF!</v>
          </cell>
          <cell r="AG17"/>
          <cell r="AH17"/>
          <cell r="AI17"/>
          <cell r="AJ17"/>
          <cell r="AK17">
            <v>66.7</v>
          </cell>
          <cell r="AL17"/>
          <cell r="AM17"/>
          <cell r="AN17" t="e">
            <v>#REF!</v>
          </cell>
          <cell r="AO17"/>
          <cell r="AP17"/>
          <cell r="AQ17"/>
          <cell r="AR17"/>
          <cell r="AS17"/>
          <cell r="AT17" t="str">
            <v>SUBTOTAL - OTHER VEHICLE LABOR</v>
          </cell>
          <cell r="AU17"/>
          <cell r="AV17"/>
          <cell r="AW17"/>
          <cell r="AX17"/>
          <cell r="AY17"/>
          <cell r="AZ17"/>
          <cell r="BA17"/>
          <cell r="BB17"/>
          <cell r="BC17"/>
          <cell r="BD17"/>
          <cell r="BE17"/>
          <cell r="BF17"/>
          <cell r="BG17"/>
          <cell r="BH17" t="str">
            <v xml:space="preserve">(Lines 8 to 12) </v>
          </cell>
          <cell r="BI17">
            <v>1629</v>
          </cell>
          <cell r="BJ17"/>
          <cell r="BK17"/>
          <cell r="BL17" t="e">
            <v>#REF!</v>
          </cell>
          <cell r="BM17"/>
          <cell r="BN17"/>
          <cell r="BO17"/>
          <cell r="BP17"/>
          <cell r="BQ17">
            <v>279854</v>
          </cell>
          <cell r="BR17"/>
          <cell r="BS17"/>
          <cell r="BT17"/>
          <cell r="BU17"/>
          <cell r="BV17"/>
          <cell r="BW17"/>
          <cell r="BX17"/>
          <cell r="BY17" t="e">
            <v>#REF!</v>
          </cell>
          <cell r="BZ17"/>
          <cell r="CA17"/>
          <cell r="CB17"/>
          <cell r="CC17"/>
          <cell r="CD17">
            <v>193222</v>
          </cell>
          <cell r="CE17"/>
          <cell r="CF17"/>
          <cell r="CG17"/>
          <cell r="CH17"/>
          <cell r="CI17"/>
          <cell r="CJ17"/>
          <cell r="CK17"/>
          <cell r="CL17" t="e">
            <v>#REF!</v>
          </cell>
          <cell r="CM17"/>
          <cell r="CN17"/>
          <cell r="CO17"/>
          <cell r="CP17"/>
          <cell r="CQ17">
            <v>69</v>
          </cell>
          <cell r="CR17"/>
          <cell r="CS17"/>
          <cell r="CT17" t="e">
            <v>#REF!</v>
          </cell>
          <cell r="CU17"/>
          <cell r="CV17"/>
          <cell r="CW17"/>
          <cell r="CX17"/>
          <cell r="CY17" t="str">
            <v>13</v>
          </cell>
        </row>
        <row r="18">
          <cell r="B18" t="str">
            <v>14</v>
          </cell>
          <cell r="C18"/>
          <cell r="D18"/>
          <cell r="E18"/>
          <cell r="F18" t="e">
            <v>#REF!</v>
          </cell>
          <cell r="G18"/>
          <cell r="H18"/>
          <cell r="I18"/>
          <cell r="J18"/>
          <cell r="K18">
            <v>48455</v>
          </cell>
          <cell r="L18"/>
          <cell r="M18"/>
          <cell r="N18"/>
          <cell r="O18"/>
          <cell r="P18"/>
          <cell r="Q18"/>
          <cell r="R18"/>
          <cell r="S18" t="e">
            <v>#REF!</v>
          </cell>
          <cell r="T18"/>
          <cell r="U18"/>
          <cell r="V18"/>
          <cell r="W18"/>
          <cell r="X18">
            <v>7063</v>
          </cell>
          <cell r="Y18"/>
          <cell r="Z18"/>
          <cell r="AA18"/>
          <cell r="AB18"/>
          <cell r="AC18"/>
          <cell r="AD18"/>
          <cell r="AE18"/>
          <cell r="AF18" t="e">
            <v>#REF!</v>
          </cell>
          <cell r="AG18"/>
          <cell r="AH18"/>
          <cell r="AI18"/>
          <cell r="AJ18"/>
          <cell r="AK18">
            <v>14.6</v>
          </cell>
          <cell r="AL18"/>
          <cell r="AM18"/>
          <cell r="AN18" t="e">
            <v>#REF!</v>
          </cell>
          <cell r="AO18"/>
          <cell r="AP18"/>
          <cell r="AQ18"/>
          <cell r="AR18"/>
          <cell r="AS18">
            <v>4560</v>
          </cell>
          <cell r="AT18" t="str">
            <v>Sublet Labor</v>
          </cell>
          <cell r="AU18"/>
          <cell r="AV18"/>
          <cell r="AW18"/>
          <cell r="AX18"/>
          <cell r="AY18"/>
          <cell r="AZ18"/>
          <cell r="BA18"/>
          <cell r="BB18"/>
          <cell r="BC18"/>
          <cell r="BD18"/>
          <cell r="BE18"/>
          <cell r="BF18"/>
          <cell r="BG18"/>
          <cell r="BH18"/>
          <cell r="BI18"/>
          <cell r="BJ18"/>
          <cell r="BK18"/>
          <cell r="BL18" t="e">
            <v>#REF!</v>
          </cell>
          <cell r="BM18"/>
          <cell r="BN18"/>
          <cell r="BO18"/>
          <cell r="BP18"/>
          <cell r="BQ18">
            <v>602668</v>
          </cell>
          <cell r="BR18"/>
          <cell r="BS18"/>
          <cell r="BT18"/>
          <cell r="BU18"/>
          <cell r="BV18"/>
          <cell r="BW18"/>
          <cell r="BX18"/>
          <cell r="BY18" t="e">
            <v>#REF!</v>
          </cell>
          <cell r="BZ18"/>
          <cell r="CA18"/>
          <cell r="CB18"/>
          <cell r="CC18"/>
          <cell r="CD18">
            <v>82696</v>
          </cell>
          <cell r="CE18"/>
          <cell r="CF18"/>
          <cell r="CG18"/>
          <cell r="CH18"/>
          <cell r="CI18"/>
          <cell r="CJ18"/>
          <cell r="CK18"/>
          <cell r="CL18" t="e">
            <v>#REF!</v>
          </cell>
          <cell r="CM18"/>
          <cell r="CN18"/>
          <cell r="CO18"/>
          <cell r="CP18"/>
          <cell r="CQ18">
            <v>13.7</v>
          </cell>
          <cell r="CR18"/>
          <cell r="CS18"/>
          <cell r="CT18" t="e">
            <v>#REF!</v>
          </cell>
          <cell r="CU18"/>
          <cell r="CV18"/>
          <cell r="CW18"/>
          <cell r="CX18"/>
          <cell r="CY18" t="str">
            <v>14</v>
          </cell>
        </row>
        <row r="19">
          <cell r="B19" t="str">
            <v>15</v>
          </cell>
          <cell r="C19">
            <v>175</v>
          </cell>
          <cell r="D19"/>
          <cell r="E19"/>
          <cell r="F19" t="e">
            <v>#REF!</v>
          </cell>
          <cell r="G19"/>
          <cell r="H19"/>
          <cell r="I19"/>
          <cell r="J19"/>
          <cell r="K19">
            <v>25099</v>
          </cell>
          <cell r="L19"/>
          <cell r="M19"/>
          <cell r="N19"/>
          <cell r="O19"/>
          <cell r="P19"/>
          <cell r="Q19"/>
          <cell r="R19"/>
          <cell r="S19" t="e">
            <v>#REF!</v>
          </cell>
          <cell r="T19"/>
          <cell r="U19"/>
          <cell r="V19"/>
          <cell r="W19"/>
          <cell r="X19">
            <v>21662</v>
          </cell>
          <cell r="Y19"/>
          <cell r="Z19"/>
          <cell r="AA19"/>
          <cell r="AB19"/>
          <cell r="AC19"/>
          <cell r="AD19"/>
          <cell r="AE19"/>
          <cell r="AF19" t="e">
            <v>#REF!</v>
          </cell>
          <cell r="AG19"/>
          <cell r="AH19"/>
          <cell r="AI19"/>
          <cell r="AJ19"/>
          <cell r="AK19">
            <v>86.3</v>
          </cell>
          <cell r="AL19"/>
          <cell r="AM19"/>
          <cell r="AN19" t="e">
            <v>#REF!</v>
          </cell>
          <cell r="AO19"/>
          <cell r="AP19"/>
          <cell r="AQ19"/>
          <cell r="AR19"/>
          <cell r="AS19">
            <v>4570</v>
          </cell>
          <cell r="AT19" t="str">
            <v>Miscellaneous Mech. Repairs</v>
          </cell>
          <cell r="AU19"/>
          <cell r="AV19"/>
          <cell r="AW19"/>
          <cell r="AX19"/>
          <cell r="AY19"/>
          <cell r="AZ19"/>
          <cell r="BA19"/>
          <cell r="BB19"/>
          <cell r="BC19"/>
          <cell r="BD19"/>
          <cell r="BE19"/>
          <cell r="BF19"/>
          <cell r="BG19"/>
          <cell r="BH19"/>
          <cell r="BI19">
            <v>2029</v>
          </cell>
          <cell r="BJ19"/>
          <cell r="BK19"/>
          <cell r="BL19" t="e">
            <v>#REF!</v>
          </cell>
          <cell r="BM19"/>
          <cell r="BN19"/>
          <cell r="BO19"/>
          <cell r="BP19"/>
          <cell r="BQ19">
            <v>309949</v>
          </cell>
          <cell r="BR19"/>
          <cell r="BS19"/>
          <cell r="BT19"/>
          <cell r="BU19"/>
          <cell r="BV19"/>
          <cell r="BW19"/>
          <cell r="BX19"/>
          <cell r="BY19" t="e">
            <v>#REF!</v>
          </cell>
          <cell r="BZ19"/>
          <cell r="CA19"/>
          <cell r="CB19"/>
          <cell r="CC19"/>
          <cell r="CD19">
            <v>265155</v>
          </cell>
          <cell r="CE19"/>
          <cell r="CF19"/>
          <cell r="CG19"/>
          <cell r="CH19"/>
          <cell r="CI19"/>
          <cell r="CJ19"/>
          <cell r="CK19"/>
          <cell r="CL19" t="e">
            <v>#REF!</v>
          </cell>
          <cell r="CM19"/>
          <cell r="CN19"/>
          <cell r="CO19"/>
          <cell r="CP19"/>
          <cell r="CQ19">
            <v>85.5</v>
          </cell>
          <cell r="CR19"/>
          <cell r="CS19"/>
          <cell r="CT19" t="e">
            <v>#REF!</v>
          </cell>
          <cell r="CU19"/>
          <cell r="CV19"/>
          <cell r="CW19"/>
          <cell r="CX19"/>
          <cell r="CY19" t="str">
            <v>15</v>
          </cell>
        </row>
        <row r="20">
          <cell r="B20" t="str">
            <v>16</v>
          </cell>
          <cell r="C20"/>
          <cell r="D20"/>
          <cell r="E20"/>
          <cell r="F20"/>
          <cell r="G20"/>
          <cell r="H20"/>
          <cell r="I20"/>
          <cell r="J20"/>
          <cell r="K20"/>
          <cell r="L20"/>
          <cell r="M20"/>
          <cell r="N20"/>
          <cell r="O20"/>
          <cell r="P20"/>
          <cell r="Q20"/>
          <cell r="R20"/>
          <cell r="S20" t="e">
            <v>#REF!</v>
          </cell>
          <cell r="T20"/>
          <cell r="U20"/>
          <cell r="V20"/>
          <cell r="W20"/>
          <cell r="X20">
            <v>-33507</v>
          </cell>
          <cell r="Y20"/>
          <cell r="Z20"/>
          <cell r="AA20"/>
          <cell r="AB20"/>
          <cell r="AC20"/>
          <cell r="AD20"/>
          <cell r="AE20"/>
          <cell r="AF20" t="e">
            <v>#REF!</v>
          </cell>
          <cell r="AG20"/>
          <cell r="AH20"/>
          <cell r="AI20"/>
          <cell r="AJ20"/>
          <cell r="AK20"/>
          <cell r="AL20"/>
          <cell r="AM20"/>
          <cell r="AN20" t="e">
            <v>#REF!</v>
          </cell>
          <cell r="AO20"/>
          <cell r="AP20"/>
          <cell r="AQ20"/>
          <cell r="AR20"/>
          <cell r="AS20">
            <v>6590</v>
          </cell>
          <cell r="AT20" t="str">
            <v>Adj. Cost of Labor Sales - Mech.</v>
          </cell>
          <cell r="AU20"/>
          <cell r="AV20"/>
          <cell r="AW20"/>
          <cell r="AX20"/>
          <cell r="AY20"/>
          <cell r="AZ20"/>
          <cell r="BA20"/>
          <cell r="BB20"/>
          <cell r="BC20"/>
          <cell r="BD20"/>
          <cell r="BE20"/>
          <cell r="BF20"/>
          <cell r="BG20"/>
          <cell r="BH20"/>
          <cell r="BI20"/>
          <cell r="BJ20"/>
          <cell r="BK20"/>
          <cell r="BL20" t="e">
            <v>#REF!</v>
          </cell>
          <cell r="BM20"/>
          <cell r="BN20"/>
          <cell r="BO20"/>
          <cell r="BP20"/>
          <cell r="BQ20"/>
          <cell r="BR20"/>
          <cell r="BS20"/>
          <cell r="BT20"/>
          <cell r="BU20"/>
          <cell r="BV20"/>
          <cell r="BW20"/>
          <cell r="BX20"/>
          <cell r="BY20" t="e">
            <v>#REF!</v>
          </cell>
          <cell r="BZ20"/>
          <cell r="CA20"/>
          <cell r="CB20"/>
          <cell r="CC20"/>
          <cell r="CD20">
            <v>-237712</v>
          </cell>
          <cell r="CE20"/>
          <cell r="CF20"/>
          <cell r="CG20"/>
          <cell r="CH20"/>
          <cell r="CI20"/>
          <cell r="CJ20"/>
          <cell r="CK20"/>
          <cell r="CL20" t="e">
            <v>#REF!</v>
          </cell>
          <cell r="CM20"/>
          <cell r="CN20"/>
          <cell r="CO20"/>
          <cell r="CP20"/>
          <cell r="CQ20"/>
          <cell r="CR20"/>
          <cell r="CS20"/>
          <cell r="CT20" t="e">
            <v>#REF!</v>
          </cell>
          <cell r="CU20"/>
          <cell r="CV20"/>
          <cell r="CW20"/>
          <cell r="CX20"/>
          <cell r="CY20" t="str">
            <v>16</v>
          </cell>
        </row>
        <row r="21">
          <cell r="B21" t="str">
            <v>17</v>
          </cell>
          <cell r="C21">
            <v>3651</v>
          </cell>
          <cell r="D21"/>
          <cell r="E21"/>
          <cell r="F21" t="e">
            <v>#REF!</v>
          </cell>
          <cell r="G21"/>
          <cell r="H21"/>
          <cell r="I21"/>
          <cell r="J21"/>
          <cell r="K21">
            <v>387924</v>
          </cell>
          <cell r="L21"/>
          <cell r="M21"/>
          <cell r="N21"/>
          <cell r="O21"/>
          <cell r="P21"/>
          <cell r="Q21"/>
          <cell r="R21"/>
          <cell r="S21" t="e">
            <v>#REF!</v>
          </cell>
          <cell r="T21"/>
          <cell r="U21"/>
          <cell r="V21"/>
          <cell r="W21"/>
          <cell r="X21">
            <v>208203</v>
          </cell>
          <cell r="Y21"/>
          <cell r="Z21"/>
          <cell r="AA21"/>
          <cell r="AB21"/>
          <cell r="AC21"/>
          <cell r="AD21"/>
          <cell r="AE21"/>
          <cell r="AF21" t="e">
            <v>#REF!</v>
          </cell>
          <cell r="AG21"/>
          <cell r="AH21"/>
          <cell r="AI21"/>
          <cell r="AJ21"/>
          <cell r="AK21">
            <v>53.7</v>
          </cell>
          <cell r="AL21"/>
          <cell r="AM21"/>
          <cell r="AN21" t="e">
            <v>#REF!</v>
          </cell>
          <cell r="AO21"/>
          <cell r="AP21"/>
          <cell r="AQ21"/>
          <cell r="AR21"/>
          <cell r="AS21" t="str">
            <v>TT42</v>
          </cell>
          <cell r="AT21" t="str">
            <v>TOTAL SERVICE DEPT.</v>
          </cell>
          <cell r="AU21"/>
          <cell r="AV21"/>
          <cell r="AW21"/>
          <cell r="AX21"/>
          <cell r="AY21"/>
          <cell r="AZ21"/>
          <cell r="BA21"/>
          <cell r="BB21"/>
          <cell r="BC21"/>
          <cell r="BD21"/>
          <cell r="BE21"/>
          <cell r="BF21"/>
          <cell r="BG21"/>
          <cell r="BH21" t="str">
            <v xml:space="preserve">(Pg 5 Ln 69, 74 &amp; Pg 6 Ln 7, 13, 14 - 16) </v>
          </cell>
          <cell r="BI21">
            <v>44328</v>
          </cell>
          <cell r="BJ21"/>
          <cell r="BK21"/>
          <cell r="BL21" t="e">
            <v>#REF!</v>
          </cell>
          <cell r="BM21"/>
          <cell r="BN21"/>
          <cell r="BO21"/>
          <cell r="BP21"/>
          <cell r="BQ21">
            <v>4652948</v>
          </cell>
          <cell r="BR21"/>
          <cell r="BS21"/>
          <cell r="BT21"/>
          <cell r="BU21"/>
          <cell r="BV21"/>
          <cell r="BW21"/>
          <cell r="BX21"/>
          <cell r="BY21" t="e">
            <v>#REF!</v>
          </cell>
          <cell r="BZ21"/>
          <cell r="CA21"/>
          <cell r="CB21"/>
          <cell r="CC21"/>
          <cell r="CD21">
            <v>2872729</v>
          </cell>
          <cell r="CE21"/>
          <cell r="CF21"/>
          <cell r="CG21"/>
          <cell r="CH21"/>
          <cell r="CI21"/>
          <cell r="CJ21"/>
          <cell r="CK21"/>
          <cell r="CL21" t="e">
            <v>#REF!</v>
          </cell>
          <cell r="CM21"/>
          <cell r="CN21"/>
          <cell r="CO21"/>
          <cell r="CP21"/>
          <cell r="CQ21">
            <v>61.7</v>
          </cell>
          <cell r="CR21"/>
          <cell r="CS21"/>
          <cell r="CT21" t="e">
            <v>#REF!</v>
          </cell>
          <cell r="CU21"/>
          <cell r="CV21"/>
          <cell r="CW21"/>
          <cell r="CX21"/>
          <cell r="CY21" t="str">
            <v>17</v>
          </cell>
        </row>
        <row r="22">
          <cell r="B22" t="str">
            <v>18</v>
          </cell>
          <cell r="C22" t="str">
            <v># CT.'s</v>
          </cell>
          <cell r="D22"/>
          <cell r="E22"/>
          <cell r="F22"/>
          <cell r="G22"/>
          <cell r="H22"/>
          <cell r="I22"/>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cell r="AM22"/>
          <cell r="AN22" t="e">
            <v>#REF!</v>
          </cell>
          <cell r="AO22"/>
          <cell r="AP22"/>
          <cell r="AQ22"/>
          <cell r="AR22"/>
          <cell r="AS22"/>
          <cell r="AT22" t="str">
            <v>PARTS &amp; ACCESSORIES DEPARTMENT (D)</v>
          </cell>
          <cell r="AU22"/>
          <cell r="AV22"/>
          <cell r="AW22"/>
          <cell r="AX22"/>
          <cell r="AY22"/>
          <cell r="AZ22"/>
          <cell r="BA22"/>
          <cell r="BB22"/>
          <cell r="BC22"/>
          <cell r="BD22"/>
          <cell r="BE22"/>
          <cell r="BF22"/>
          <cell r="BG22"/>
          <cell r="BH22"/>
          <cell r="BI22" t="str">
            <v># CT.'s</v>
          </cell>
          <cell r="BJ22"/>
          <cell r="BK22"/>
          <cell r="BL22" t="e">
            <v>#REF!</v>
          </cell>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t="e">
            <v>#REF!</v>
          </cell>
          <cell r="CU22"/>
          <cell r="CV22"/>
          <cell r="CW22"/>
          <cell r="CX22"/>
          <cell r="CY22" t="str">
            <v>18</v>
          </cell>
        </row>
        <row r="23">
          <cell r="B23" t="str">
            <v>19</v>
          </cell>
          <cell r="C23"/>
          <cell r="D23"/>
          <cell r="E23"/>
          <cell r="F23" t="e">
            <v>#REF!</v>
          </cell>
          <cell r="G23"/>
          <cell r="H23"/>
          <cell r="I23"/>
          <cell r="J23"/>
          <cell r="K23">
            <v>84019</v>
          </cell>
          <cell r="L23"/>
          <cell r="M23"/>
          <cell r="N23"/>
          <cell r="O23"/>
          <cell r="P23"/>
          <cell r="Q23"/>
          <cell r="R23"/>
          <cell r="S23" t="e">
            <v>#REF!</v>
          </cell>
          <cell r="T23"/>
          <cell r="U23"/>
          <cell r="V23"/>
          <cell r="W23"/>
          <cell r="X23">
            <v>29120</v>
          </cell>
          <cell r="Y23"/>
          <cell r="Z23"/>
          <cell r="AA23"/>
          <cell r="AB23"/>
          <cell r="AC23"/>
          <cell r="AD23"/>
          <cell r="AE23"/>
          <cell r="AF23" t="e">
            <v>#REF!</v>
          </cell>
          <cell r="AG23"/>
          <cell r="AH23"/>
          <cell r="AI23"/>
          <cell r="AJ23"/>
          <cell r="AK23">
            <v>34.700000000000003</v>
          </cell>
          <cell r="AL23"/>
          <cell r="AM23"/>
          <cell r="AN23" t="e">
            <v>#REF!</v>
          </cell>
          <cell r="AO23"/>
          <cell r="AP23"/>
          <cell r="AQ23"/>
          <cell r="AR23"/>
          <cell r="AS23">
            <v>4600</v>
          </cell>
          <cell r="AT23" t="str">
            <v>Parts &amp; Access. - R.O. - Nissan</v>
          </cell>
          <cell r="AU23"/>
          <cell r="AV23"/>
          <cell r="AW23"/>
          <cell r="AX23"/>
          <cell r="AY23"/>
          <cell r="AZ23"/>
          <cell r="BA23"/>
          <cell r="BB23"/>
          <cell r="BC23"/>
          <cell r="BD23"/>
          <cell r="BE23"/>
          <cell r="BF23"/>
          <cell r="BG23"/>
          <cell r="BH23"/>
          <cell r="BI23"/>
          <cell r="BJ23"/>
          <cell r="BK23"/>
          <cell r="BL23" t="e">
            <v>#REF!</v>
          </cell>
          <cell r="BM23"/>
          <cell r="BN23"/>
          <cell r="BO23"/>
          <cell r="BP23"/>
          <cell r="BQ23">
            <v>1120806</v>
          </cell>
          <cell r="BR23"/>
          <cell r="BS23"/>
          <cell r="BT23"/>
          <cell r="BU23"/>
          <cell r="BV23"/>
          <cell r="BW23"/>
          <cell r="BX23"/>
          <cell r="BY23" t="e">
            <v>#REF!</v>
          </cell>
          <cell r="BZ23"/>
          <cell r="CA23"/>
          <cell r="CB23"/>
          <cell r="CC23"/>
          <cell r="CD23">
            <v>469123</v>
          </cell>
          <cell r="CE23"/>
          <cell r="CF23"/>
          <cell r="CG23"/>
          <cell r="CH23"/>
          <cell r="CI23"/>
          <cell r="CJ23"/>
          <cell r="CK23"/>
          <cell r="CL23" t="e">
            <v>#REF!</v>
          </cell>
          <cell r="CM23"/>
          <cell r="CN23"/>
          <cell r="CO23"/>
          <cell r="CP23"/>
          <cell r="CQ23">
            <v>41.9</v>
          </cell>
          <cell r="CR23"/>
          <cell r="CS23"/>
          <cell r="CT23" t="e">
            <v>#REF!</v>
          </cell>
          <cell r="CU23"/>
          <cell r="CV23"/>
          <cell r="CW23"/>
          <cell r="CX23"/>
          <cell r="CY23" t="str">
            <v>19</v>
          </cell>
        </row>
        <row r="24">
          <cell r="B24" t="str">
            <v>20</v>
          </cell>
          <cell r="C24"/>
          <cell r="D24"/>
          <cell r="E24"/>
          <cell r="F24" t="e">
            <v>#REF!</v>
          </cell>
          <cell r="G24"/>
          <cell r="H24"/>
          <cell r="I24"/>
          <cell r="J24"/>
          <cell r="K24">
            <v>0</v>
          </cell>
          <cell r="L24"/>
          <cell r="M24"/>
          <cell r="N24"/>
          <cell r="O24"/>
          <cell r="P24"/>
          <cell r="Q24"/>
          <cell r="R24"/>
          <cell r="S24" t="e">
            <v>#REF!</v>
          </cell>
          <cell r="T24"/>
          <cell r="U24"/>
          <cell r="V24"/>
          <cell r="W24"/>
          <cell r="X24">
            <v>0</v>
          </cell>
          <cell r="Y24"/>
          <cell r="Z24"/>
          <cell r="AA24"/>
          <cell r="AB24"/>
          <cell r="AC24"/>
          <cell r="AD24"/>
          <cell r="AE24"/>
          <cell r="AF24" t="e">
            <v>#REF!</v>
          </cell>
          <cell r="AG24"/>
          <cell r="AH24"/>
          <cell r="AI24"/>
          <cell r="AJ24"/>
          <cell r="AK24">
            <v>0</v>
          </cell>
          <cell r="AL24"/>
          <cell r="AM24"/>
          <cell r="AN24" t="e">
            <v>#REF!</v>
          </cell>
          <cell r="AO24"/>
          <cell r="AP24"/>
          <cell r="AQ24"/>
          <cell r="AR24"/>
          <cell r="AS24">
            <v>4604</v>
          </cell>
          <cell r="AT24" t="str">
            <v>Service / Maint. Contract - Parts - Nissan Vehicles</v>
          </cell>
          <cell r="AU24"/>
          <cell r="AV24"/>
          <cell r="AW24"/>
          <cell r="AX24"/>
          <cell r="AY24"/>
          <cell r="AZ24"/>
          <cell r="BA24"/>
          <cell r="BB24"/>
          <cell r="BC24"/>
          <cell r="BD24"/>
          <cell r="BE24"/>
          <cell r="BF24"/>
          <cell r="BG24"/>
          <cell r="BH24"/>
          <cell r="BI24"/>
          <cell r="BJ24"/>
          <cell r="BK24"/>
          <cell r="BL24" t="e">
            <v>#REF!</v>
          </cell>
          <cell r="BM24"/>
          <cell r="BN24"/>
          <cell r="BO24"/>
          <cell r="BP24"/>
          <cell r="BQ24">
            <v>0</v>
          </cell>
          <cell r="BR24"/>
          <cell r="BS24"/>
          <cell r="BT24"/>
          <cell r="BU24"/>
          <cell r="BV24"/>
          <cell r="BW24"/>
          <cell r="BX24"/>
          <cell r="BY24" t="e">
            <v>#REF!</v>
          </cell>
          <cell r="BZ24"/>
          <cell r="CA24"/>
          <cell r="CB24"/>
          <cell r="CC24"/>
          <cell r="CD24">
            <v>0</v>
          </cell>
          <cell r="CE24"/>
          <cell r="CF24"/>
          <cell r="CG24"/>
          <cell r="CH24"/>
          <cell r="CI24"/>
          <cell r="CJ24"/>
          <cell r="CK24"/>
          <cell r="CL24" t="e">
            <v>#REF!</v>
          </cell>
          <cell r="CM24"/>
          <cell r="CN24"/>
          <cell r="CO24"/>
          <cell r="CP24"/>
          <cell r="CQ24">
            <v>0</v>
          </cell>
          <cell r="CR24"/>
          <cell r="CS24"/>
          <cell r="CT24" t="e">
            <v>#REF!</v>
          </cell>
          <cell r="CU24"/>
          <cell r="CV24"/>
          <cell r="CW24"/>
          <cell r="CX24"/>
          <cell r="CY24" t="str">
            <v>20</v>
          </cell>
        </row>
        <row r="25">
          <cell r="B25" t="str">
            <v>21</v>
          </cell>
          <cell r="C25"/>
          <cell r="D25"/>
          <cell r="E25"/>
          <cell r="F25" t="e">
            <v>#REF!</v>
          </cell>
          <cell r="G25"/>
          <cell r="H25"/>
          <cell r="I25"/>
          <cell r="J25"/>
          <cell r="K25">
            <v>7743</v>
          </cell>
          <cell r="L25"/>
          <cell r="M25"/>
          <cell r="N25"/>
          <cell r="O25"/>
          <cell r="P25"/>
          <cell r="Q25"/>
          <cell r="R25"/>
          <cell r="S25" t="e">
            <v>#REF!</v>
          </cell>
          <cell r="T25"/>
          <cell r="U25"/>
          <cell r="V25"/>
          <cell r="W25"/>
          <cell r="X25">
            <v>1126</v>
          </cell>
          <cell r="Y25"/>
          <cell r="Z25"/>
          <cell r="AA25"/>
          <cell r="AB25"/>
          <cell r="AC25"/>
          <cell r="AD25"/>
          <cell r="AE25"/>
          <cell r="AF25" t="e">
            <v>#REF!</v>
          </cell>
          <cell r="AG25"/>
          <cell r="AH25"/>
          <cell r="AI25"/>
          <cell r="AJ25"/>
          <cell r="AK25">
            <v>14.5</v>
          </cell>
          <cell r="AL25"/>
          <cell r="AM25"/>
          <cell r="AN25" t="e">
            <v>#REF!</v>
          </cell>
          <cell r="AO25"/>
          <cell r="AP25"/>
          <cell r="AQ25"/>
          <cell r="AR25"/>
          <cell r="AS25">
            <v>4607</v>
          </cell>
          <cell r="AT25" t="str">
            <v>Tire Sales - R.O. - Nissan</v>
          </cell>
          <cell r="AU25"/>
          <cell r="AV25"/>
          <cell r="AW25"/>
          <cell r="AX25"/>
          <cell r="AY25"/>
          <cell r="AZ25"/>
          <cell r="BA25"/>
          <cell r="BB25"/>
          <cell r="BC25"/>
          <cell r="BD25"/>
          <cell r="BE25"/>
          <cell r="BF25"/>
          <cell r="BG25"/>
          <cell r="BH25"/>
          <cell r="BI25"/>
          <cell r="BJ25"/>
          <cell r="BK25"/>
          <cell r="BL25" t="e">
            <v>#REF!</v>
          </cell>
          <cell r="BM25"/>
          <cell r="BN25"/>
          <cell r="BO25"/>
          <cell r="BP25"/>
          <cell r="BQ25">
            <v>137624</v>
          </cell>
          <cell r="BR25"/>
          <cell r="BS25"/>
          <cell r="BT25"/>
          <cell r="BU25"/>
          <cell r="BV25"/>
          <cell r="BW25"/>
          <cell r="BX25"/>
          <cell r="BY25" t="e">
            <v>#REF!</v>
          </cell>
          <cell r="BZ25"/>
          <cell r="CA25"/>
          <cell r="CB25"/>
          <cell r="CC25"/>
          <cell r="CD25">
            <v>19926</v>
          </cell>
          <cell r="CE25"/>
          <cell r="CF25"/>
          <cell r="CG25"/>
          <cell r="CH25"/>
          <cell r="CI25"/>
          <cell r="CJ25"/>
          <cell r="CK25"/>
          <cell r="CL25" t="e">
            <v>#REF!</v>
          </cell>
          <cell r="CM25"/>
          <cell r="CN25"/>
          <cell r="CO25"/>
          <cell r="CP25"/>
          <cell r="CQ25">
            <v>14.5</v>
          </cell>
          <cell r="CR25"/>
          <cell r="CS25"/>
          <cell r="CT25" t="e">
            <v>#REF!</v>
          </cell>
          <cell r="CU25"/>
          <cell r="CV25"/>
          <cell r="CW25"/>
          <cell r="CX25"/>
          <cell r="CY25" t="str">
            <v>21</v>
          </cell>
        </row>
        <row r="26">
          <cell r="B26" t="str">
            <v>22</v>
          </cell>
          <cell r="C26"/>
          <cell r="D26"/>
          <cell r="E26"/>
          <cell r="F26" t="e">
            <v>#REF!</v>
          </cell>
          <cell r="G26"/>
          <cell r="H26"/>
          <cell r="I26"/>
          <cell r="J26"/>
          <cell r="K26">
            <v>74316</v>
          </cell>
          <cell r="L26"/>
          <cell r="M26"/>
          <cell r="N26"/>
          <cell r="O26"/>
          <cell r="P26"/>
          <cell r="Q26"/>
          <cell r="R26"/>
          <cell r="S26" t="e">
            <v>#REF!</v>
          </cell>
          <cell r="T26"/>
          <cell r="U26"/>
          <cell r="V26"/>
          <cell r="W26"/>
          <cell r="X26">
            <v>23517</v>
          </cell>
          <cell r="Y26"/>
          <cell r="Z26"/>
          <cell r="AA26"/>
          <cell r="AB26"/>
          <cell r="AC26"/>
          <cell r="AD26"/>
          <cell r="AE26"/>
          <cell r="AF26" t="e">
            <v>#REF!</v>
          </cell>
          <cell r="AG26"/>
          <cell r="AH26"/>
          <cell r="AI26"/>
          <cell r="AJ26"/>
          <cell r="AK26">
            <v>31.6</v>
          </cell>
          <cell r="AL26"/>
          <cell r="AM26"/>
          <cell r="AN26" t="e">
            <v>#REF!</v>
          </cell>
          <cell r="AO26"/>
          <cell r="AP26"/>
          <cell r="AQ26"/>
          <cell r="AR26"/>
          <cell r="AS26">
            <v>4640</v>
          </cell>
          <cell r="AT26" t="str">
            <v>Parts &amp; Access. - Warranty Claims - Nissan</v>
          </cell>
          <cell r="AU26"/>
          <cell r="AV26"/>
          <cell r="AW26"/>
          <cell r="AX26"/>
          <cell r="AY26"/>
          <cell r="AZ26"/>
          <cell r="BA26"/>
          <cell r="BB26"/>
          <cell r="BC26"/>
          <cell r="BD26"/>
          <cell r="BE26"/>
          <cell r="BF26"/>
          <cell r="BG26"/>
          <cell r="BH26"/>
          <cell r="BI26"/>
          <cell r="BJ26"/>
          <cell r="BK26"/>
          <cell r="BL26" t="e">
            <v>#REF!</v>
          </cell>
          <cell r="BM26"/>
          <cell r="BN26"/>
          <cell r="BO26"/>
          <cell r="BP26"/>
          <cell r="BQ26">
            <v>826912</v>
          </cell>
          <cell r="BR26"/>
          <cell r="BS26"/>
          <cell r="BT26"/>
          <cell r="BU26"/>
          <cell r="BV26"/>
          <cell r="BW26"/>
          <cell r="BX26"/>
          <cell r="BY26" t="e">
            <v>#REF!</v>
          </cell>
          <cell r="BZ26"/>
          <cell r="CA26"/>
          <cell r="CB26"/>
          <cell r="CC26"/>
          <cell r="CD26">
            <v>241916</v>
          </cell>
          <cell r="CE26"/>
          <cell r="CF26"/>
          <cell r="CG26"/>
          <cell r="CH26"/>
          <cell r="CI26"/>
          <cell r="CJ26"/>
          <cell r="CK26"/>
          <cell r="CL26" t="e">
            <v>#REF!</v>
          </cell>
          <cell r="CM26"/>
          <cell r="CN26"/>
          <cell r="CO26"/>
          <cell r="CP26"/>
          <cell r="CQ26">
            <v>29.3</v>
          </cell>
          <cell r="CR26"/>
          <cell r="CS26"/>
          <cell r="CT26" t="e">
            <v>#REF!</v>
          </cell>
          <cell r="CU26"/>
          <cell r="CV26"/>
          <cell r="CW26"/>
          <cell r="CX26"/>
          <cell r="CY26" t="str">
            <v>22</v>
          </cell>
        </row>
        <row r="27">
          <cell r="B27" t="str">
            <v>23</v>
          </cell>
          <cell r="C27"/>
          <cell r="D27"/>
          <cell r="E27"/>
          <cell r="F27" t="e">
            <v>#REF!</v>
          </cell>
          <cell r="G27"/>
          <cell r="H27"/>
          <cell r="I27"/>
          <cell r="J27"/>
          <cell r="K27">
            <v>0</v>
          </cell>
          <cell r="L27"/>
          <cell r="M27"/>
          <cell r="N27"/>
          <cell r="O27"/>
          <cell r="P27"/>
          <cell r="Q27"/>
          <cell r="R27"/>
          <cell r="S27" t="e">
            <v>#REF!</v>
          </cell>
          <cell r="T27"/>
          <cell r="U27"/>
          <cell r="V27"/>
          <cell r="W27"/>
          <cell r="X27">
            <v>0</v>
          </cell>
          <cell r="Y27"/>
          <cell r="Z27"/>
          <cell r="AA27"/>
          <cell r="AB27"/>
          <cell r="AC27"/>
          <cell r="AD27"/>
          <cell r="AE27"/>
          <cell r="AF27" t="e">
            <v>#REF!</v>
          </cell>
          <cell r="AG27"/>
          <cell r="AH27"/>
          <cell r="AI27"/>
          <cell r="AJ27"/>
          <cell r="AK27">
            <v>0</v>
          </cell>
          <cell r="AL27"/>
          <cell r="AM27"/>
          <cell r="AN27" t="e">
            <v>#REF!</v>
          </cell>
          <cell r="AO27"/>
          <cell r="AP27"/>
          <cell r="AQ27"/>
          <cell r="AR27"/>
          <cell r="AS27">
            <v>4647</v>
          </cell>
          <cell r="AT27" t="str">
            <v>Tire Sales - Warranty - Nissan</v>
          </cell>
          <cell r="AU27"/>
          <cell r="AV27"/>
          <cell r="AW27"/>
          <cell r="AX27"/>
          <cell r="AY27"/>
          <cell r="AZ27"/>
          <cell r="BA27"/>
          <cell r="BB27"/>
          <cell r="BC27"/>
          <cell r="BD27"/>
          <cell r="BE27"/>
          <cell r="BF27"/>
          <cell r="BG27"/>
          <cell r="BH27"/>
          <cell r="BI27"/>
          <cell r="BJ27"/>
          <cell r="BK27"/>
          <cell r="BL27" t="e">
            <v>#REF!</v>
          </cell>
          <cell r="BM27"/>
          <cell r="BN27"/>
          <cell r="BO27"/>
          <cell r="BP27"/>
          <cell r="BQ27">
            <v>0</v>
          </cell>
          <cell r="BR27"/>
          <cell r="BS27"/>
          <cell r="BT27"/>
          <cell r="BU27"/>
          <cell r="BV27"/>
          <cell r="BW27"/>
          <cell r="BX27"/>
          <cell r="BY27" t="e">
            <v>#REF!</v>
          </cell>
          <cell r="BZ27"/>
          <cell r="CA27"/>
          <cell r="CB27"/>
          <cell r="CC27"/>
          <cell r="CD27">
            <v>0</v>
          </cell>
          <cell r="CE27"/>
          <cell r="CF27"/>
          <cell r="CG27"/>
          <cell r="CH27"/>
          <cell r="CI27"/>
          <cell r="CJ27"/>
          <cell r="CK27"/>
          <cell r="CL27" t="e">
            <v>#REF!</v>
          </cell>
          <cell r="CM27"/>
          <cell r="CN27"/>
          <cell r="CO27"/>
          <cell r="CP27"/>
          <cell r="CQ27">
            <v>0</v>
          </cell>
          <cell r="CR27"/>
          <cell r="CS27"/>
          <cell r="CT27" t="e">
            <v>#REF!</v>
          </cell>
          <cell r="CU27"/>
          <cell r="CV27"/>
          <cell r="CW27"/>
          <cell r="CX27"/>
          <cell r="CY27" t="str">
            <v>23</v>
          </cell>
        </row>
        <row r="28">
          <cell r="B28" t="str">
            <v>24</v>
          </cell>
          <cell r="C28"/>
          <cell r="D28"/>
          <cell r="E28"/>
          <cell r="F28" t="e">
            <v>#REF!</v>
          </cell>
          <cell r="G28"/>
          <cell r="H28"/>
          <cell r="I28"/>
          <cell r="J28"/>
          <cell r="K28">
            <v>51909</v>
          </cell>
          <cell r="L28"/>
          <cell r="M28"/>
          <cell r="N28"/>
          <cell r="O28"/>
          <cell r="P28"/>
          <cell r="Q28"/>
          <cell r="R28"/>
          <cell r="S28" t="e">
            <v>#REF!</v>
          </cell>
          <cell r="T28"/>
          <cell r="U28"/>
          <cell r="V28"/>
          <cell r="W28"/>
          <cell r="X28">
            <v>12970</v>
          </cell>
          <cell r="Y28"/>
          <cell r="Z28"/>
          <cell r="AA28"/>
          <cell r="AB28"/>
          <cell r="AC28"/>
          <cell r="AD28"/>
          <cell r="AE28"/>
          <cell r="AF28" t="e">
            <v>#REF!</v>
          </cell>
          <cell r="AG28"/>
          <cell r="AH28"/>
          <cell r="AI28"/>
          <cell r="AJ28"/>
          <cell r="AK28">
            <v>25</v>
          </cell>
          <cell r="AL28"/>
          <cell r="AM28"/>
          <cell r="AN28" t="e">
            <v>#REF!</v>
          </cell>
          <cell r="AO28"/>
          <cell r="AP28"/>
          <cell r="AQ28"/>
          <cell r="AR28"/>
          <cell r="AS28">
            <v>4650</v>
          </cell>
          <cell r="AT28" t="str">
            <v>Parts &amp; Access. - Internal - Nissan</v>
          </cell>
          <cell r="AU28"/>
          <cell r="AV28"/>
          <cell r="AW28"/>
          <cell r="AX28"/>
          <cell r="AY28"/>
          <cell r="AZ28"/>
          <cell r="BA28"/>
          <cell r="BB28"/>
          <cell r="BC28"/>
          <cell r="BD28"/>
          <cell r="BE28"/>
          <cell r="BF28"/>
          <cell r="BG28"/>
          <cell r="BH28"/>
          <cell r="BI28"/>
          <cell r="BJ28"/>
          <cell r="BK28"/>
          <cell r="BL28" t="e">
            <v>#REF!</v>
          </cell>
          <cell r="BM28"/>
          <cell r="BN28"/>
          <cell r="BO28"/>
          <cell r="BP28"/>
          <cell r="BQ28">
            <v>562223</v>
          </cell>
          <cell r="BR28"/>
          <cell r="BS28"/>
          <cell r="BT28"/>
          <cell r="BU28"/>
          <cell r="BV28"/>
          <cell r="BW28"/>
          <cell r="BX28"/>
          <cell r="BY28" t="e">
            <v>#REF!</v>
          </cell>
          <cell r="BZ28"/>
          <cell r="CA28"/>
          <cell r="CB28"/>
          <cell r="CC28"/>
          <cell r="CD28">
            <v>143324</v>
          </cell>
          <cell r="CE28"/>
          <cell r="CF28"/>
          <cell r="CG28"/>
          <cell r="CH28"/>
          <cell r="CI28"/>
          <cell r="CJ28"/>
          <cell r="CK28"/>
          <cell r="CL28" t="e">
            <v>#REF!</v>
          </cell>
          <cell r="CM28"/>
          <cell r="CN28"/>
          <cell r="CO28"/>
          <cell r="CP28"/>
          <cell r="CQ28">
            <v>25.5</v>
          </cell>
          <cell r="CR28"/>
          <cell r="CS28"/>
          <cell r="CT28" t="e">
            <v>#REF!</v>
          </cell>
          <cell r="CU28"/>
          <cell r="CV28"/>
          <cell r="CW28"/>
          <cell r="CX28"/>
          <cell r="CY28" t="str">
            <v>24</v>
          </cell>
        </row>
        <row r="29">
          <cell r="B29" t="str">
            <v>25</v>
          </cell>
          <cell r="C29"/>
          <cell r="D29"/>
          <cell r="E29"/>
          <cell r="F29" t="e">
            <v>#REF!</v>
          </cell>
          <cell r="G29"/>
          <cell r="H29"/>
          <cell r="I29"/>
          <cell r="J29"/>
          <cell r="K29">
            <v>6813</v>
          </cell>
          <cell r="L29"/>
          <cell r="M29"/>
          <cell r="N29"/>
          <cell r="O29"/>
          <cell r="P29"/>
          <cell r="Q29"/>
          <cell r="R29"/>
          <cell r="S29" t="e">
            <v>#REF!</v>
          </cell>
          <cell r="T29"/>
          <cell r="U29"/>
          <cell r="V29"/>
          <cell r="W29"/>
          <cell r="X29">
            <v>1552</v>
          </cell>
          <cell r="Y29"/>
          <cell r="Z29"/>
          <cell r="AA29"/>
          <cell r="AB29"/>
          <cell r="AC29"/>
          <cell r="AD29"/>
          <cell r="AE29"/>
          <cell r="AF29" t="e">
            <v>#REF!</v>
          </cell>
          <cell r="AG29"/>
          <cell r="AH29"/>
          <cell r="AI29"/>
          <cell r="AJ29"/>
          <cell r="AK29">
            <v>22.8</v>
          </cell>
          <cell r="AL29"/>
          <cell r="AM29"/>
          <cell r="AN29" t="e">
            <v>#REF!</v>
          </cell>
          <cell r="AO29"/>
          <cell r="AP29"/>
          <cell r="AQ29"/>
          <cell r="AR29"/>
          <cell r="AS29">
            <v>4657</v>
          </cell>
          <cell r="AT29" t="str">
            <v>Tire Sales - Internal - Nissan</v>
          </cell>
          <cell r="AU29"/>
          <cell r="AV29"/>
          <cell r="AW29"/>
          <cell r="AX29"/>
          <cell r="AY29"/>
          <cell r="AZ29"/>
          <cell r="BA29"/>
          <cell r="BB29"/>
          <cell r="BC29"/>
          <cell r="BD29"/>
          <cell r="BE29"/>
          <cell r="BF29"/>
          <cell r="BG29"/>
          <cell r="BH29"/>
          <cell r="BI29"/>
          <cell r="BJ29"/>
          <cell r="BK29"/>
          <cell r="BL29" t="e">
            <v>#REF!</v>
          </cell>
          <cell r="BM29"/>
          <cell r="BN29"/>
          <cell r="BO29"/>
          <cell r="BP29"/>
          <cell r="BQ29">
            <v>109912</v>
          </cell>
          <cell r="BR29"/>
          <cell r="BS29"/>
          <cell r="BT29"/>
          <cell r="BU29"/>
          <cell r="BV29"/>
          <cell r="BW29"/>
          <cell r="BX29"/>
          <cell r="BY29" t="e">
            <v>#REF!</v>
          </cell>
          <cell r="BZ29"/>
          <cell r="CA29"/>
          <cell r="CB29"/>
          <cell r="CC29"/>
          <cell r="CD29">
            <v>24433</v>
          </cell>
          <cell r="CE29"/>
          <cell r="CF29"/>
          <cell r="CG29"/>
          <cell r="CH29"/>
          <cell r="CI29"/>
          <cell r="CJ29"/>
          <cell r="CK29"/>
          <cell r="CL29" t="e">
            <v>#REF!</v>
          </cell>
          <cell r="CM29"/>
          <cell r="CN29"/>
          <cell r="CO29"/>
          <cell r="CP29"/>
          <cell r="CQ29">
            <v>22.2</v>
          </cell>
          <cell r="CR29"/>
          <cell r="CS29"/>
          <cell r="CT29" t="e">
            <v>#REF!</v>
          </cell>
          <cell r="CU29"/>
          <cell r="CV29"/>
          <cell r="CW29"/>
          <cell r="CX29"/>
          <cell r="CY29" t="str">
            <v>25</v>
          </cell>
        </row>
        <row r="30">
          <cell r="B30" t="str">
            <v>26</v>
          </cell>
          <cell r="C30"/>
          <cell r="D30"/>
          <cell r="E30"/>
          <cell r="F30" t="e">
            <v>#REF!</v>
          </cell>
          <cell r="G30"/>
          <cell r="H30"/>
          <cell r="I30"/>
          <cell r="J30"/>
          <cell r="K30">
            <v>0</v>
          </cell>
          <cell r="L30"/>
          <cell r="M30"/>
          <cell r="N30"/>
          <cell r="O30"/>
          <cell r="P30"/>
          <cell r="Q30"/>
          <cell r="R30"/>
          <cell r="S30" t="e">
            <v>#REF!</v>
          </cell>
          <cell r="T30"/>
          <cell r="U30"/>
          <cell r="V30"/>
          <cell r="W30"/>
          <cell r="X30">
            <v>0</v>
          </cell>
          <cell r="Y30"/>
          <cell r="Z30"/>
          <cell r="AA30"/>
          <cell r="AB30"/>
          <cell r="AC30"/>
          <cell r="AD30"/>
          <cell r="AE30"/>
          <cell r="AF30" t="e">
            <v>#REF!</v>
          </cell>
          <cell r="AG30"/>
          <cell r="AH30"/>
          <cell r="AI30"/>
          <cell r="AJ30"/>
          <cell r="AK30">
            <v>0</v>
          </cell>
          <cell r="AL30"/>
          <cell r="AM30"/>
          <cell r="AN30" t="e">
            <v>#REF!</v>
          </cell>
          <cell r="AO30"/>
          <cell r="AP30"/>
          <cell r="AQ30"/>
          <cell r="AR30"/>
          <cell r="AS30">
            <v>4620</v>
          </cell>
          <cell r="AT30" t="str">
            <v>Parts &amp; Access. - R.O. Body Shop - Nissan</v>
          </cell>
          <cell r="AU30"/>
          <cell r="AV30"/>
          <cell r="AW30"/>
          <cell r="AX30"/>
          <cell r="AY30"/>
          <cell r="AZ30"/>
          <cell r="BA30"/>
          <cell r="BB30"/>
          <cell r="BC30"/>
          <cell r="BD30"/>
          <cell r="BE30"/>
          <cell r="BF30"/>
          <cell r="BG30"/>
          <cell r="BH30"/>
          <cell r="BI30"/>
          <cell r="BJ30"/>
          <cell r="BK30"/>
          <cell r="BL30" t="e">
            <v>#REF!</v>
          </cell>
          <cell r="BM30"/>
          <cell r="BN30"/>
          <cell r="BO30"/>
          <cell r="BP30"/>
          <cell r="BQ30">
            <v>0</v>
          </cell>
          <cell r="BR30"/>
          <cell r="BS30"/>
          <cell r="BT30"/>
          <cell r="BU30"/>
          <cell r="BV30"/>
          <cell r="BW30"/>
          <cell r="BX30"/>
          <cell r="BY30" t="e">
            <v>#REF!</v>
          </cell>
          <cell r="BZ30"/>
          <cell r="CA30"/>
          <cell r="CB30"/>
          <cell r="CC30"/>
          <cell r="CD30">
            <v>0</v>
          </cell>
          <cell r="CE30"/>
          <cell r="CF30"/>
          <cell r="CG30"/>
          <cell r="CH30"/>
          <cell r="CI30"/>
          <cell r="CJ30"/>
          <cell r="CK30"/>
          <cell r="CL30" t="e">
            <v>#REF!</v>
          </cell>
          <cell r="CM30"/>
          <cell r="CN30"/>
          <cell r="CO30"/>
          <cell r="CP30"/>
          <cell r="CQ30">
            <v>0</v>
          </cell>
          <cell r="CR30"/>
          <cell r="CS30"/>
          <cell r="CT30" t="e">
            <v>#REF!</v>
          </cell>
          <cell r="CU30"/>
          <cell r="CV30"/>
          <cell r="CW30"/>
          <cell r="CX30"/>
          <cell r="CY30" t="str">
            <v>26</v>
          </cell>
        </row>
        <row r="31">
          <cell r="B31" t="str">
            <v>27</v>
          </cell>
          <cell r="C31">
            <v>228</v>
          </cell>
          <cell r="D31"/>
          <cell r="E31"/>
          <cell r="F31" t="e">
            <v>#REF!</v>
          </cell>
          <cell r="G31"/>
          <cell r="H31"/>
          <cell r="I31"/>
          <cell r="J31"/>
          <cell r="K31">
            <v>14489</v>
          </cell>
          <cell r="L31"/>
          <cell r="M31"/>
          <cell r="N31"/>
          <cell r="O31"/>
          <cell r="P31"/>
          <cell r="Q31"/>
          <cell r="R31"/>
          <cell r="S31" t="e">
            <v>#REF!</v>
          </cell>
          <cell r="T31"/>
          <cell r="U31"/>
          <cell r="V31"/>
          <cell r="W31"/>
          <cell r="X31">
            <v>4195</v>
          </cell>
          <cell r="Y31"/>
          <cell r="Z31"/>
          <cell r="AA31"/>
          <cell r="AB31"/>
          <cell r="AC31"/>
          <cell r="AD31"/>
          <cell r="AE31"/>
          <cell r="AF31" t="e">
            <v>#REF!</v>
          </cell>
          <cell r="AG31"/>
          <cell r="AH31"/>
          <cell r="AI31"/>
          <cell r="AJ31"/>
          <cell r="AK31">
            <v>29</v>
          </cell>
          <cell r="AL31"/>
          <cell r="AM31"/>
          <cell r="AN31" t="e">
            <v>#REF!</v>
          </cell>
          <cell r="AO31"/>
          <cell r="AP31"/>
          <cell r="AQ31"/>
          <cell r="AR31"/>
          <cell r="AS31">
            <v>4660</v>
          </cell>
          <cell r="AT31" t="str">
            <v>Parts &amp; Access. - Counter Retail - Nissan</v>
          </cell>
          <cell r="AU31"/>
          <cell r="AV31"/>
          <cell r="AW31"/>
          <cell r="AX31"/>
          <cell r="AY31"/>
          <cell r="AZ31"/>
          <cell r="BA31"/>
          <cell r="BB31"/>
          <cell r="BC31"/>
          <cell r="BD31"/>
          <cell r="BE31"/>
          <cell r="BF31"/>
          <cell r="BG31"/>
          <cell r="BH31"/>
          <cell r="BI31">
            <v>2504</v>
          </cell>
          <cell r="BJ31"/>
          <cell r="BK31"/>
          <cell r="BL31" t="e">
            <v>#REF!</v>
          </cell>
          <cell r="BM31"/>
          <cell r="BN31"/>
          <cell r="BO31"/>
          <cell r="BP31"/>
          <cell r="BQ31">
            <v>150671</v>
          </cell>
          <cell r="BR31"/>
          <cell r="BS31"/>
          <cell r="BT31"/>
          <cell r="BU31"/>
          <cell r="BV31"/>
          <cell r="BW31"/>
          <cell r="BX31"/>
          <cell r="BY31" t="e">
            <v>#REF!</v>
          </cell>
          <cell r="BZ31"/>
          <cell r="CA31"/>
          <cell r="CB31"/>
          <cell r="CC31"/>
          <cell r="CD31">
            <v>49016</v>
          </cell>
          <cell r="CE31"/>
          <cell r="CF31"/>
          <cell r="CG31"/>
          <cell r="CH31"/>
          <cell r="CI31"/>
          <cell r="CJ31"/>
          <cell r="CK31"/>
          <cell r="CL31" t="e">
            <v>#REF!</v>
          </cell>
          <cell r="CM31"/>
          <cell r="CN31"/>
          <cell r="CO31"/>
          <cell r="CP31"/>
          <cell r="CQ31">
            <v>32.5</v>
          </cell>
          <cell r="CR31"/>
          <cell r="CS31"/>
          <cell r="CT31" t="e">
            <v>#REF!</v>
          </cell>
          <cell r="CU31"/>
          <cell r="CV31"/>
          <cell r="CW31"/>
          <cell r="CX31"/>
          <cell r="CY31" t="str">
            <v>27</v>
          </cell>
        </row>
        <row r="32">
          <cell r="B32" t="str">
            <v>28</v>
          </cell>
          <cell r="C32">
            <v>105</v>
          </cell>
          <cell r="D32"/>
          <cell r="E32"/>
          <cell r="F32" t="e">
            <v>#REF!</v>
          </cell>
          <cell r="G32"/>
          <cell r="H32"/>
          <cell r="I32"/>
          <cell r="J32"/>
          <cell r="K32">
            <v>7757</v>
          </cell>
          <cell r="L32"/>
          <cell r="M32"/>
          <cell r="N32"/>
          <cell r="O32"/>
          <cell r="P32"/>
          <cell r="Q32"/>
          <cell r="R32"/>
          <cell r="S32" t="e">
            <v>#REF!</v>
          </cell>
          <cell r="T32"/>
          <cell r="U32"/>
          <cell r="V32"/>
          <cell r="W32"/>
          <cell r="X32">
            <v>230</v>
          </cell>
          <cell r="Y32"/>
          <cell r="Z32"/>
          <cell r="AA32"/>
          <cell r="AB32"/>
          <cell r="AC32"/>
          <cell r="AD32"/>
          <cell r="AE32"/>
          <cell r="AF32" t="e">
            <v>#REF!</v>
          </cell>
          <cell r="AG32"/>
          <cell r="AH32"/>
          <cell r="AI32"/>
          <cell r="AJ32"/>
          <cell r="AK32">
            <v>3</v>
          </cell>
          <cell r="AL32"/>
          <cell r="AM32"/>
          <cell r="AN32" t="e">
            <v>#REF!</v>
          </cell>
          <cell r="AO32"/>
          <cell r="AP32"/>
          <cell r="AQ32"/>
          <cell r="AR32"/>
          <cell r="AS32">
            <v>4670</v>
          </cell>
          <cell r="AT32" t="str">
            <v>Parts &amp; Access. - Wholesale - Nissan</v>
          </cell>
          <cell r="AU32"/>
          <cell r="AV32"/>
          <cell r="AW32"/>
          <cell r="AX32"/>
          <cell r="AY32"/>
          <cell r="AZ32"/>
          <cell r="BA32"/>
          <cell r="BB32"/>
          <cell r="BC32"/>
          <cell r="BD32"/>
          <cell r="BE32"/>
          <cell r="BF32"/>
          <cell r="BG32"/>
          <cell r="BH32"/>
          <cell r="BI32">
            <v>1837</v>
          </cell>
          <cell r="BJ32"/>
          <cell r="BK32"/>
          <cell r="BL32" t="e">
            <v>#REF!</v>
          </cell>
          <cell r="BM32"/>
          <cell r="BN32"/>
          <cell r="BO32"/>
          <cell r="BP32"/>
          <cell r="BQ32">
            <v>296236</v>
          </cell>
          <cell r="BR32"/>
          <cell r="BS32"/>
          <cell r="BT32"/>
          <cell r="BU32"/>
          <cell r="BV32"/>
          <cell r="BW32"/>
          <cell r="BX32"/>
          <cell r="BY32" t="e">
            <v>#REF!</v>
          </cell>
          <cell r="BZ32"/>
          <cell r="CA32"/>
          <cell r="CB32"/>
          <cell r="CC32"/>
          <cell r="CD32">
            <v>67620</v>
          </cell>
          <cell r="CE32"/>
          <cell r="CF32"/>
          <cell r="CG32"/>
          <cell r="CH32"/>
          <cell r="CI32"/>
          <cell r="CJ32"/>
          <cell r="CK32"/>
          <cell r="CL32" t="e">
            <v>#REF!</v>
          </cell>
          <cell r="CM32"/>
          <cell r="CN32"/>
          <cell r="CO32"/>
          <cell r="CP32"/>
          <cell r="CQ32">
            <v>22.8</v>
          </cell>
          <cell r="CR32"/>
          <cell r="CS32"/>
          <cell r="CT32" t="e">
            <v>#REF!</v>
          </cell>
          <cell r="CU32"/>
          <cell r="CV32"/>
          <cell r="CW32"/>
          <cell r="CX32"/>
          <cell r="CY32" t="str">
            <v>28</v>
          </cell>
        </row>
        <row r="33">
          <cell r="B33" t="str">
            <v>29</v>
          </cell>
          <cell r="C33">
            <v>333</v>
          </cell>
          <cell r="D33"/>
          <cell r="E33"/>
          <cell r="F33" t="e">
            <v>#REF!</v>
          </cell>
          <cell r="G33"/>
          <cell r="H33"/>
          <cell r="I33"/>
          <cell r="J33"/>
          <cell r="K33">
            <v>247046</v>
          </cell>
          <cell r="L33"/>
          <cell r="M33"/>
          <cell r="N33"/>
          <cell r="O33"/>
          <cell r="P33"/>
          <cell r="Q33"/>
          <cell r="R33"/>
          <cell r="S33" t="e">
            <v>#REF!</v>
          </cell>
          <cell r="T33"/>
          <cell r="U33"/>
          <cell r="V33"/>
          <cell r="W33"/>
          <cell r="X33">
            <v>72710</v>
          </cell>
          <cell r="Y33"/>
          <cell r="Z33"/>
          <cell r="AA33"/>
          <cell r="AB33"/>
          <cell r="AC33"/>
          <cell r="AD33"/>
          <cell r="AE33"/>
          <cell r="AF33" t="e">
            <v>#REF!</v>
          </cell>
          <cell r="AG33"/>
          <cell r="AH33"/>
          <cell r="AI33"/>
          <cell r="AJ33"/>
          <cell r="AK33">
            <v>29.4</v>
          </cell>
          <cell r="AL33"/>
          <cell r="AM33"/>
          <cell r="AN33" t="e">
            <v>#REF!</v>
          </cell>
          <cell r="AO33"/>
          <cell r="AP33"/>
          <cell r="AQ33"/>
          <cell r="AR33"/>
          <cell r="AS33"/>
          <cell r="AT33" t="str">
            <v>SUBTOTAL - P &amp; A NISSAN</v>
          </cell>
          <cell r="AU33"/>
          <cell r="AV33"/>
          <cell r="AW33"/>
          <cell r="AX33"/>
          <cell r="AY33"/>
          <cell r="AZ33"/>
          <cell r="BA33"/>
          <cell r="BB33"/>
          <cell r="BC33"/>
          <cell r="BD33"/>
          <cell r="BE33"/>
          <cell r="BF33"/>
          <cell r="BG33"/>
          <cell r="BH33" t="str">
            <v xml:space="preserve">(Lines 19 to 28) </v>
          </cell>
          <cell r="BI33">
            <v>4341</v>
          </cell>
          <cell r="BJ33"/>
          <cell r="BK33"/>
          <cell r="BL33" t="e">
            <v>#REF!</v>
          </cell>
          <cell r="BM33"/>
          <cell r="BN33"/>
          <cell r="BO33"/>
          <cell r="BP33"/>
          <cell r="BQ33">
            <v>3204384</v>
          </cell>
          <cell r="BR33"/>
          <cell r="BS33"/>
          <cell r="BT33"/>
          <cell r="BU33"/>
          <cell r="BV33"/>
          <cell r="BW33"/>
          <cell r="BX33"/>
          <cell r="BY33" t="e">
            <v>#REF!</v>
          </cell>
          <cell r="BZ33"/>
          <cell r="CA33"/>
          <cell r="CB33"/>
          <cell r="CC33"/>
          <cell r="CD33">
            <v>1015358</v>
          </cell>
          <cell r="CE33"/>
          <cell r="CF33"/>
          <cell r="CG33"/>
          <cell r="CH33"/>
          <cell r="CI33"/>
          <cell r="CJ33"/>
          <cell r="CK33"/>
          <cell r="CL33" t="e">
            <v>#REF!</v>
          </cell>
          <cell r="CM33"/>
          <cell r="CN33"/>
          <cell r="CO33"/>
          <cell r="CP33"/>
          <cell r="CQ33">
            <v>31.7</v>
          </cell>
          <cell r="CR33"/>
          <cell r="CS33"/>
          <cell r="CT33" t="e">
            <v>#REF!</v>
          </cell>
          <cell r="CU33"/>
          <cell r="CV33"/>
          <cell r="CW33"/>
          <cell r="CX33"/>
          <cell r="CY33" t="str">
            <v>29</v>
          </cell>
        </row>
        <row r="34">
          <cell r="B34" t="str">
            <v>30</v>
          </cell>
          <cell r="C34"/>
          <cell r="D34"/>
          <cell r="E34"/>
          <cell r="F34" t="e">
            <v>#REF!</v>
          </cell>
          <cell r="G34"/>
          <cell r="H34"/>
          <cell r="I34"/>
          <cell r="J34"/>
          <cell r="K34">
            <v>116</v>
          </cell>
          <cell r="L34"/>
          <cell r="M34"/>
          <cell r="N34"/>
          <cell r="O34"/>
          <cell r="P34"/>
          <cell r="Q34"/>
          <cell r="R34"/>
          <cell r="S34" t="e">
            <v>#REF!</v>
          </cell>
          <cell r="T34"/>
          <cell r="U34"/>
          <cell r="V34"/>
          <cell r="W34"/>
          <cell r="X34">
            <v>31</v>
          </cell>
          <cell r="Y34"/>
          <cell r="Z34"/>
          <cell r="AA34"/>
          <cell r="AB34"/>
          <cell r="AC34"/>
          <cell r="AD34"/>
          <cell r="AE34"/>
          <cell r="AF34" t="e">
            <v>#REF!</v>
          </cell>
          <cell r="AG34"/>
          <cell r="AH34"/>
          <cell r="AI34"/>
          <cell r="AJ34"/>
          <cell r="AK34">
            <v>26.7</v>
          </cell>
          <cell r="AL34"/>
          <cell r="AM34"/>
          <cell r="AN34" t="e">
            <v>#REF!</v>
          </cell>
          <cell r="AO34"/>
          <cell r="AP34"/>
          <cell r="AQ34"/>
          <cell r="AR34"/>
          <cell r="AS34">
            <v>4602</v>
          </cell>
          <cell r="AT34" t="str">
            <v>Express Service - Parts &amp; Access. R.O. - Nissan</v>
          </cell>
          <cell r="AU34"/>
          <cell r="AV34"/>
          <cell r="AW34"/>
          <cell r="AX34"/>
          <cell r="AY34"/>
          <cell r="AZ34"/>
          <cell r="BA34"/>
          <cell r="BB34"/>
          <cell r="BC34"/>
          <cell r="BD34"/>
          <cell r="BE34"/>
          <cell r="BF34"/>
          <cell r="BG34"/>
          <cell r="BH34"/>
          <cell r="BI34"/>
          <cell r="BJ34"/>
          <cell r="BK34"/>
          <cell r="BL34" t="e">
            <v>#REF!</v>
          </cell>
          <cell r="BM34"/>
          <cell r="BN34"/>
          <cell r="BO34"/>
          <cell r="BP34"/>
          <cell r="BQ34">
            <v>8179</v>
          </cell>
          <cell r="BR34"/>
          <cell r="BS34"/>
          <cell r="BT34"/>
          <cell r="BU34"/>
          <cell r="BV34"/>
          <cell r="BW34"/>
          <cell r="BX34"/>
          <cell r="BY34" t="e">
            <v>#REF!</v>
          </cell>
          <cell r="BZ34"/>
          <cell r="CA34"/>
          <cell r="CB34"/>
          <cell r="CC34"/>
          <cell r="CD34">
            <v>2954</v>
          </cell>
          <cell r="CE34"/>
          <cell r="CF34"/>
          <cell r="CG34"/>
          <cell r="CH34"/>
          <cell r="CI34"/>
          <cell r="CJ34"/>
          <cell r="CK34"/>
          <cell r="CL34" t="e">
            <v>#REF!</v>
          </cell>
          <cell r="CM34"/>
          <cell r="CN34"/>
          <cell r="CO34"/>
          <cell r="CP34"/>
          <cell r="CQ34">
            <v>36.1</v>
          </cell>
          <cell r="CR34"/>
          <cell r="CS34"/>
          <cell r="CT34" t="e">
            <v>#REF!</v>
          </cell>
          <cell r="CU34"/>
          <cell r="CV34"/>
          <cell r="CW34"/>
          <cell r="CX34"/>
          <cell r="CY34" t="str">
            <v>30</v>
          </cell>
        </row>
        <row r="35">
          <cell r="B35" t="str">
            <v>31</v>
          </cell>
          <cell r="C35"/>
          <cell r="D35"/>
          <cell r="E35"/>
          <cell r="F35" t="e">
            <v>#REF!</v>
          </cell>
          <cell r="G35"/>
          <cell r="H35"/>
          <cell r="I35"/>
          <cell r="J35"/>
          <cell r="K35">
            <v>14962</v>
          </cell>
          <cell r="L35"/>
          <cell r="M35"/>
          <cell r="N35"/>
          <cell r="O35"/>
          <cell r="P35"/>
          <cell r="Q35"/>
          <cell r="R35"/>
          <cell r="S35" t="e">
            <v>#REF!</v>
          </cell>
          <cell r="T35"/>
          <cell r="U35"/>
          <cell r="V35"/>
          <cell r="W35"/>
          <cell r="X35">
            <v>7081</v>
          </cell>
          <cell r="Y35"/>
          <cell r="Z35"/>
          <cell r="AA35"/>
          <cell r="AB35"/>
          <cell r="AC35"/>
          <cell r="AD35"/>
          <cell r="AE35"/>
          <cell r="AF35" t="e">
            <v>#REF!</v>
          </cell>
          <cell r="AG35"/>
          <cell r="AH35"/>
          <cell r="AI35"/>
          <cell r="AJ35"/>
          <cell r="AK35">
            <v>47.3</v>
          </cell>
          <cell r="AL35"/>
          <cell r="AM35"/>
          <cell r="AN35" t="e">
            <v>#REF!</v>
          </cell>
          <cell r="AO35"/>
          <cell r="AP35"/>
          <cell r="AQ35"/>
          <cell r="AR35"/>
          <cell r="AS35">
            <v>4606</v>
          </cell>
          <cell r="AT35" t="str">
            <v>Express Service - Svc. / Maint Contract Parts - Nissan</v>
          </cell>
          <cell r="AU35"/>
          <cell r="AV35"/>
          <cell r="AW35"/>
          <cell r="AX35"/>
          <cell r="AY35"/>
          <cell r="AZ35"/>
          <cell r="BA35"/>
          <cell r="BB35"/>
          <cell r="BC35"/>
          <cell r="BD35"/>
          <cell r="BE35"/>
          <cell r="BF35"/>
          <cell r="BG35"/>
          <cell r="BH35"/>
          <cell r="BI35"/>
          <cell r="BJ35"/>
          <cell r="BK35"/>
          <cell r="BL35" t="e">
            <v>#REF!</v>
          </cell>
          <cell r="BM35"/>
          <cell r="BN35"/>
          <cell r="BO35"/>
          <cell r="BP35"/>
          <cell r="BQ35">
            <v>149059</v>
          </cell>
          <cell r="BR35"/>
          <cell r="BS35"/>
          <cell r="BT35"/>
          <cell r="BU35"/>
          <cell r="BV35"/>
          <cell r="BW35"/>
          <cell r="BX35"/>
          <cell r="BY35" t="e">
            <v>#REF!</v>
          </cell>
          <cell r="BZ35"/>
          <cell r="CA35"/>
          <cell r="CB35"/>
          <cell r="CC35"/>
          <cell r="CD35">
            <v>61279</v>
          </cell>
          <cell r="CE35"/>
          <cell r="CF35"/>
          <cell r="CG35"/>
          <cell r="CH35"/>
          <cell r="CI35"/>
          <cell r="CJ35"/>
          <cell r="CK35"/>
          <cell r="CL35" t="e">
            <v>#REF!</v>
          </cell>
          <cell r="CM35"/>
          <cell r="CN35"/>
          <cell r="CO35"/>
          <cell r="CP35"/>
          <cell r="CQ35">
            <v>41.1</v>
          </cell>
          <cell r="CR35"/>
          <cell r="CS35"/>
          <cell r="CT35" t="e">
            <v>#REF!</v>
          </cell>
          <cell r="CU35"/>
          <cell r="CV35"/>
          <cell r="CW35"/>
          <cell r="CX35"/>
          <cell r="CY35" t="str">
            <v>31</v>
          </cell>
        </row>
        <row r="36">
          <cell r="B36" t="str">
            <v>32</v>
          </cell>
          <cell r="C36"/>
          <cell r="D36"/>
          <cell r="E36"/>
          <cell r="F36" t="e">
            <v>#REF!</v>
          </cell>
          <cell r="G36"/>
          <cell r="H36"/>
          <cell r="I36"/>
          <cell r="J36"/>
          <cell r="K36">
            <v>0</v>
          </cell>
          <cell r="L36"/>
          <cell r="M36"/>
          <cell r="N36"/>
          <cell r="O36"/>
          <cell r="P36"/>
          <cell r="Q36"/>
          <cell r="R36"/>
          <cell r="S36" t="e">
            <v>#REF!</v>
          </cell>
          <cell r="T36"/>
          <cell r="U36"/>
          <cell r="V36"/>
          <cell r="W36"/>
          <cell r="X36">
            <v>0</v>
          </cell>
          <cell r="Y36"/>
          <cell r="Z36"/>
          <cell r="AA36"/>
          <cell r="AB36"/>
          <cell r="AC36"/>
          <cell r="AD36"/>
          <cell r="AE36"/>
          <cell r="AF36" t="e">
            <v>#REF!</v>
          </cell>
          <cell r="AG36"/>
          <cell r="AH36"/>
          <cell r="AI36"/>
          <cell r="AJ36"/>
          <cell r="AK36">
            <v>0</v>
          </cell>
          <cell r="AL36"/>
          <cell r="AM36"/>
          <cell r="AN36" t="e">
            <v>#REF!</v>
          </cell>
          <cell r="AO36"/>
          <cell r="AP36"/>
          <cell r="AQ36"/>
          <cell r="AR36"/>
          <cell r="AS36">
            <v>4643</v>
          </cell>
          <cell r="AT36" t="str">
            <v>Express Service Warranty Parts - Nissan</v>
          </cell>
          <cell r="AU36"/>
          <cell r="AV36"/>
          <cell r="AW36"/>
          <cell r="AX36"/>
          <cell r="AY36"/>
          <cell r="AZ36"/>
          <cell r="BA36"/>
          <cell r="BB36"/>
          <cell r="BC36"/>
          <cell r="BD36"/>
          <cell r="BE36"/>
          <cell r="BF36"/>
          <cell r="BG36"/>
          <cell r="BH36"/>
          <cell r="BI36"/>
          <cell r="BJ36"/>
          <cell r="BK36"/>
          <cell r="BL36" t="e">
            <v>#REF!</v>
          </cell>
          <cell r="BM36"/>
          <cell r="BN36"/>
          <cell r="BO36"/>
          <cell r="BP36"/>
          <cell r="BQ36">
            <v>0</v>
          </cell>
          <cell r="BR36"/>
          <cell r="BS36"/>
          <cell r="BT36"/>
          <cell r="BU36"/>
          <cell r="BV36"/>
          <cell r="BW36"/>
          <cell r="BX36"/>
          <cell r="BY36" t="e">
            <v>#REF!</v>
          </cell>
          <cell r="BZ36"/>
          <cell r="CA36"/>
          <cell r="CB36"/>
          <cell r="CC36"/>
          <cell r="CD36">
            <v>0</v>
          </cell>
          <cell r="CE36"/>
          <cell r="CF36"/>
          <cell r="CG36"/>
          <cell r="CH36"/>
          <cell r="CI36"/>
          <cell r="CJ36"/>
          <cell r="CK36"/>
          <cell r="CL36" t="e">
            <v>#REF!</v>
          </cell>
          <cell r="CM36"/>
          <cell r="CN36"/>
          <cell r="CO36"/>
          <cell r="CP36"/>
          <cell r="CQ36">
            <v>0</v>
          </cell>
          <cell r="CR36"/>
          <cell r="CS36"/>
          <cell r="CT36" t="e">
            <v>#REF!</v>
          </cell>
          <cell r="CU36"/>
          <cell r="CV36"/>
          <cell r="CW36"/>
          <cell r="CX36"/>
          <cell r="CY36" t="str">
            <v>32</v>
          </cell>
        </row>
        <row r="37">
          <cell r="B37" t="str">
            <v>33</v>
          </cell>
          <cell r="C37"/>
          <cell r="D37"/>
          <cell r="E37"/>
          <cell r="F37" t="e">
            <v>#REF!</v>
          </cell>
          <cell r="G37"/>
          <cell r="H37"/>
          <cell r="I37"/>
          <cell r="J37"/>
          <cell r="K37">
            <v>0</v>
          </cell>
          <cell r="L37"/>
          <cell r="M37"/>
          <cell r="N37"/>
          <cell r="O37"/>
          <cell r="P37"/>
          <cell r="Q37"/>
          <cell r="R37"/>
          <cell r="S37" t="e">
            <v>#REF!</v>
          </cell>
          <cell r="T37"/>
          <cell r="U37"/>
          <cell r="V37"/>
          <cell r="W37"/>
          <cell r="X37">
            <v>0</v>
          </cell>
          <cell r="Y37"/>
          <cell r="Z37"/>
          <cell r="AA37"/>
          <cell r="AB37"/>
          <cell r="AC37"/>
          <cell r="AD37"/>
          <cell r="AE37"/>
          <cell r="AF37" t="e">
            <v>#REF!</v>
          </cell>
          <cell r="AG37"/>
          <cell r="AH37"/>
          <cell r="AI37"/>
          <cell r="AJ37"/>
          <cell r="AK37">
            <v>0</v>
          </cell>
          <cell r="AL37"/>
          <cell r="AM37"/>
          <cell r="AN37" t="e">
            <v>#REF!</v>
          </cell>
          <cell r="AO37"/>
          <cell r="AP37"/>
          <cell r="AQ37"/>
          <cell r="AR37"/>
          <cell r="AS37">
            <v>4653</v>
          </cell>
          <cell r="AT37" t="str">
            <v>Express Service - Internal Parts - Nissan</v>
          </cell>
          <cell r="AU37"/>
          <cell r="AV37"/>
          <cell r="AW37"/>
          <cell r="AX37"/>
          <cell r="AY37"/>
          <cell r="AZ37"/>
          <cell r="BA37"/>
          <cell r="BB37"/>
          <cell r="BC37"/>
          <cell r="BD37"/>
          <cell r="BE37"/>
          <cell r="BF37"/>
          <cell r="BG37"/>
          <cell r="BH37"/>
          <cell r="BI37"/>
          <cell r="BJ37"/>
          <cell r="BK37"/>
          <cell r="BL37" t="e">
            <v>#REF!</v>
          </cell>
          <cell r="BM37"/>
          <cell r="BN37"/>
          <cell r="BO37"/>
          <cell r="BP37"/>
          <cell r="BQ37">
            <v>0</v>
          </cell>
          <cell r="BR37"/>
          <cell r="BS37"/>
          <cell r="BT37"/>
          <cell r="BU37"/>
          <cell r="BV37"/>
          <cell r="BW37"/>
          <cell r="BX37"/>
          <cell r="BY37" t="e">
            <v>#REF!</v>
          </cell>
          <cell r="BZ37"/>
          <cell r="CA37"/>
          <cell r="CB37"/>
          <cell r="CC37"/>
          <cell r="CD37">
            <v>0</v>
          </cell>
          <cell r="CE37"/>
          <cell r="CF37"/>
          <cell r="CG37"/>
          <cell r="CH37"/>
          <cell r="CI37"/>
          <cell r="CJ37"/>
          <cell r="CK37"/>
          <cell r="CL37" t="e">
            <v>#REF!</v>
          </cell>
          <cell r="CM37"/>
          <cell r="CN37"/>
          <cell r="CO37"/>
          <cell r="CP37"/>
          <cell r="CQ37">
            <v>0</v>
          </cell>
          <cell r="CR37"/>
          <cell r="CS37"/>
          <cell r="CT37" t="e">
            <v>#REF!</v>
          </cell>
          <cell r="CU37"/>
          <cell r="CV37"/>
          <cell r="CW37"/>
          <cell r="CX37"/>
          <cell r="CY37" t="str">
            <v>33</v>
          </cell>
        </row>
        <row r="38">
          <cell r="B38" t="str">
            <v>34</v>
          </cell>
          <cell r="C38"/>
          <cell r="D38"/>
          <cell r="E38"/>
          <cell r="F38"/>
          <cell r="G38"/>
          <cell r="H38"/>
          <cell r="I38"/>
          <cell r="J38"/>
          <cell r="K38">
            <v>0</v>
          </cell>
          <cell r="L38"/>
          <cell r="M38"/>
          <cell r="N38"/>
          <cell r="O38"/>
          <cell r="P38"/>
          <cell r="Q38"/>
          <cell r="R38"/>
          <cell r="S38" t="e">
            <v>#REF!</v>
          </cell>
          <cell r="T38"/>
          <cell r="U38"/>
          <cell r="V38"/>
          <cell r="W38"/>
          <cell r="X38">
            <v>0</v>
          </cell>
          <cell r="Y38"/>
          <cell r="Z38"/>
          <cell r="AA38"/>
          <cell r="AB38"/>
          <cell r="AC38"/>
          <cell r="AD38"/>
          <cell r="AE38"/>
          <cell r="AF38" t="e">
            <v>#REF!</v>
          </cell>
          <cell r="AG38"/>
          <cell r="AH38"/>
          <cell r="AI38"/>
          <cell r="AJ38"/>
          <cell r="AK38">
            <v>0</v>
          </cell>
          <cell r="AL38"/>
          <cell r="AM38"/>
          <cell r="AN38"/>
          <cell r="AO38"/>
          <cell r="AP38"/>
          <cell r="AQ38"/>
          <cell r="AR38"/>
          <cell r="AS38">
            <v>4667</v>
          </cell>
          <cell r="AT38" t="str">
            <v>Express Service - Tire Sales - R.O. - Nissan</v>
          </cell>
          <cell r="AU38"/>
          <cell r="AV38"/>
          <cell r="AW38"/>
          <cell r="AX38"/>
          <cell r="AY38"/>
          <cell r="AZ38"/>
          <cell r="BA38"/>
          <cell r="BB38"/>
          <cell r="BC38"/>
          <cell r="BD38"/>
          <cell r="BE38"/>
          <cell r="BF38"/>
          <cell r="BG38"/>
          <cell r="BH38"/>
          <cell r="BI38"/>
          <cell r="BJ38"/>
          <cell r="BK38"/>
          <cell r="BL38"/>
          <cell r="BM38"/>
          <cell r="BN38"/>
          <cell r="BO38"/>
          <cell r="BP38"/>
          <cell r="BQ38">
            <v>4547</v>
          </cell>
          <cell r="BR38"/>
          <cell r="BS38"/>
          <cell r="BT38"/>
          <cell r="BU38"/>
          <cell r="BV38"/>
          <cell r="BW38"/>
          <cell r="BX38"/>
          <cell r="BY38" t="e">
            <v>#REF!</v>
          </cell>
          <cell r="BZ38"/>
          <cell r="CA38"/>
          <cell r="CB38"/>
          <cell r="CC38"/>
          <cell r="CD38">
            <v>697</v>
          </cell>
          <cell r="CE38"/>
          <cell r="CF38"/>
          <cell r="CG38"/>
          <cell r="CH38"/>
          <cell r="CI38"/>
          <cell r="CJ38"/>
          <cell r="CK38"/>
          <cell r="CL38" t="e">
            <v>#REF!</v>
          </cell>
          <cell r="CM38"/>
          <cell r="CN38"/>
          <cell r="CO38"/>
          <cell r="CP38"/>
          <cell r="CQ38">
            <v>15.3</v>
          </cell>
          <cell r="CR38"/>
          <cell r="CS38"/>
          <cell r="CT38" t="e">
            <v>#REF!</v>
          </cell>
          <cell r="CU38"/>
          <cell r="CV38"/>
          <cell r="CW38"/>
          <cell r="CX38"/>
          <cell r="CY38" t="str">
            <v>34</v>
          </cell>
        </row>
        <row r="39">
          <cell r="B39" t="str">
            <v>35</v>
          </cell>
          <cell r="C39"/>
          <cell r="D39"/>
          <cell r="E39"/>
          <cell r="F39"/>
          <cell r="G39"/>
          <cell r="H39"/>
          <cell r="I39"/>
          <cell r="J39"/>
          <cell r="K39">
            <v>15078</v>
          </cell>
          <cell r="L39"/>
          <cell r="M39"/>
          <cell r="N39"/>
          <cell r="O39"/>
          <cell r="P39"/>
          <cell r="Q39"/>
          <cell r="R39"/>
          <cell r="S39" t="e">
            <v>#REF!</v>
          </cell>
          <cell r="T39"/>
          <cell r="U39"/>
          <cell r="V39"/>
          <cell r="W39"/>
          <cell r="X39">
            <v>7112</v>
          </cell>
          <cell r="Y39"/>
          <cell r="Z39"/>
          <cell r="AA39"/>
          <cell r="AB39"/>
          <cell r="AC39"/>
          <cell r="AD39"/>
          <cell r="AE39"/>
          <cell r="AF39" t="e">
            <v>#REF!</v>
          </cell>
          <cell r="AG39"/>
          <cell r="AH39"/>
          <cell r="AI39"/>
          <cell r="AJ39"/>
          <cell r="AK39">
            <v>47.2</v>
          </cell>
          <cell r="AL39"/>
          <cell r="AM39"/>
          <cell r="AN39"/>
          <cell r="AO39"/>
          <cell r="AP39"/>
          <cell r="AQ39"/>
          <cell r="AR39"/>
          <cell r="AS39"/>
          <cell r="AT39" t="str">
            <v>SUBTOTAL - ES P &amp; A NISSAN</v>
          </cell>
          <cell r="AU39"/>
          <cell r="AV39"/>
          <cell r="AW39"/>
          <cell r="AX39"/>
          <cell r="AY39"/>
          <cell r="AZ39"/>
          <cell r="BA39"/>
          <cell r="BB39"/>
          <cell r="BC39"/>
          <cell r="BD39"/>
          <cell r="BE39"/>
          <cell r="BF39"/>
          <cell r="BG39"/>
          <cell r="BH39" t="str">
            <v>(Lines 30 to 34)</v>
          </cell>
          <cell r="BI39"/>
          <cell r="BJ39"/>
          <cell r="BK39"/>
          <cell r="BL39"/>
          <cell r="BM39"/>
          <cell r="BN39"/>
          <cell r="BO39"/>
          <cell r="BP39"/>
          <cell r="BQ39">
            <v>161785</v>
          </cell>
          <cell r="BR39"/>
          <cell r="BS39"/>
          <cell r="BT39"/>
          <cell r="BU39"/>
          <cell r="BV39"/>
          <cell r="BW39"/>
          <cell r="BX39"/>
          <cell r="BY39" t="e">
            <v>#REF!</v>
          </cell>
          <cell r="BZ39"/>
          <cell r="CA39"/>
          <cell r="CB39"/>
          <cell r="CC39"/>
          <cell r="CD39">
            <v>64930</v>
          </cell>
          <cell r="CE39"/>
          <cell r="CF39"/>
          <cell r="CG39"/>
          <cell r="CH39"/>
          <cell r="CI39"/>
          <cell r="CJ39"/>
          <cell r="CK39"/>
          <cell r="CL39" t="e">
            <v>#REF!</v>
          </cell>
          <cell r="CM39"/>
          <cell r="CN39"/>
          <cell r="CO39"/>
          <cell r="CP39"/>
          <cell r="CQ39">
            <v>40.1</v>
          </cell>
          <cell r="CR39"/>
          <cell r="CS39"/>
          <cell r="CT39" t="e">
            <v>#REF!</v>
          </cell>
          <cell r="CU39"/>
          <cell r="CV39"/>
          <cell r="CW39"/>
          <cell r="CX39"/>
          <cell r="CY39" t="str">
            <v>35</v>
          </cell>
        </row>
        <row r="40">
          <cell r="B40" t="str">
            <v>36</v>
          </cell>
          <cell r="C40"/>
          <cell r="D40"/>
          <cell r="E40"/>
          <cell r="F40" t="e">
            <v>#REF!</v>
          </cell>
          <cell r="G40"/>
          <cell r="H40"/>
          <cell r="I40"/>
          <cell r="J40"/>
          <cell r="K40">
            <v>0</v>
          </cell>
          <cell r="L40"/>
          <cell r="M40"/>
          <cell r="N40"/>
          <cell r="O40"/>
          <cell r="P40"/>
          <cell r="Q40"/>
          <cell r="R40"/>
          <cell r="S40" t="e">
            <v>#REF!</v>
          </cell>
          <cell r="T40"/>
          <cell r="U40"/>
          <cell r="V40"/>
          <cell r="W40"/>
          <cell r="X40">
            <v>0</v>
          </cell>
          <cell r="Y40"/>
          <cell r="Z40"/>
          <cell r="AA40"/>
          <cell r="AB40"/>
          <cell r="AC40"/>
          <cell r="AD40"/>
          <cell r="AE40"/>
          <cell r="AF40" t="e">
            <v>#REF!</v>
          </cell>
          <cell r="AG40"/>
          <cell r="AH40"/>
          <cell r="AI40"/>
          <cell r="AJ40"/>
          <cell r="AK40">
            <v>0</v>
          </cell>
          <cell r="AL40"/>
          <cell r="AM40"/>
          <cell r="AN40" t="e">
            <v>#REF!</v>
          </cell>
          <cell r="AO40"/>
          <cell r="AP40"/>
          <cell r="AQ40"/>
          <cell r="AR40"/>
          <cell r="AS40">
            <v>4630</v>
          </cell>
          <cell r="AT40" t="str">
            <v>Parts &amp; Access. - R.O. -  NCV</v>
          </cell>
          <cell r="AU40"/>
          <cell r="AV40"/>
          <cell r="AW40"/>
          <cell r="AX40"/>
          <cell r="AY40"/>
          <cell r="AZ40"/>
          <cell r="BA40"/>
          <cell r="BB40"/>
          <cell r="BC40"/>
          <cell r="BD40"/>
          <cell r="BE40"/>
          <cell r="BF40"/>
          <cell r="BG40"/>
          <cell r="BH40"/>
          <cell r="BI40"/>
          <cell r="BJ40"/>
          <cell r="BK40"/>
          <cell r="BL40" t="e">
            <v>#REF!</v>
          </cell>
          <cell r="BM40"/>
          <cell r="BN40"/>
          <cell r="BO40"/>
          <cell r="BP40"/>
          <cell r="BQ40">
            <v>0</v>
          </cell>
          <cell r="BR40"/>
          <cell r="BS40"/>
          <cell r="BT40"/>
          <cell r="BU40"/>
          <cell r="BV40"/>
          <cell r="BW40"/>
          <cell r="BX40"/>
          <cell r="BY40" t="e">
            <v>#REF!</v>
          </cell>
          <cell r="BZ40"/>
          <cell r="CA40"/>
          <cell r="CB40"/>
          <cell r="CC40"/>
          <cell r="CD40">
            <v>0</v>
          </cell>
          <cell r="CE40"/>
          <cell r="CF40"/>
          <cell r="CG40"/>
          <cell r="CH40"/>
          <cell r="CI40"/>
          <cell r="CJ40"/>
          <cell r="CK40"/>
          <cell r="CL40" t="e">
            <v>#REF!</v>
          </cell>
          <cell r="CM40"/>
          <cell r="CN40"/>
          <cell r="CO40"/>
          <cell r="CP40"/>
          <cell r="CQ40">
            <v>0</v>
          </cell>
          <cell r="CR40"/>
          <cell r="CS40"/>
          <cell r="CT40" t="e">
            <v>#REF!</v>
          </cell>
          <cell r="CU40"/>
          <cell r="CV40"/>
          <cell r="CW40"/>
          <cell r="CX40"/>
          <cell r="CY40" t="str">
            <v>36</v>
          </cell>
        </row>
        <row r="41">
          <cell r="B41" t="str">
            <v>37</v>
          </cell>
          <cell r="C41"/>
          <cell r="D41"/>
          <cell r="E41"/>
          <cell r="F41" t="e">
            <v>#REF!</v>
          </cell>
          <cell r="G41"/>
          <cell r="H41"/>
          <cell r="I41"/>
          <cell r="J41"/>
          <cell r="K41">
            <v>0</v>
          </cell>
          <cell r="L41"/>
          <cell r="M41"/>
          <cell r="N41"/>
          <cell r="O41"/>
          <cell r="P41"/>
          <cell r="Q41"/>
          <cell r="R41"/>
          <cell r="S41" t="e">
            <v>#REF!</v>
          </cell>
          <cell r="T41"/>
          <cell r="U41"/>
          <cell r="V41"/>
          <cell r="W41"/>
          <cell r="X41">
            <v>0</v>
          </cell>
          <cell r="Y41"/>
          <cell r="Z41"/>
          <cell r="AA41"/>
          <cell r="AB41"/>
          <cell r="AC41"/>
          <cell r="AD41"/>
          <cell r="AE41"/>
          <cell r="AF41" t="e">
            <v>#REF!</v>
          </cell>
          <cell r="AG41"/>
          <cell r="AH41"/>
          <cell r="AI41"/>
          <cell r="AJ41"/>
          <cell r="AK41">
            <v>0</v>
          </cell>
          <cell r="AL41"/>
          <cell r="AM41"/>
          <cell r="AN41" t="e">
            <v>#REF!</v>
          </cell>
          <cell r="AO41"/>
          <cell r="AP41"/>
          <cell r="AQ41"/>
          <cell r="AR41"/>
          <cell r="AS41">
            <v>4632</v>
          </cell>
          <cell r="AT41" t="str">
            <v>Express Service - Parts - NCV</v>
          </cell>
          <cell r="AU41"/>
          <cell r="AV41"/>
          <cell r="AW41"/>
          <cell r="AX41"/>
          <cell r="AY41"/>
          <cell r="AZ41"/>
          <cell r="BA41"/>
          <cell r="BB41"/>
          <cell r="BC41"/>
          <cell r="BD41"/>
          <cell r="BE41"/>
          <cell r="BF41"/>
          <cell r="BG41"/>
          <cell r="BH41"/>
          <cell r="BI41"/>
          <cell r="BJ41"/>
          <cell r="BK41"/>
          <cell r="BL41" t="e">
            <v>#REF!</v>
          </cell>
          <cell r="BM41"/>
          <cell r="BN41"/>
          <cell r="BO41"/>
          <cell r="BP41"/>
          <cell r="BQ41">
            <v>0</v>
          </cell>
          <cell r="BR41"/>
          <cell r="BS41"/>
          <cell r="BT41"/>
          <cell r="BU41"/>
          <cell r="BV41"/>
          <cell r="BW41"/>
          <cell r="BX41"/>
          <cell r="BY41" t="e">
            <v>#REF!</v>
          </cell>
          <cell r="BZ41"/>
          <cell r="CA41"/>
          <cell r="CB41"/>
          <cell r="CC41"/>
          <cell r="CD41">
            <v>0</v>
          </cell>
          <cell r="CE41"/>
          <cell r="CF41"/>
          <cell r="CG41"/>
          <cell r="CH41"/>
          <cell r="CI41"/>
          <cell r="CJ41"/>
          <cell r="CK41"/>
          <cell r="CL41" t="e">
            <v>#REF!</v>
          </cell>
          <cell r="CM41"/>
          <cell r="CN41"/>
          <cell r="CO41"/>
          <cell r="CP41"/>
          <cell r="CQ41">
            <v>0</v>
          </cell>
          <cell r="CR41"/>
          <cell r="CS41"/>
          <cell r="CT41" t="e">
            <v>#REF!</v>
          </cell>
          <cell r="CU41"/>
          <cell r="CV41"/>
          <cell r="CW41"/>
          <cell r="CX41"/>
          <cell r="CY41" t="str">
            <v>37</v>
          </cell>
        </row>
        <row r="42">
          <cell r="B42" t="str">
            <v>38</v>
          </cell>
          <cell r="C42"/>
          <cell r="D42"/>
          <cell r="E42"/>
          <cell r="F42" t="e">
            <v>#REF!</v>
          </cell>
          <cell r="G42"/>
          <cell r="H42"/>
          <cell r="I42"/>
          <cell r="J42"/>
          <cell r="K42">
            <v>0</v>
          </cell>
          <cell r="L42"/>
          <cell r="M42"/>
          <cell r="N42"/>
          <cell r="O42"/>
          <cell r="P42"/>
          <cell r="Q42"/>
          <cell r="R42"/>
          <cell r="S42" t="e">
            <v>#REF!</v>
          </cell>
          <cell r="T42"/>
          <cell r="U42"/>
          <cell r="V42"/>
          <cell r="W42"/>
          <cell r="X42">
            <v>0</v>
          </cell>
          <cell r="Y42"/>
          <cell r="Z42"/>
          <cell r="AA42"/>
          <cell r="AB42"/>
          <cell r="AC42"/>
          <cell r="AD42"/>
          <cell r="AE42"/>
          <cell r="AF42" t="e">
            <v>#REF!</v>
          </cell>
          <cell r="AG42"/>
          <cell r="AH42"/>
          <cell r="AI42"/>
          <cell r="AJ42"/>
          <cell r="AK42">
            <v>0</v>
          </cell>
          <cell r="AL42"/>
          <cell r="AM42"/>
          <cell r="AN42" t="e">
            <v>#REF!</v>
          </cell>
          <cell r="AO42"/>
          <cell r="AP42"/>
          <cell r="AQ42"/>
          <cell r="AR42"/>
          <cell r="AS42">
            <v>4634</v>
          </cell>
          <cell r="AT42" t="str">
            <v>Service / Maint. Contract - Parts - NCV</v>
          </cell>
          <cell r="AU42"/>
          <cell r="AV42"/>
          <cell r="AW42"/>
          <cell r="AX42"/>
          <cell r="AY42"/>
          <cell r="AZ42"/>
          <cell r="BA42"/>
          <cell r="BB42"/>
          <cell r="BC42"/>
          <cell r="BD42"/>
          <cell r="BE42"/>
          <cell r="BF42"/>
          <cell r="BG42"/>
          <cell r="BH42"/>
          <cell r="BI42"/>
          <cell r="BJ42"/>
          <cell r="BK42"/>
          <cell r="BL42" t="e">
            <v>#REF!</v>
          </cell>
          <cell r="BM42"/>
          <cell r="BN42"/>
          <cell r="BO42"/>
          <cell r="BP42"/>
          <cell r="BQ42">
            <v>0</v>
          </cell>
          <cell r="BR42"/>
          <cell r="BS42"/>
          <cell r="BT42"/>
          <cell r="BU42"/>
          <cell r="BV42"/>
          <cell r="BW42"/>
          <cell r="BX42"/>
          <cell r="BY42" t="e">
            <v>#REF!</v>
          </cell>
          <cell r="BZ42"/>
          <cell r="CA42"/>
          <cell r="CB42"/>
          <cell r="CC42"/>
          <cell r="CD42">
            <v>0</v>
          </cell>
          <cell r="CE42"/>
          <cell r="CF42"/>
          <cell r="CG42"/>
          <cell r="CH42"/>
          <cell r="CI42"/>
          <cell r="CJ42"/>
          <cell r="CK42"/>
          <cell r="CL42" t="e">
            <v>#REF!</v>
          </cell>
          <cell r="CM42"/>
          <cell r="CN42"/>
          <cell r="CO42"/>
          <cell r="CP42"/>
          <cell r="CQ42">
            <v>0</v>
          </cell>
          <cell r="CR42"/>
          <cell r="CS42"/>
          <cell r="CT42" t="e">
            <v>#REF!</v>
          </cell>
          <cell r="CU42"/>
          <cell r="CV42"/>
          <cell r="CW42"/>
          <cell r="CX42"/>
          <cell r="CY42" t="str">
            <v>38</v>
          </cell>
        </row>
        <row r="43">
          <cell r="B43" t="str">
            <v>39</v>
          </cell>
          <cell r="C43"/>
          <cell r="D43"/>
          <cell r="E43"/>
          <cell r="F43" t="e">
            <v>#REF!</v>
          </cell>
          <cell r="G43"/>
          <cell r="H43"/>
          <cell r="I43"/>
          <cell r="J43"/>
          <cell r="K43">
            <v>0</v>
          </cell>
          <cell r="L43"/>
          <cell r="M43"/>
          <cell r="N43"/>
          <cell r="O43"/>
          <cell r="P43"/>
          <cell r="Q43"/>
          <cell r="R43"/>
          <cell r="S43" t="e">
            <v>#REF!</v>
          </cell>
          <cell r="T43"/>
          <cell r="U43"/>
          <cell r="V43"/>
          <cell r="W43"/>
          <cell r="X43">
            <v>0</v>
          </cell>
          <cell r="Y43"/>
          <cell r="Z43"/>
          <cell r="AA43"/>
          <cell r="AB43"/>
          <cell r="AC43"/>
          <cell r="AD43"/>
          <cell r="AE43"/>
          <cell r="AF43" t="e">
            <v>#REF!</v>
          </cell>
          <cell r="AG43"/>
          <cell r="AH43"/>
          <cell r="AI43"/>
          <cell r="AJ43"/>
          <cell r="AK43">
            <v>0</v>
          </cell>
          <cell r="AL43"/>
          <cell r="AM43"/>
          <cell r="AN43" t="e">
            <v>#REF!</v>
          </cell>
          <cell r="AO43"/>
          <cell r="AP43"/>
          <cell r="AQ43"/>
          <cell r="AR43"/>
          <cell r="AS43">
            <v>4639</v>
          </cell>
          <cell r="AT43" t="str">
            <v>Tire Sales - R.O. - NCV</v>
          </cell>
          <cell r="AU43"/>
          <cell r="AV43"/>
          <cell r="AW43"/>
          <cell r="AX43"/>
          <cell r="AY43"/>
          <cell r="AZ43"/>
          <cell r="BA43"/>
          <cell r="BB43"/>
          <cell r="BC43"/>
          <cell r="BD43"/>
          <cell r="BE43"/>
          <cell r="BF43"/>
          <cell r="BG43"/>
          <cell r="BH43"/>
          <cell r="BI43"/>
          <cell r="BJ43"/>
          <cell r="BK43"/>
          <cell r="BL43" t="e">
            <v>#REF!</v>
          </cell>
          <cell r="BM43"/>
          <cell r="BN43"/>
          <cell r="BO43"/>
          <cell r="BP43"/>
          <cell r="BQ43">
            <v>0</v>
          </cell>
          <cell r="BR43"/>
          <cell r="BS43"/>
          <cell r="BT43"/>
          <cell r="BU43"/>
          <cell r="BV43"/>
          <cell r="BW43"/>
          <cell r="BX43"/>
          <cell r="BY43" t="e">
            <v>#REF!</v>
          </cell>
          <cell r="BZ43"/>
          <cell r="CA43"/>
          <cell r="CB43"/>
          <cell r="CC43"/>
          <cell r="CD43">
            <v>0</v>
          </cell>
          <cell r="CE43"/>
          <cell r="CF43"/>
          <cell r="CG43"/>
          <cell r="CH43"/>
          <cell r="CI43"/>
          <cell r="CJ43"/>
          <cell r="CK43"/>
          <cell r="CL43" t="e">
            <v>#REF!</v>
          </cell>
          <cell r="CM43"/>
          <cell r="CN43"/>
          <cell r="CO43"/>
          <cell r="CP43"/>
          <cell r="CQ43">
            <v>0</v>
          </cell>
          <cell r="CR43"/>
          <cell r="CS43"/>
          <cell r="CT43" t="e">
            <v>#REF!</v>
          </cell>
          <cell r="CU43"/>
          <cell r="CV43"/>
          <cell r="CW43"/>
          <cell r="CX43"/>
          <cell r="CY43" t="str">
            <v>39</v>
          </cell>
        </row>
        <row r="44">
          <cell r="B44" t="str">
            <v>40</v>
          </cell>
          <cell r="C44"/>
          <cell r="D44"/>
          <cell r="E44"/>
          <cell r="F44" t="e">
            <v>#REF!</v>
          </cell>
          <cell r="G44"/>
          <cell r="H44"/>
          <cell r="I44"/>
          <cell r="J44"/>
          <cell r="K44">
            <v>0</v>
          </cell>
          <cell r="L44"/>
          <cell r="M44"/>
          <cell r="N44"/>
          <cell r="O44"/>
          <cell r="P44"/>
          <cell r="Q44"/>
          <cell r="R44"/>
          <cell r="S44" t="e">
            <v>#REF!</v>
          </cell>
          <cell r="T44"/>
          <cell r="U44"/>
          <cell r="V44"/>
          <cell r="W44"/>
          <cell r="X44">
            <v>0</v>
          </cell>
          <cell r="Y44"/>
          <cell r="Z44"/>
          <cell r="AA44"/>
          <cell r="AB44"/>
          <cell r="AC44"/>
          <cell r="AD44"/>
          <cell r="AE44"/>
          <cell r="AF44" t="e">
            <v>#REF!</v>
          </cell>
          <cell r="AG44"/>
          <cell r="AH44"/>
          <cell r="AI44"/>
          <cell r="AJ44"/>
          <cell r="AK44">
            <v>0</v>
          </cell>
          <cell r="AL44"/>
          <cell r="AM44"/>
          <cell r="AN44" t="e">
            <v>#REF!</v>
          </cell>
          <cell r="AO44"/>
          <cell r="AP44"/>
          <cell r="AQ44"/>
          <cell r="AR44"/>
          <cell r="AS44">
            <v>4648</v>
          </cell>
          <cell r="AT44" t="str">
            <v>Parts &amp; Access. - Warranty Claims - NCV</v>
          </cell>
          <cell r="AU44"/>
          <cell r="AV44"/>
          <cell r="AW44"/>
          <cell r="AX44"/>
          <cell r="AY44"/>
          <cell r="AZ44"/>
          <cell r="BA44"/>
          <cell r="BB44"/>
          <cell r="BC44"/>
          <cell r="BD44"/>
          <cell r="BE44"/>
          <cell r="BF44"/>
          <cell r="BG44"/>
          <cell r="BH44"/>
          <cell r="BI44"/>
          <cell r="BJ44"/>
          <cell r="BK44"/>
          <cell r="BL44" t="e">
            <v>#REF!</v>
          </cell>
          <cell r="BM44"/>
          <cell r="BN44"/>
          <cell r="BO44"/>
          <cell r="BP44"/>
          <cell r="BQ44">
            <v>0</v>
          </cell>
          <cell r="BR44"/>
          <cell r="BS44"/>
          <cell r="BT44"/>
          <cell r="BU44"/>
          <cell r="BV44"/>
          <cell r="BW44"/>
          <cell r="BX44"/>
          <cell r="BY44" t="e">
            <v>#REF!</v>
          </cell>
          <cell r="BZ44"/>
          <cell r="CA44"/>
          <cell r="CB44"/>
          <cell r="CC44"/>
          <cell r="CD44">
            <v>0</v>
          </cell>
          <cell r="CE44"/>
          <cell r="CF44"/>
          <cell r="CG44"/>
          <cell r="CH44"/>
          <cell r="CI44"/>
          <cell r="CJ44"/>
          <cell r="CK44"/>
          <cell r="CL44" t="e">
            <v>#REF!</v>
          </cell>
          <cell r="CM44"/>
          <cell r="CN44"/>
          <cell r="CO44"/>
          <cell r="CP44"/>
          <cell r="CQ44">
            <v>0</v>
          </cell>
          <cell r="CR44"/>
          <cell r="CS44"/>
          <cell r="CT44" t="e">
            <v>#REF!</v>
          </cell>
          <cell r="CU44"/>
          <cell r="CV44"/>
          <cell r="CW44"/>
          <cell r="CX44"/>
          <cell r="CY44" t="str">
            <v>40</v>
          </cell>
        </row>
        <row r="45">
          <cell r="B45" t="str">
            <v>41</v>
          </cell>
          <cell r="C45"/>
          <cell r="D45"/>
          <cell r="E45"/>
          <cell r="F45" t="e">
            <v>#REF!</v>
          </cell>
          <cell r="G45"/>
          <cell r="H45"/>
          <cell r="I45"/>
          <cell r="J45"/>
          <cell r="K45">
            <v>0</v>
          </cell>
          <cell r="L45"/>
          <cell r="M45"/>
          <cell r="N45"/>
          <cell r="O45"/>
          <cell r="P45"/>
          <cell r="Q45"/>
          <cell r="R45"/>
          <cell r="S45" t="e">
            <v>#REF!</v>
          </cell>
          <cell r="T45"/>
          <cell r="U45"/>
          <cell r="V45"/>
          <cell r="W45"/>
          <cell r="X45">
            <v>0</v>
          </cell>
          <cell r="Y45"/>
          <cell r="Z45"/>
          <cell r="AA45"/>
          <cell r="AB45"/>
          <cell r="AC45"/>
          <cell r="AD45"/>
          <cell r="AE45"/>
          <cell r="AF45" t="e">
            <v>#REF!</v>
          </cell>
          <cell r="AG45"/>
          <cell r="AH45"/>
          <cell r="AI45"/>
          <cell r="AJ45"/>
          <cell r="AK45">
            <v>0</v>
          </cell>
          <cell r="AL45"/>
          <cell r="AM45"/>
          <cell r="AN45" t="e">
            <v>#REF!</v>
          </cell>
          <cell r="AO45"/>
          <cell r="AP45"/>
          <cell r="AQ45"/>
          <cell r="AR45"/>
          <cell r="AS45">
            <v>4656</v>
          </cell>
          <cell r="AT45" t="str">
            <v>Tire Sales - Warranty - NCV</v>
          </cell>
          <cell r="AU45"/>
          <cell r="AV45"/>
          <cell r="AW45"/>
          <cell r="AX45"/>
          <cell r="AY45"/>
          <cell r="AZ45"/>
          <cell r="BA45"/>
          <cell r="BB45"/>
          <cell r="BC45"/>
          <cell r="BD45"/>
          <cell r="BE45"/>
          <cell r="BF45"/>
          <cell r="BG45"/>
          <cell r="BH45"/>
          <cell r="BI45"/>
          <cell r="BJ45"/>
          <cell r="BK45"/>
          <cell r="BL45" t="e">
            <v>#REF!</v>
          </cell>
          <cell r="BM45"/>
          <cell r="BN45"/>
          <cell r="BO45"/>
          <cell r="BP45"/>
          <cell r="BQ45">
            <v>0</v>
          </cell>
          <cell r="BR45"/>
          <cell r="BS45"/>
          <cell r="BT45"/>
          <cell r="BU45"/>
          <cell r="BV45"/>
          <cell r="BW45"/>
          <cell r="BX45"/>
          <cell r="BY45" t="e">
            <v>#REF!</v>
          </cell>
          <cell r="BZ45"/>
          <cell r="CA45"/>
          <cell r="CB45"/>
          <cell r="CC45"/>
          <cell r="CD45">
            <v>0</v>
          </cell>
          <cell r="CE45"/>
          <cell r="CF45"/>
          <cell r="CG45"/>
          <cell r="CH45"/>
          <cell r="CI45"/>
          <cell r="CJ45"/>
          <cell r="CK45"/>
          <cell r="CL45" t="e">
            <v>#REF!</v>
          </cell>
          <cell r="CM45"/>
          <cell r="CN45"/>
          <cell r="CO45"/>
          <cell r="CP45"/>
          <cell r="CQ45">
            <v>0</v>
          </cell>
          <cell r="CR45"/>
          <cell r="CS45"/>
          <cell r="CT45" t="e">
            <v>#REF!</v>
          </cell>
          <cell r="CU45"/>
          <cell r="CV45"/>
          <cell r="CW45"/>
          <cell r="CX45"/>
          <cell r="CY45" t="str">
            <v>41</v>
          </cell>
        </row>
        <row r="46">
          <cell r="B46" t="str">
            <v>42</v>
          </cell>
          <cell r="C46"/>
          <cell r="D46"/>
          <cell r="E46"/>
          <cell r="F46" t="e">
            <v>#REF!</v>
          </cell>
          <cell r="G46"/>
          <cell r="H46"/>
          <cell r="I46"/>
          <cell r="J46"/>
          <cell r="K46">
            <v>0</v>
          </cell>
          <cell r="L46"/>
          <cell r="M46"/>
          <cell r="N46"/>
          <cell r="O46"/>
          <cell r="P46"/>
          <cell r="Q46"/>
          <cell r="R46"/>
          <cell r="S46" t="e">
            <v>#REF!</v>
          </cell>
          <cell r="T46"/>
          <cell r="U46"/>
          <cell r="V46"/>
          <cell r="W46"/>
          <cell r="X46">
            <v>0</v>
          </cell>
          <cell r="Y46"/>
          <cell r="Z46"/>
          <cell r="AA46"/>
          <cell r="AB46"/>
          <cell r="AC46"/>
          <cell r="AD46"/>
          <cell r="AE46"/>
          <cell r="AF46" t="e">
            <v>#REF!</v>
          </cell>
          <cell r="AG46"/>
          <cell r="AH46"/>
          <cell r="AI46"/>
          <cell r="AJ46"/>
          <cell r="AK46">
            <v>0</v>
          </cell>
          <cell r="AL46"/>
          <cell r="AM46"/>
          <cell r="AN46" t="e">
            <v>#REF!</v>
          </cell>
          <cell r="AO46"/>
          <cell r="AP46"/>
          <cell r="AQ46"/>
          <cell r="AR46"/>
          <cell r="AS46">
            <v>4658</v>
          </cell>
          <cell r="AT46" t="str">
            <v>Parts &amp; Access. - Internal - NCV</v>
          </cell>
          <cell r="AU46"/>
          <cell r="AV46"/>
          <cell r="AW46"/>
          <cell r="AX46"/>
          <cell r="AY46"/>
          <cell r="AZ46"/>
          <cell r="BA46"/>
          <cell r="BB46"/>
          <cell r="BC46"/>
          <cell r="BD46"/>
          <cell r="BE46"/>
          <cell r="BF46"/>
          <cell r="BG46"/>
          <cell r="BH46"/>
          <cell r="BI46"/>
          <cell r="BJ46"/>
          <cell r="BK46"/>
          <cell r="BL46" t="e">
            <v>#REF!</v>
          </cell>
          <cell r="BM46"/>
          <cell r="BN46"/>
          <cell r="BO46"/>
          <cell r="BP46"/>
          <cell r="BQ46">
            <v>0</v>
          </cell>
          <cell r="BR46"/>
          <cell r="BS46"/>
          <cell r="BT46"/>
          <cell r="BU46"/>
          <cell r="BV46"/>
          <cell r="BW46"/>
          <cell r="BX46"/>
          <cell r="BY46" t="e">
            <v>#REF!</v>
          </cell>
          <cell r="BZ46"/>
          <cell r="CA46"/>
          <cell r="CB46"/>
          <cell r="CC46"/>
          <cell r="CD46">
            <v>0</v>
          </cell>
          <cell r="CE46"/>
          <cell r="CF46"/>
          <cell r="CG46"/>
          <cell r="CH46"/>
          <cell r="CI46"/>
          <cell r="CJ46"/>
          <cell r="CK46"/>
          <cell r="CL46" t="e">
            <v>#REF!</v>
          </cell>
          <cell r="CM46"/>
          <cell r="CN46"/>
          <cell r="CO46"/>
          <cell r="CP46"/>
          <cell r="CQ46">
            <v>0</v>
          </cell>
          <cell r="CR46"/>
          <cell r="CS46"/>
          <cell r="CT46" t="e">
            <v>#REF!</v>
          </cell>
          <cell r="CU46"/>
          <cell r="CV46"/>
          <cell r="CW46"/>
          <cell r="CX46"/>
          <cell r="CY46" t="str">
            <v>42</v>
          </cell>
        </row>
        <row r="47">
          <cell r="B47" t="str">
            <v>43</v>
          </cell>
          <cell r="C47"/>
          <cell r="D47"/>
          <cell r="E47"/>
          <cell r="F47" t="e">
            <v>#REF!</v>
          </cell>
          <cell r="G47"/>
          <cell r="H47"/>
          <cell r="I47"/>
          <cell r="J47"/>
          <cell r="K47">
            <v>0</v>
          </cell>
          <cell r="L47"/>
          <cell r="M47"/>
          <cell r="N47"/>
          <cell r="O47"/>
          <cell r="P47"/>
          <cell r="Q47"/>
          <cell r="R47"/>
          <cell r="S47" t="e">
            <v>#REF!</v>
          </cell>
          <cell r="T47"/>
          <cell r="U47"/>
          <cell r="V47"/>
          <cell r="W47"/>
          <cell r="X47">
            <v>0</v>
          </cell>
          <cell r="Y47"/>
          <cell r="Z47"/>
          <cell r="AA47"/>
          <cell r="AB47"/>
          <cell r="AC47"/>
          <cell r="AD47"/>
          <cell r="AE47"/>
          <cell r="AF47" t="e">
            <v>#REF!</v>
          </cell>
          <cell r="AG47"/>
          <cell r="AH47"/>
          <cell r="AI47"/>
          <cell r="AJ47"/>
          <cell r="AK47">
            <v>0</v>
          </cell>
          <cell r="AL47"/>
          <cell r="AM47"/>
          <cell r="AN47" t="e">
            <v>#REF!</v>
          </cell>
          <cell r="AO47"/>
          <cell r="AP47"/>
          <cell r="AQ47"/>
          <cell r="AR47"/>
          <cell r="AS47">
            <v>4659</v>
          </cell>
          <cell r="AT47" t="str">
            <v>Tire Sales - Internal - NCV</v>
          </cell>
          <cell r="AU47"/>
          <cell r="AV47"/>
          <cell r="AW47"/>
          <cell r="AX47"/>
          <cell r="AY47"/>
          <cell r="AZ47"/>
          <cell r="BA47"/>
          <cell r="BB47"/>
          <cell r="BC47"/>
          <cell r="BD47"/>
          <cell r="BE47"/>
          <cell r="BF47"/>
          <cell r="BG47"/>
          <cell r="BH47"/>
          <cell r="BI47"/>
          <cell r="BJ47"/>
          <cell r="BK47"/>
          <cell r="BL47" t="e">
            <v>#REF!</v>
          </cell>
          <cell r="BM47"/>
          <cell r="BN47"/>
          <cell r="BO47"/>
          <cell r="BP47"/>
          <cell r="BQ47">
            <v>0</v>
          </cell>
          <cell r="BR47"/>
          <cell r="BS47"/>
          <cell r="BT47"/>
          <cell r="BU47"/>
          <cell r="BV47"/>
          <cell r="BW47"/>
          <cell r="BX47"/>
          <cell r="BY47" t="e">
            <v>#REF!</v>
          </cell>
          <cell r="BZ47"/>
          <cell r="CA47"/>
          <cell r="CB47"/>
          <cell r="CC47"/>
          <cell r="CD47">
            <v>0</v>
          </cell>
          <cell r="CE47"/>
          <cell r="CF47"/>
          <cell r="CG47"/>
          <cell r="CH47"/>
          <cell r="CI47"/>
          <cell r="CJ47"/>
          <cell r="CK47"/>
          <cell r="CL47" t="e">
            <v>#REF!</v>
          </cell>
          <cell r="CM47"/>
          <cell r="CN47"/>
          <cell r="CO47"/>
          <cell r="CP47"/>
          <cell r="CQ47">
            <v>0</v>
          </cell>
          <cell r="CR47"/>
          <cell r="CS47"/>
          <cell r="CT47" t="e">
            <v>#REF!</v>
          </cell>
          <cell r="CU47"/>
          <cell r="CV47"/>
          <cell r="CW47"/>
          <cell r="CX47"/>
          <cell r="CY47" t="str">
            <v>43</v>
          </cell>
        </row>
        <row r="48">
          <cell r="B48" t="str">
            <v>44</v>
          </cell>
          <cell r="C48"/>
          <cell r="D48"/>
          <cell r="E48"/>
          <cell r="F48" t="e">
            <v>#REF!</v>
          </cell>
          <cell r="G48"/>
          <cell r="H48"/>
          <cell r="I48"/>
          <cell r="J48"/>
          <cell r="K48">
            <v>0</v>
          </cell>
          <cell r="L48"/>
          <cell r="M48"/>
          <cell r="N48"/>
          <cell r="O48"/>
          <cell r="P48"/>
          <cell r="Q48"/>
          <cell r="R48"/>
          <cell r="S48" t="e">
            <v>#REF!</v>
          </cell>
          <cell r="T48"/>
          <cell r="U48"/>
          <cell r="V48"/>
          <cell r="W48"/>
          <cell r="X48">
            <v>0</v>
          </cell>
          <cell r="Y48"/>
          <cell r="Z48"/>
          <cell r="AA48"/>
          <cell r="AB48"/>
          <cell r="AC48"/>
          <cell r="AD48"/>
          <cell r="AE48"/>
          <cell r="AF48" t="e">
            <v>#REF!</v>
          </cell>
          <cell r="AG48"/>
          <cell r="AH48"/>
          <cell r="AI48"/>
          <cell r="AJ48"/>
          <cell r="AK48">
            <v>0</v>
          </cell>
          <cell r="AL48"/>
          <cell r="AM48"/>
          <cell r="AN48" t="e">
            <v>#REF!</v>
          </cell>
          <cell r="AO48"/>
          <cell r="AP48"/>
          <cell r="AQ48"/>
          <cell r="AR48"/>
          <cell r="AS48">
            <v>4629</v>
          </cell>
          <cell r="AT48" t="str">
            <v>Parts &amp; Access. - R.O. Body Shop - NCV</v>
          </cell>
          <cell r="AU48"/>
          <cell r="AV48"/>
          <cell r="AW48"/>
          <cell r="AX48"/>
          <cell r="AY48"/>
          <cell r="AZ48"/>
          <cell r="BA48"/>
          <cell r="BB48"/>
          <cell r="BC48"/>
          <cell r="BD48"/>
          <cell r="BE48"/>
          <cell r="BF48"/>
          <cell r="BG48"/>
          <cell r="BH48"/>
          <cell r="BI48"/>
          <cell r="BJ48"/>
          <cell r="BK48"/>
          <cell r="BL48" t="e">
            <v>#REF!</v>
          </cell>
          <cell r="BM48"/>
          <cell r="BN48"/>
          <cell r="BO48"/>
          <cell r="BP48"/>
          <cell r="BQ48">
            <v>0</v>
          </cell>
          <cell r="BR48"/>
          <cell r="BS48"/>
          <cell r="BT48"/>
          <cell r="BU48"/>
          <cell r="BV48"/>
          <cell r="BW48"/>
          <cell r="BX48"/>
          <cell r="BY48" t="e">
            <v>#REF!</v>
          </cell>
          <cell r="BZ48"/>
          <cell r="CA48"/>
          <cell r="CB48"/>
          <cell r="CC48"/>
          <cell r="CD48">
            <v>0</v>
          </cell>
          <cell r="CE48"/>
          <cell r="CF48"/>
          <cell r="CG48"/>
          <cell r="CH48"/>
          <cell r="CI48"/>
          <cell r="CJ48"/>
          <cell r="CK48"/>
          <cell r="CL48" t="e">
            <v>#REF!</v>
          </cell>
          <cell r="CM48"/>
          <cell r="CN48"/>
          <cell r="CO48"/>
          <cell r="CP48"/>
          <cell r="CQ48">
            <v>0</v>
          </cell>
          <cell r="CR48"/>
          <cell r="CS48"/>
          <cell r="CT48" t="e">
            <v>#REF!</v>
          </cell>
          <cell r="CU48"/>
          <cell r="CV48"/>
          <cell r="CW48"/>
          <cell r="CX48"/>
          <cell r="CY48" t="str">
            <v>44</v>
          </cell>
        </row>
        <row r="49">
          <cell r="B49" t="str">
            <v>45</v>
          </cell>
          <cell r="C49">
            <v>0</v>
          </cell>
          <cell r="D49"/>
          <cell r="E49"/>
          <cell r="F49" t="e">
            <v>#REF!</v>
          </cell>
          <cell r="G49"/>
          <cell r="H49"/>
          <cell r="I49"/>
          <cell r="J49"/>
          <cell r="K49">
            <v>0</v>
          </cell>
          <cell r="L49"/>
          <cell r="M49"/>
          <cell r="N49"/>
          <cell r="O49"/>
          <cell r="P49"/>
          <cell r="Q49"/>
          <cell r="R49"/>
          <cell r="S49" t="e">
            <v>#REF!</v>
          </cell>
          <cell r="T49"/>
          <cell r="U49"/>
          <cell r="V49"/>
          <cell r="W49"/>
          <cell r="X49">
            <v>0</v>
          </cell>
          <cell r="Y49"/>
          <cell r="Z49"/>
          <cell r="AA49"/>
          <cell r="AB49"/>
          <cell r="AC49"/>
          <cell r="AD49"/>
          <cell r="AE49"/>
          <cell r="AF49" t="e">
            <v>#REF!</v>
          </cell>
          <cell r="AG49"/>
          <cell r="AH49"/>
          <cell r="AI49"/>
          <cell r="AJ49"/>
          <cell r="AK49">
            <v>0</v>
          </cell>
          <cell r="AL49"/>
          <cell r="AM49"/>
          <cell r="AN49" t="e">
            <v>#REF!</v>
          </cell>
          <cell r="AO49"/>
          <cell r="AP49"/>
          <cell r="AQ49"/>
          <cell r="AR49"/>
          <cell r="AS49">
            <v>4669</v>
          </cell>
          <cell r="AT49" t="str">
            <v>Parts &amp; Access. - Counter Retail - NCV</v>
          </cell>
          <cell r="AU49"/>
          <cell r="AV49"/>
          <cell r="AW49"/>
          <cell r="AX49"/>
          <cell r="AY49"/>
          <cell r="AZ49"/>
          <cell r="BA49"/>
          <cell r="BB49"/>
          <cell r="BC49"/>
          <cell r="BD49"/>
          <cell r="BE49"/>
          <cell r="BF49"/>
          <cell r="BG49"/>
          <cell r="BH49"/>
          <cell r="BI49">
            <v>0</v>
          </cell>
          <cell r="BJ49"/>
          <cell r="BK49"/>
          <cell r="BL49" t="e">
            <v>#REF!</v>
          </cell>
          <cell r="BM49"/>
          <cell r="BN49"/>
          <cell r="BO49"/>
          <cell r="BP49"/>
          <cell r="BQ49">
            <v>0</v>
          </cell>
          <cell r="BR49"/>
          <cell r="BS49"/>
          <cell r="BT49"/>
          <cell r="BU49"/>
          <cell r="BV49"/>
          <cell r="BW49"/>
          <cell r="BX49"/>
          <cell r="BY49" t="e">
            <v>#REF!</v>
          </cell>
          <cell r="BZ49"/>
          <cell r="CA49"/>
          <cell r="CB49"/>
          <cell r="CC49"/>
          <cell r="CD49">
            <v>0</v>
          </cell>
          <cell r="CE49"/>
          <cell r="CF49"/>
          <cell r="CG49"/>
          <cell r="CH49"/>
          <cell r="CI49"/>
          <cell r="CJ49"/>
          <cell r="CK49"/>
          <cell r="CL49" t="e">
            <v>#REF!</v>
          </cell>
          <cell r="CM49"/>
          <cell r="CN49"/>
          <cell r="CO49"/>
          <cell r="CP49"/>
          <cell r="CQ49">
            <v>0</v>
          </cell>
          <cell r="CR49"/>
          <cell r="CS49"/>
          <cell r="CT49" t="e">
            <v>#REF!</v>
          </cell>
          <cell r="CU49"/>
          <cell r="CV49"/>
          <cell r="CW49"/>
          <cell r="CX49"/>
          <cell r="CY49" t="str">
            <v>45</v>
          </cell>
        </row>
        <row r="50">
          <cell r="B50" t="str">
            <v>46</v>
          </cell>
          <cell r="C50">
            <v>0</v>
          </cell>
          <cell r="D50"/>
          <cell r="E50"/>
          <cell r="F50" t="e">
            <v>#REF!</v>
          </cell>
          <cell r="G50"/>
          <cell r="H50"/>
          <cell r="I50"/>
          <cell r="J50"/>
          <cell r="K50">
            <v>0</v>
          </cell>
          <cell r="L50"/>
          <cell r="M50"/>
          <cell r="N50"/>
          <cell r="O50"/>
          <cell r="P50"/>
          <cell r="Q50"/>
          <cell r="R50"/>
          <cell r="S50" t="e">
            <v>#REF!</v>
          </cell>
          <cell r="T50"/>
          <cell r="U50"/>
          <cell r="V50"/>
          <cell r="W50"/>
          <cell r="X50">
            <v>0</v>
          </cell>
          <cell r="Y50"/>
          <cell r="Z50"/>
          <cell r="AA50"/>
          <cell r="AB50"/>
          <cell r="AC50"/>
          <cell r="AD50"/>
          <cell r="AE50"/>
          <cell r="AF50" t="e">
            <v>#REF!</v>
          </cell>
          <cell r="AG50"/>
          <cell r="AH50"/>
          <cell r="AI50"/>
          <cell r="AJ50"/>
          <cell r="AK50">
            <v>0</v>
          </cell>
          <cell r="AL50"/>
          <cell r="AM50"/>
          <cell r="AN50" t="e">
            <v>#REF!</v>
          </cell>
          <cell r="AO50"/>
          <cell r="AP50"/>
          <cell r="AQ50"/>
          <cell r="AR50"/>
          <cell r="AS50">
            <v>4679</v>
          </cell>
          <cell r="AT50" t="str">
            <v>Parts &amp; Access. - Wholesale - NCV</v>
          </cell>
          <cell r="AU50"/>
          <cell r="AV50"/>
          <cell r="AW50"/>
          <cell r="AX50"/>
          <cell r="AY50"/>
          <cell r="AZ50"/>
          <cell r="BA50"/>
          <cell r="BB50"/>
          <cell r="BC50"/>
          <cell r="BD50"/>
          <cell r="BE50"/>
          <cell r="BF50"/>
          <cell r="BG50"/>
          <cell r="BH50"/>
          <cell r="BI50">
            <v>0</v>
          </cell>
          <cell r="BJ50"/>
          <cell r="BK50"/>
          <cell r="BL50" t="e">
            <v>#REF!</v>
          </cell>
          <cell r="BM50"/>
          <cell r="BN50"/>
          <cell r="BO50"/>
          <cell r="BP50"/>
          <cell r="BQ50">
            <v>0</v>
          </cell>
          <cell r="BR50"/>
          <cell r="BS50"/>
          <cell r="BT50"/>
          <cell r="BU50"/>
          <cell r="BV50"/>
          <cell r="BW50"/>
          <cell r="BX50"/>
          <cell r="BY50" t="e">
            <v>#REF!</v>
          </cell>
          <cell r="BZ50"/>
          <cell r="CA50"/>
          <cell r="CB50"/>
          <cell r="CC50"/>
          <cell r="CD50">
            <v>0</v>
          </cell>
          <cell r="CE50"/>
          <cell r="CF50"/>
          <cell r="CG50"/>
          <cell r="CH50"/>
          <cell r="CI50"/>
          <cell r="CJ50"/>
          <cell r="CK50"/>
          <cell r="CL50" t="e">
            <v>#REF!</v>
          </cell>
          <cell r="CM50"/>
          <cell r="CN50"/>
          <cell r="CO50"/>
          <cell r="CP50"/>
          <cell r="CQ50">
            <v>0</v>
          </cell>
          <cell r="CR50"/>
          <cell r="CS50"/>
          <cell r="CT50" t="e">
            <v>#REF!</v>
          </cell>
          <cell r="CU50"/>
          <cell r="CV50"/>
          <cell r="CW50"/>
          <cell r="CX50"/>
          <cell r="CY50" t="str">
            <v>46</v>
          </cell>
        </row>
        <row r="51">
          <cell r="B51" t="str">
            <v>47</v>
          </cell>
          <cell r="C51">
            <v>0</v>
          </cell>
          <cell r="D51"/>
          <cell r="E51"/>
          <cell r="F51" t="e">
            <v>#REF!</v>
          </cell>
          <cell r="G51"/>
          <cell r="H51"/>
          <cell r="I51"/>
          <cell r="J51"/>
          <cell r="K51">
            <v>0</v>
          </cell>
          <cell r="L51"/>
          <cell r="M51"/>
          <cell r="N51"/>
          <cell r="O51"/>
          <cell r="P51"/>
          <cell r="Q51"/>
          <cell r="R51"/>
          <cell r="S51" t="e">
            <v>#REF!</v>
          </cell>
          <cell r="T51"/>
          <cell r="U51"/>
          <cell r="V51"/>
          <cell r="W51"/>
          <cell r="X51">
            <v>0</v>
          </cell>
          <cell r="Y51"/>
          <cell r="Z51"/>
          <cell r="AA51"/>
          <cell r="AB51"/>
          <cell r="AC51"/>
          <cell r="AD51"/>
          <cell r="AE51"/>
          <cell r="AF51" t="e">
            <v>#REF!</v>
          </cell>
          <cell r="AG51"/>
          <cell r="AH51"/>
          <cell r="AI51"/>
          <cell r="AJ51"/>
          <cell r="AK51">
            <v>0</v>
          </cell>
          <cell r="AL51"/>
          <cell r="AM51"/>
          <cell r="AN51" t="e">
            <v>#REF!</v>
          </cell>
          <cell r="AO51"/>
          <cell r="AP51"/>
          <cell r="AQ51"/>
          <cell r="AR51"/>
          <cell r="AS51"/>
          <cell r="AT51" t="str">
            <v>SUBTOTAL - NCV P&amp;A</v>
          </cell>
          <cell r="AU51"/>
          <cell r="AV51"/>
          <cell r="AW51"/>
          <cell r="AX51"/>
          <cell r="AY51"/>
          <cell r="AZ51"/>
          <cell r="BA51"/>
          <cell r="BB51"/>
          <cell r="BC51"/>
          <cell r="BD51"/>
          <cell r="BE51"/>
          <cell r="BF51"/>
          <cell r="BG51"/>
          <cell r="BH51" t="str">
            <v xml:space="preserve">(Lines 36 to 46) </v>
          </cell>
          <cell r="BI51">
            <v>0</v>
          </cell>
          <cell r="BJ51"/>
          <cell r="BK51"/>
          <cell r="BL51" t="e">
            <v>#REF!</v>
          </cell>
          <cell r="BM51"/>
          <cell r="BN51"/>
          <cell r="BO51"/>
          <cell r="BP51"/>
          <cell r="BQ51">
            <v>0</v>
          </cell>
          <cell r="BR51"/>
          <cell r="BS51"/>
          <cell r="BT51"/>
          <cell r="BU51"/>
          <cell r="BV51"/>
          <cell r="BW51"/>
          <cell r="BX51"/>
          <cell r="BY51" t="e">
            <v>#REF!</v>
          </cell>
          <cell r="BZ51"/>
          <cell r="CA51"/>
          <cell r="CB51"/>
          <cell r="CC51"/>
          <cell r="CD51">
            <v>0</v>
          </cell>
          <cell r="CE51"/>
          <cell r="CF51"/>
          <cell r="CG51"/>
          <cell r="CH51"/>
          <cell r="CI51"/>
          <cell r="CJ51"/>
          <cell r="CK51"/>
          <cell r="CL51" t="e">
            <v>#REF!</v>
          </cell>
          <cell r="CM51"/>
          <cell r="CN51"/>
          <cell r="CO51"/>
          <cell r="CP51"/>
          <cell r="CQ51">
            <v>0</v>
          </cell>
          <cell r="CR51"/>
          <cell r="CS51"/>
          <cell r="CT51" t="e">
            <v>#REF!</v>
          </cell>
          <cell r="CU51"/>
          <cell r="CV51"/>
          <cell r="CW51"/>
          <cell r="CX51"/>
          <cell r="CY51" t="str">
            <v>47</v>
          </cell>
        </row>
        <row r="52">
          <cell r="B52" t="str">
            <v>48</v>
          </cell>
          <cell r="C52"/>
          <cell r="D52"/>
          <cell r="E52"/>
          <cell r="F52" t="e">
            <v>#REF!</v>
          </cell>
          <cell r="G52"/>
          <cell r="H52"/>
          <cell r="I52"/>
          <cell r="J52"/>
          <cell r="K52">
            <v>0</v>
          </cell>
          <cell r="L52"/>
          <cell r="M52"/>
          <cell r="N52"/>
          <cell r="O52"/>
          <cell r="P52"/>
          <cell r="Q52"/>
          <cell r="R52"/>
          <cell r="S52" t="e">
            <v>#REF!</v>
          </cell>
          <cell r="T52"/>
          <cell r="U52"/>
          <cell r="V52"/>
          <cell r="W52"/>
          <cell r="X52">
            <v>0</v>
          </cell>
          <cell r="Y52"/>
          <cell r="Z52"/>
          <cell r="AA52"/>
          <cell r="AB52"/>
          <cell r="AC52"/>
          <cell r="AD52"/>
          <cell r="AE52"/>
          <cell r="AF52" t="e">
            <v>#REF!</v>
          </cell>
          <cell r="AG52"/>
          <cell r="AH52"/>
          <cell r="AI52"/>
          <cell r="AJ52"/>
          <cell r="AK52">
            <v>0</v>
          </cell>
          <cell r="AL52"/>
          <cell r="AM52"/>
          <cell r="AN52" t="e">
            <v>#REF!</v>
          </cell>
          <cell r="AO52"/>
          <cell r="AP52"/>
          <cell r="AQ52"/>
          <cell r="AR52"/>
          <cell r="AS52">
            <v>4610</v>
          </cell>
          <cell r="AT52" t="str">
            <v>Parts &amp; Access. - R.O. - Other Makes Veh.</v>
          </cell>
          <cell r="AU52"/>
          <cell r="AV52"/>
          <cell r="AW52"/>
          <cell r="AX52"/>
          <cell r="AY52"/>
          <cell r="AZ52"/>
          <cell r="BA52"/>
          <cell r="BB52"/>
          <cell r="BC52"/>
          <cell r="BD52"/>
          <cell r="BE52"/>
          <cell r="BF52"/>
          <cell r="BG52"/>
          <cell r="BH52"/>
          <cell r="BI52"/>
          <cell r="BJ52"/>
          <cell r="BK52"/>
          <cell r="BL52" t="e">
            <v>#REF!</v>
          </cell>
          <cell r="BM52"/>
          <cell r="BN52"/>
          <cell r="BO52"/>
          <cell r="BP52"/>
          <cell r="BQ52">
            <v>0</v>
          </cell>
          <cell r="BR52"/>
          <cell r="BS52"/>
          <cell r="BT52"/>
          <cell r="BU52"/>
          <cell r="BV52"/>
          <cell r="BW52"/>
          <cell r="BX52"/>
          <cell r="BY52" t="e">
            <v>#REF!</v>
          </cell>
          <cell r="BZ52"/>
          <cell r="CA52"/>
          <cell r="CB52"/>
          <cell r="CC52"/>
          <cell r="CD52">
            <v>0</v>
          </cell>
          <cell r="CE52"/>
          <cell r="CF52"/>
          <cell r="CG52"/>
          <cell r="CH52"/>
          <cell r="CI52"/>
          <cell r="CJ52"/>
          <cell r="CK52"/>
          <cell r="CL52" t="e">
            <v>#REF!</v>
          </cell>
          <cell r="CM52"/>
          <cell r="CN52"/>
          <cell r="CO52"/>
          <cell r="CP52"/>
          <cell r="CQ52">
            <v>0</v>
          </cell>
          <cell r="CR52"/>
          <cell r="CS52"/>
          <cell r="CT52" t="e">
            <v>#REF!</v>
          </cell>
          <cell r="CU52"/>
          <cell r="CV52"/>
          <cell r="CW52"/>
          <cell r="CX52"/>
          <cell r="CY52" t="str">
            <v>48</v>
          </cell>
        </row>
        <row r="53">
          <cell r="B53" t="str">
            <v>49</v>
          </cell>
          <cell r="C53"/>
          <cell r="D53"/>
          <cell r="E53"/>
          <cell r="F53" t="e">
            <v>#REF!</v>
          </cell>
          <cell r="G53"/>
          <cell r="H53"/>
          <cell r="I53"/>
          <cell r="J53"/>
          <cell r="K53">
            <v>0</v>
          </cell>
          <cell r="L53"/>
          <cell r="M53"/>
          <cell r="N53"/>
          <cell r="O53"/>
          <cell r="P53"/>
          <cell r="Q53"/>
          <cell r="R53"/>
          <cell r="S53" t="e">
            <v>#REF!</v>
          </cell>
          <cell r="T53"/>
          <cell r="U53"/>
          <cell r="V53"/>
          <cell r="W53"/>
          <cell r="X53">
            <v>0</v>
          </cell>
          <cell r="Y53"/>
          <cell r="Z53"/>
          <cell r="AA53"/>
          <cell r="AB53"/>
          <cell r="AC53"/>
          <cell r="AD53"/>
          <cell r="AE53"/>
          <cell r="AF53" t="e">
            <v>#REF!</v>
          </cell>
          <cell r="AG53"/>
          <cell r="AH53"/>
          <cell r="AI53"/>
          <cell r="AJ53"/>
          <cell r="AK53">
            <v>0</v>
          </cell>
          <cell r="AL53"/>
          <cell r="AM53"/>
          <cell r="AN53" t="e">
            <v>#REF!</v>
          </cell>
          <cell r="AO53"/>
          <cell r="AP53"/>
          <cell r="AQ53"/>
          <cell r="AR53"/>
          <cell r="AS53">
            <v>4612</v>
          </cell>
          <cell r="AT53" t="str">
            <v>Express Service Parts - Other Makes Veh.</v>
          </cell>
          <cell r="AU53"/>
          <cell r="AV53"/>
          <cell r="AW53"/>
          <cell r="AX53"/>
          <cell r="AY53"/>
          <cell r="AZ53"/>
          <cell r="BA53"/>
          <cell r="BB53"/>
          <cell r="BC53"/>
          <cell r="BD53"/>
          <cell r="BE53"/>
          <cell r="BF53"/>
          <cell r="BG53"/>
          <cell r="BH53"/>
          <cell r="BI53"/>
          <cell r="BJ53"/>
          <cell r="BK53"/>
          <cell r="BL53" t="e">
            <v>#REF!</v>
          </cell>
          <cell r="BM53"/>
          <cell r="BN53"/>
          <cell r="BO53"/>
          <cell r="BP53"/>
          <cell r="BQ53">
            <v>0</v>
          </cell>
          <cell r="BR53"/>
          <cell r="BS53"/>
          <cell r="BT53"/>
          <cell r="BU53"/>
          <cell r="BV53"/>
          <cell r="BW53"/>
          <cell r="BX53"/>
          <cell r="BY53" t="e">
            <v>#REF!</v>
          </cell>
          <cell r="BZ53"/>
          <cell r="CA53"/>
          <cell r="CB53"/>
          <cell r="CC53"/>
          <cell r="CD53">
            <v>0</v>
          </cell>
          <cell r="CE53"/>
          <cell r="CF53"/>
          <cell r="CG53"/>
          <cell r="CH53"/>
          <cell r="CI53"/>
          <cell r="CJ53"/>
          <cell r="CK53"/>
          <cell r="CL53" t="e">
            <v>#REF!</v>
          </cell>
          <cell r="CM53"/>
          <cell r="CN53"/>
          <cell r="CO53"/>
          <cell r="CP53"/>
          <cell r="CQ53">
            <v>0</v>
          </cell>
          <cell r="CR53"/>
          <cell r="CS53"/>
          <cell r="CT53" t="e">
            <v>#REF!</v>
          </cell>
          <cell r="CU53"/>
          <cell r="CV53"/>
          <cell r="CW53"/>
          <cell r="CX53"/>
          <cell r="CY53" t="str">
            <v>49</v>
          </cell>
        </row>
        <row r="54">
          <cell r="B54" t="str">
            <v>50</v>
          </cell>
          <cell r="C54"/>
          <cell r="D54"/>
          <cell r="E54"/>
          <cell r="F54" t="e">
            <v>#REF!</v>
          </cell>
          <cell r="G54"/>
          <cell r="H54"/>
          <cell r="I54"/>
          <cell r="J54"/>
          <cell r="K54">
            <v>0</v>
          </cell>
          <cell r="L54"/>
          <cell r="M54"/>
          <cell r="N54"/>
          <cell r="O54"/>
          <cell r="P54"/>
          <cell r="Q54"/>
          <cell r="R54"/>
          <cell r="S54" t="e">
            <v>#REF!</v>
          </cell>
          <cell r="T54"/>
          <cell r="U54"/>
          <cell r="V54"/>
          <cell r="W54"/>
          <cell r="X54">
            <v>0</v>
          </cell>
          <cell r="Y54"/>
          <cell r="Z54"/>
          <cell r="AA54"/>
          <cell r="AB54"/>
          <cell r="AC54"/>
          <cell r="AD54"/>
          <cell r="AE54"/>
          <cell r="AF54" t="e">
            <v>#REF!</v>
          </cell>
          <cell r="AG54"/>
          <cell r="AH54"/>
          <cell r="AI54"/>
          <cell r="AJ54"/>
          <cell r="AK54">
            <v>0</v>
          </cell>
          <cell r="AL54"/>
          <cell r="AM54"/>
          <cell r="AN54" t="e">
            <v>#REF!</v>
          </cell>
          <cell r="AO54"/>
          <cell r="AP54"/>
          <cell r="AQ54"/>
          <cell r="AR54"/>
          <cell r="AS54">
            <v>4644</v>
          </cell>
          <cell r="AT54" t="str">
            <v>Serv. / Maint. Contract Parts - Other Makes Veh.</v>
          </cell>
          <cell r="AU54"/>
          <cell r="AV54"/>
          <cell r="AW54"/>
          <cell r="AX54"/>
          <cell r="AY54"/>
          <cell r="AZ54"/>
          <cell r="BA54"/>
          <cell r="BB54"/>
          <cell r="BC54"/>
          <cell r="BD54"/>
          <cell r="BE54"/>
          <cell r="BF54"/>
          <cell r="BG54"/>
          <cell r="BH54"/>
          <cell r="BI54"/>
          <cell r="BJ54"/>
          <cell r="BK54"/>
          <cell r="BL54" t="e">
            <v>#REF!</v>
          </cell>
          <cell r="BM54"/>
          <cell r="BN54"/>
          <cell r="BO54"/>
          <cell r="BP54"/>
          <cell r="BQ54">
            <v>0</v>
          </cell>
          <cell r="BR54"/>
          <cell r="BS54"/>
          <cell r="BT54"/>
          <cell r="BU54"/>
          <cell r="BV54"/>
          <cell r="BW54"/>
          <cell r="BX54"/>
          <cell r="BY54" t="e">
            <v>#REF!</v>
          </cell>
          <cell r="BZ54"/>
          <cell r="CA54"/>
          <cell r="CB54"/>
          <cell r="CC54"/>
          <cell r="CD54">
            <v>0</v>
          </cell>
          <cell r="CE54"/>
          <cell r="CF54"/>
          <cell r="CG54"/>
          <cell r="CH54"/>
          <cell r="CI54"/>
          <cell r="CJ54"/>
          <cell r="CK54"/>
          <cell r="CL54" t="e">
            <v>#REF!</v>
          </cell>
          <cell r="CM54"/>
          <cell r="CN54"/>
          <cell r="CO54"/>
          <cell r="CP54"/>
          <cell r="CQ54">
            <v>0</v>
          </cell>
          <cell r="CR54"/>
          <cell r="CS54"/>
          <cell r="CT54" t="e">
            <v>#REF!</v>
          </cell>
          <cell r="CU54"/>
          <cell r="CV54"/>
          <cell r="CW54"/>
          <cell r="CX54"/>
          <cell r="CY54" t="str">
            <v>50</v>
          </cell>
        </row>
        <row r="55">
          <cell r="B55" t="str">
            <v>51</v>
          </cell>
          <cell r="C55"/>
          <cell r="D55"/>
          <cell r="E55"/>
          <cell r="F55" t="e">
            <v>#REF!</v>
          </cell>
          <cell r="G55"/>
          <cell r="H55"/>
          <cell r="I55"/>
          <cell r="J55"/>
          <cell r="K55">
            <v>0</v>
          </cell>
          <cell r="L55"/>
          <cell r="M55"/>
          <cell r="N55"/>
          <cell r="O55"/>
          <cell r="P55"/>
          <cell r="Q55"/>
          <cell r="R55"/>
          <cell r="S55" t="e">
            <v>#REF!</v>
          </cell>
          <cell r="T55"/>
          <cell r="U55"/>
          <cell r="V55"/>
          <cell r="W55"/>
          <cell r="X55">
            <v>0</v>
          </cell>
          <cell r="Y55"/>
          <cell r="Z55"/>
          <cell r="AA55"/>
          <cell r="AB55"/>
          <cell r="AC55"/>
          <cell r="AD55"/>
          <cell r="AE55"/>
          <cell r="AF55" t="e">
            <v>#REF!</v>
          </cell>
          <cell r="AG55"/>
          <cell r="AH55"/>
          <cell r="AI55"/>
          <cell r="AJ55"/>
          <cell r="AK55">
            <v>0</v>
          </cell>
          <cell r="AL55"/>
          <cell r="AM55"/>
          <cell r="AN55" t="e">
            <v>#REF!</v>
          </cell>
          <cell r="AO55"/>
          <cell r="AP55"/>
          <cell r="AQ55"/>
          <cell r="AR55"/>
          <cell r="AS55">
            <v>4645</v>
          </cell>
          <cell r="AT55" t="str">
            <v>Parts &amp; Access. - Warranty Claims - Other Makes Veh.</v>
          </cell>
          <cell r="AU55"/>
          <cell r="AV55"/>
          <cell r="AW55"/>
          <cell r="AX55"/>
          <cell r="AY55"/>
          <cell r="AZ55"/>
          <cell r="BA55"/>
          <cell r="BB55"/>
          <cell r="BC55"/>
          <cell r="BD55"/>
          <cell r="BE55"/>
          <cell r="BF55"/>
          <cell r="BG55"/>
          <cell r="BH55"/>
          <cell r="BI55"/>
          <cell r="BJ55"/>
          <cell r="BK55"/>
          <cell r="BL55" t="e">
            <v>#REF!</v>
          </cell>
          <cell r="BM55"/>
          <cell r="BN55"/>
          <cell r="BO55"/>
          <cell r="BP55"/>
          <cell r="BQ55">
            <v>0</v>
          </cell>
          <cell r="BR55"/>
          <cell r="BS55"/>
          <cell r="BT55"/>
          <cell r="BU55"/>
          <cell r="BV55"/>
          <cell r="BW55"/>
          <cell r="BX55"/>
          <cell r="BY55" t="e">
            <v>#REF!</v>
          </cell>
          <cell r="BZ55"/>
          <cell r="CA55"/>
          <cell r="CB55"/>
          <cell r="CC55"/>
          <cell r="CD55">
            <v>0</v>
          </cell>
          <cell r="CE55"/>
          <cell r="CF55"/>
          <cell r="CG55"/>
          <cell r="CH55"/>
          <cell r="CI55"/>
          <cell r="CJ55"/>
          <cell r="CK55"/>
          <cell r="CL55" t="e">
            <v>#REF!</v>
          </cell>
          <cell r="CM55"/>
          <cell r="CN55"/>
          <cell r="CO55"/>
          <cell r="CP55"/>
          <cell r="CQ55">
            <v>0</v>
          </cell>
          <cell r="CR55"/>
          <cell r="CS55"/>
          <cell r="CT55" t="e">
            <v>#REF!</v>
          </cell>
          <cell r="CU55"/>
          <cell r="CV55"/>
          <cell r="CW55"/>
          <cell r="CX55"/>
          <cell r="CY55" t="str">
            <v>51</v>
          </cell>
        </row>
        <row r="56">
          <cell r="B56" t="str">
            <v>52</v>
          </cell>
          <cell r="C56"/>
          <cell r="D56"/>
          <cell r="E56"/>
          <cell r="F56" t="e">
            <v>#REF!</v>
          </cell>
          <cell r="G56"/>
          <cell r="H56"/>
          <cell r="I56"/>
          <cell r="J56"/>
          <cell r="K56">
            <v>0</v>
          </cell>
          <cell r="L56"/>
          <cell r="M56"/>
          <cell r="N56"/>
          <cell r="O56"/>
          <cell r="P56"/>
          <cell r="Q56"/>
          <cell r="R56"/>
          <cell r="S56" t="e">
            <v>#REF!</v>
          </cell>
          <cell r="T56"/>
          <cell r="U56"/>
          <cell r="V56"/>
          <cell r="W56"/>
          <cell r="X56">
            <v>0</v>
          </cell>
          <cell r="Y56"/>
          <cell r="Z56"/>
          <cell r="AA56"/>
          <cell r="AB56"/>
          <cell r="AC56"/>
          <cell r="AD56"/>
          <cell r="AE56"/>
          <cell r="AF56" t="e">
            <v>#REF!</v>
          </cell>
          <cell r="AG56"/>
          <cell r="AH56"/>
          <cell r="AI56"/>
          <cell r="AJ56"/>
          <cell r="AK56">
            <v>0</v>
          </cell>
          <cell r="AL56"/>
          <cell r="AM56"/>
          <cell r="AN56" t="e">
            <v>#REF!</v>
          </cell>
          <cell r="AO56"/>
          <cell r="AP56"/>
          <cell r="AQ56"/>
          <cell r="AR56"/>
          <cell r="AS56">
            <v>4655</v>
          </cell>
          <cell r="AT56" t="str">
            <v>Parts &amp; Access. - Internal - Other Makes Veh.</v>
          </cell>
          <cell r="AU56"/>
          <cell r="AV56"/>
          <cell r="AW56"/>
          <cell r="AX56"/>
          <cell r="AY56"/>
          <cell r="AZ56"/>
          <cell r="BA56"/>
          <cell r="BB56"/>
          <cell r="BC56"/>
          <cell r="BD56"/>
          <cell r="BE56"/>
          <cell r="BF56"/>
          <cell r="BG56"/>
          <cell r="BH56"/>
          <cell r="BI56"/>
          <cell r="BJ56"/>
          <cell r="BK56"/>
          <cell r="BL56" t="e">
            <v>#REF!</v>
          </cell>
          <cell r="BM56"/>
          <cell r="BN56"/>
          <cell r="BO56"/>
          <cell r="BP56"/>
          <cell r="BQ56">
            <v>0</v>
          </cell>
          <cell r="BR56"/>
          <cell r="BS56"/>
          <cell r="BT56"/>
          <cell r="BU56"/>
          <cell r="BV56"/>
          <cell r="BW56"/>
          <cell r="BX56"/>
          <cell r="BY56" t="e">
            <v>#REF!</v>
          </cell>
          <cell r="BZ56"/>
          <cell r="CA56"/>
          <cell r="CB56"/>
          <cell r="CC56"/>
          <cell r="CD56">
            <v>0</v>
          </cell>
          <cell r="CE56"/>
          <cell r="CF56"/>
          <cell r="CG56"/>
          <cell r="CH56"/>
          <cell r="CI56"/>
          <cell r="CJ56"/>
          <cell r="CK56"/>
          <cell r="CL56" t="e">
            <v>#REF!</v>
          </cell>
          <cell r="CM56"/>
          <cell r="CN56"/>
          <cell r="CO56"/>
          <cell r="CP56"/>
          <cell r="CQ56">
            <v>0</v>
          </cell>
          <cell r="CR56"/>
          <cell r="CS56"/>
          <cell r="CT56" t="e">
            <v>#REF!</v>
          </cell>
          <cell r="CU56"/>
          <cell r="CV56"/>
          <cell r="CW56"/>
          <cell r="CX56"/>
          <cell r="CY56" t="str">
            <v>52</v>
          </cell>
        </row>
        <row r="57">
          <cell r="B57" t="str">
            <v>53</v>
          </cell>
          <cell r="C57"/>
          <cell r="D57"/>
          <cell r="E57"/>
          <cell r="F57" t="e">
            <v>#REF!</v>
          </cell>
          <cell r="G57"/>
          <cell r="H57"/>
          <cell r="I57"/>
          <cell r="J57"/>
          <cell r="K57">
            <v>0</v>
          </cell>
          <cell r="L57"/>
          <cell r="M57"/>
          <cell r="N57"/>
          <cell r="O57"/>
          <cell r="P57"/>
          <cell r="Q57"/>
          <cell r="R57"/>
          <cell r="S57" t="e">
            <v>#REF!</v>
          </cell>
          <cell r="T57"/>
          <cell r="U57"/>
          <cell r="V57"/>
          <cell r="W57"/>
          <cell r="X57">
            <v>0</v>
          </cell>
          <cell r="Y57"/>
          <cell r="Z57"/>
          <cell r="AA57"/>
          <cell r="AB57"/>
          <cell r="AC57"/>
          <cell r="AD57"/>
          <cell r="AE57"/>
          <cell r="AF57" t="e">
            <v>#REF!</v>
          </cell>
          <cell r="AG57"/>
          <cell r="AH57"/>
          <cell r="AI57"/>
          <cell r="AJ57"/>
          <cell r="AK57">
            <v>0</v>
          </cell>
          <cell r="AL57"/>
          <cell r="AM57"/>
          <cell r="AN57" t="e">
            <v>#REF!</v>
          </cell>
          <cell r="AO57"/>
          <cell r="AP57"/>
          <cell r="AQ57"/>
          <cell r="AR57"/>
          <cell r="AS57">
            <v>4625</v>
          </cell>
          <cell r="AT57" t="str">
            <v>Parts &amp; Access. - R.O. Body Shop - Other Makes Veh.</v>
          </cell>
          <cell r="AU57"/>
          <cell r="AV57"/>
          <cell r="AW57"/>
          <cell r="AX57"/>
          <cell r="AY57"/>
          <cell r="AZ57"/>
          <cell r="BA57"/>
          <cell r="BB57"/>
          <cell r="BC57"/>
          <cell r="BD57"/>
          <cell r="BE57"/>
          <cell r="BF57"/>
          <cell r="BG57"/>
          <cell r="BH57"/>
          <cell r="BI57"/>
          <cell r="BJ57"/>
          <cell r="BK57"/>
          <cell r="BL57" t="e">
            <v>#REF!</v>
          </cell>
          <cell r="BM57"/>
          <cell r="BN57"/>
          <cell r="BO57"/>
          <cell r="BP57"/>
          <cell r="BQ57">
            <v>0</v>
          </cell>
          <cell r="BR57"/>
          <cell r="BS57"/>
          <cell r="BT57"/>
          <cell r="BU57"/>
          <cell r="BV57"/>
          <cell r="BW57"/>
          <cell r="BX57"/>
          <cell r="BY57" t="e">
            <v>#REF!</v>
          </cell>
          <cell r="BZ57"/>
          <cell r="CA57"/>
          <cell r="CB57"/>
          <cell r="CC57"/>
          <cell r="CD57">
            <v>0</v>
          </cell>
          <cell r="CE57"/>
          <cell r="CF57"/>
          <cell r="CG57"/>
          <cell r="CH57"/>
          <cell r="CI57"/>
          <cell r="CJ57"/>
          <cell r="CK57"/>
          <cell r="CL57" t="e">
            <v>#REF!</v>
          </cell>
          <cell r="CM57"/>
          <cell r="CN57"/>
          <cell r="CO57"/>
          <cell r="CP57"/>
          <cell r="CQ57">
            <v>0</v>
          </cell>
          <cell r="CR57"/>
          <cell r="CS57"/>
          <cell r="CT57" t="e">
            <v>#REF!</v>
          </cell>
          <cell r="CU57"/>
          <cell r="CV57"/>
          <cell r="CW57"/>
          <cell r="CX57"/>
          <cell r="CY57" t="str">
            <v>53</v>
          </cell>
        </row>
        <row r="58">
          <cell r="B58" t="str">
            <v>54</v>
          </cell>
          <cell r="C58">
            <v>0</v>
          </cell>
          <cell r="D58"/>
          <cell r="E58"/>
          <cell r="F58" t="e">
            <v>#REF!</v>
          </cell>
          <cell r="G58"/>
          <cell r="H58"/>
          <cell r="I58"/>
          <cell r="J58"/>
          <cell r="K58">
            <v>0</v>
          </cell>
          <cell r="L58"/>
          <cell r="M58"/>
          <cell r="N58"/>
          <cell r="O58"/>
          <cell r="P58"/>
          <cell r="Q58"/>
          <cell r="R58"/>
          <cell r="S58" t="e">
            <v>#REF!</v>
          </cell>
          <cell r="T58"/>
          <cell r="U58"/>
          <cell r="V58"/>
          <cell r="W58"/>
          <cell r="X58">
            <v>0</v>
          </cell>
          <cell r="Y58"/>
          <cell r="Z58"/>
          <cell r="AA58"/>
          <cell r="AB58"/>
          <cell r="AC58"/>
          <cell r="AD58"/>
          <cell r="AE58"/>
          <cell r="AF58" t="e">
            <v>#REF!</v>
          </cell>
          <cell r="AG58"/>
          <cell r="AH58"/>
          <cell r="AI58"/>
          <cell r="AJ58"/>
          <cell r="AK58">
            <v>0</v>
          </cell>
          <cell r="AL58"/>
          <cell r="AM58"/>
          <cell r="AN58" t="e">
            <v>#REF!</v>
          </cell>
          <cell r="AO58"/>
          <cell r="AP58"/>
          <cell r="AQ58"/>
          <cell r="AR58"/>
          <cell r="AS58">
            <v>4665</v>
          </cell>
          <cell r="AT58" t="str">
            <v>Parts &amp; Access. - Counter Retail - Other Makes Veh.</v>
          </cell>
          <cell r="AU58"/>
          <cell r="AV58"/>
          <cell r="AW58"/>
          <cell r="AX58"/>
          <cell r="AY58"/>
          <cell r="AZ58"/>
          <cell r="BA58"/>
          <cell r="BB58"/>
          <cell r="BC58"/>
          <cell r="BD58"/>
          <cell r="BE58"/>
          <cell r="BF58"/>
          <cell r="BG58"/>
          <cell r="BH58"/>
          <cell r="BI58">
            <v>0</v>
          </cell>
          <cell r="BJ58"/>
          <cell r="BK58"/>
          <cell r="BL58" t="e">
            <v>#REF!</v>
          </cell>
          <cell r="BM58"/>
          <cell r="BN58"/>
          <cell r="BO58"/>
          <cell r="BP58"/>
          <cell r="BQ58">
            <v>0</v>
          </cell>
          <cell r="BR58"/>
          <cell r="BS58"/>
          <cell r="BT58"/>
          <cell r="BU58"/>
          <cell r="BV58"/>
          <cell r="BW58"/>
          <cell r="BX58"/>
          <cell r="BY58" t="e">
            <v>#REF!</v>
          </cell>
          <cell r="BZ58"/>
          <cell r="CA58"/>
          <cell r="CB58"/>
          <cell r="CC58"/>
          <cell r="CD58">
            <v>0</v>
          </cell>
          <cell r="CE58"/>
          <cell r="CF58"/>
          <cell r="CG58"/>
          <cell r="CH58"/>
          <cell r="CI58"/>
          <cell r="CJ58"/>
          <cell r="CK58"/>
          <cell r="CL58" t="e">
            <v>#REF!</v>
          </cell>
          <cell r="CM58"/>
          <cell r="CN58"/>
          <cell r="CO58"/>
          <cell r="CP58"/>
          <cell r="CQ58">
            <v>0</v>
          </cell>
          <cell r="CR58"/>
          <cell r="CS58"/>
          <cell r="CT58" t="e">
            <v>#REF!</v>
          </cell>
          <cell r="CU58"/>
          <cell r="CV58"/>
          <cell r="CW58"/>
          <cell r="CX58"/>
          <cell r="CY58" t="str">
            <v>54</v>
          </cell>
        </row>
        <row r="59">
          <cell r="B59" t="str">
            <v>55</v>
          </cell>
          <cell r="C59">
            <v>0</v>
          </cell>
          <cell r="D59"/>
          <cell r="E59"/>
          <cell r="F59" t="e">
            <v>#REF!</v>
          </cell>
          <cell r="G59"/>
          <cell r="H59"/>
          <cell r="I59"/>
          <cell r="J59"/>
          <cell r="K59">
            <v>0</v>
          </cell>
          <cell r="L59"/>
          <cell r="M59"/>
          <cell r="N59"/>
          <cell r="O59"/>
          <cell r="P59"/>
          <cell r="Q59"/>
          <cell r="R59"/>
          <cell r="S59" t="e">
            <v>#REF!</v>
          </cell>
          <cell r="T59"/>
          <cell r="U59"/>
          <cell r="V59"/>
          <cell r="W59"/>
          <cell r="X59">
            <v>0</v>
          </cell>
          <cell r="Y59"/>
          <cell r="Z59"/>
          <cell r="AA59"/>
          <cell r="AB59"/>
          <cell r="AC59"/>
          <cell r="AD59"/>
          <cell r="AE59"/>
          <cell r="AF59" t="e">
            <v>#REF!</v>
          </cell>
          <cell r="AG59"/>
          <cell r="AH59"/>
          <cell r="AI59"/>
          <cell r="AJ59"/>
          <cell r="AK59">
            <v>0</v>
          </cell>
          <cell r="AL59"/>
          <cell r="AM59"/>
          <cell r="AN59" t="e">
            <v>#REF!</v>
          </cell>
          <cell r="AO59"/>
          <cell r="AP59"/>
          <cell r="AQ59"/>
          <cell r="AR59"/>
          <cell r="AS59">
            <v>4675</v>
          </cell>
          <cell r="AT59" t="str">
            <v>Parts &amp; Access. - Wholesale - Other Makes Veh.</v>
          </cell>
          <cell r="AU59"/>
          <cell r="AV59"/>
          <cell r="AW59"/>
          <cell r="AX59"/>
          <cell r="AY59"/>
          <cell r="AZ59"/>
          <cell r="BA59"/>
          <cell r="BB59"/>
          <cell r="BC59"/>
          <cell r="BD59"/>
          <cell r="BE59"/>
          <cell r="BF59"/>
          <cell r="BG59"/>
          <cell r="BH59"/>
          <cell r="BI59">
            <v>0</v>
          </cell>
          <cell r="BJ59"/>
          <cell r="BK59"/>
          <cell r="BL59" t="e">
            <v>#REF!</v>
          </cell>
          <cell r="BM59"/>
          <cell r="BN59"/>
          <cell r="BO59"/>
          <cell r="BP59"/>
          <cell r="BQ59">
            <v>0</v>
          </cell>
          <cell r="BR59"/>
          <cell r="BS59"/>
          <cell r="BT59"/>
          <cell r="BU59"/>
          <cell r="BV59"/>
          <cell r="BW59"/>
          <cell r="BX59"/>
          <cell r="BY59" t="e">
            <v>#REF!</v>
          </cell>
          <cell r="BZ59"/>
          <cell r="CA59"/>
          <cell r="CB59"/>
          <cell r="CC59"/>
          <cell r="CD59">
            <v>0</v>
          </cell>
          <cell r="CE59"/>
          <cell r="CF59"/>
          <cell r="CG59"/>
          <cell r="CH59"/>
          <cell r="CI59"/>
          <cell r="CJ59"/>
          <cell r="CK59"/>
          <cell r="CL59" t="e">
            <v>#REF!</v>
          </cell>
          <cell r="CM59"/>
          <cell r="CN59"/>
          <cell r="CO59"/>
          <cell r="CP59"/>
          <cell r="CQ59">
            <v>0</v>
          </cell>
          <cell r="CR59"/>
          <cell r="CS59"/>
          <cell r="CT59" t="e">
            <v>#REF!</v>
          </cell>
          <cell r="CU59"/>
          <cell r="CV59"/>
          <cell r="CW59"/>
          <cell r="CX59"/>
          <cell r="CY59" t="str">
            <v>55</v>
          </cell>
        </row>
        <row r="60">
          <cell r="B60" t="str">
            <v>56</v>
          </cell>
          <cell r="C60">
            <v>0</v>
          </cell>
          <cell r="D60"/>
          <cell r="E60"/>
          <cell r="F60" t="e">
            <v>#REF!</v>
          </cell>
          <cell r="G60"/>
          <cell r="H60"/>
          <cell r="I60"/>
          <cell r="J60"/>
          <cell r="K60">
            <v>0</v>
          </cell>
          <cell r="L60"/>
          <cell r="M60"/>
          <cell r="N60"/>
          <cell r="O60"/>
          <cell r="P60"/>
          <cell r="Q60"/>
          <cell r="R60"/>
          <cell r="S60" t="e">
            <v>#REF!</v>
          </cell>
          <cell r="T60"/>
          <cell r="U60"/>
          <cell r="V60"/>
          <cell r="W60"/>
          <cell r="X60">
            <v>0</v>
          </cell>
          <cell r="Y60"/>
          <cell r="Z60"/>
          <cell r="AA60"/>
          <cell r="AB60"/>
          <cell r="AC60"/>
          <cell r="AD60"/>
          <cell r="AE60"/>
          <cell r="AF60" t="e">
            <v>#REF!</v>
          </cell>
          <cell r="AG60"/>
          <cell r="AH60"/>
          <cell r="AI60"/>
          <cell r="AJ60"/>
          <cell r="AK60">
            <v>0</v>
          </cell>
          <cell r="AL60"/>
          <cell r="AM60"/>
          <cell r="AN60" t="e">
            <v>#REF!</v>
          </cell>
          <cell r="AO60"/>
          <cell r="AP60"/>
          <cell r="AQ60"/>
          <cell r="AR60"/>
          <cell r="AS60"/>
          <cell r="AT60" t="str">
            <v>SUBTOTAL - P &amp; A OTHER MAKES</v>
          </cell>
          <cell r="AU60"/>
          <cell r="AV60"/>
          <cell r="AW60"/>
          <cell r="AX60"/>
          <cell r="AY60"/>
          <cell r="AZ60"/>
          <cell r="BA60"/>
          <cell r="BB60"/>
          <cell r="BC60"/>
          <cell r="BD60"/>
          <cell r="BE60"/>
          <cell r="BF60"/>
          <cell r="BG60"/>
          <cell r="BH60" t="str">
            <v xml:space="preserve">(Lines 48 to 55) </v>
          </cell>
          <cell r="BI60">
            <v>0</v>
          </cell>
          <cell r="BJ60"/>
          <cell r="BK60"/>
          <cell r="BL60" t="e">
            <v>#REF!</v>
          </cell>
          <cell r="BM60"/>
          <cell r="BN60"/>
          <cell r="BO60"/>
          <cell r="BP60"/>
          <cell r="BQ60">
            <v>0</v>
          </cell>
          <cell r="BR60"/>
          <cell r="BS60"/>
          <cell r="BT60"/>
          <cell r="BU60"/>
          <cell r="BV60"/>
          <cell r="BW60"/>
          <cell r="BX60"/>
          <cell r="BY60" t="e">
            <v>#REF!</v>
          </cell>
          <cell r="BZ60"/>
          <cell r="CA60"/>
          <cell r="CB60"/>
          <cell r="CC60"/>
          <cell r="CD60">
            <v>0</v>
          </cell>
          <cell r="CE60"/>
          <cell r="CF60"/>
          <cell r="CG60"/>
          <cell r="CH60"/>
          <cell r="CI60"/>
          <cell r="CJ60"/>
          <cell r="CK60"/>
          <cell r="CL60" t="e">
            <v>#REF!</v>
          </cell>
          <cell r="CM60"/>
          <cell r="CN60"/>
          <cell r="CO60"/>
          <cell r="CP60"/>
          <cell r="CQ60">
            <v>0</v>
          </cell>
          <cell r="CR60"/>
          <cell r="CS60"/>
          <cell r="CT60" t="e">
            <v>#REF!</v>
          </cell>
          <cell r="CU60"/>
          <cell r="CV60"/>
          <cell r="CW60"/>
          <cell r="CX60"/>
          <cell r="CY60" t="str">
            <v>56</v>
          </cell>
        </row>
        <row r="61">
          <cell r="B61" t="str">
            <v>57</v>
          </cell>
          <cell r="C61"/>
          <cell r="D61"/>
          <cell r="E61"/>
          <cell r="F61" t="e">
            <v>#REF!</v>
          </cell>
          <cell r="G61"/>
          <cell r="H61"/>
          <cell r="I61"/>
          <cell r="J61"/>
          <cell r="K61">
            <v>0</v>
          </cell>
          <cell r="L61"/>
          <cell r="M61"/>
          <cell r="N61"/>
          <cell r="O61"/>
          <cell r="P61"/>
          <cell r="Q61"/>
          <cell r="R61"/>
          <cell r="S61" t="e">
            <v>#REF!</v>
          </cell>
          <cell r="T61"/>
          <cell r="U61"/>
          <cell r="V61"/>
          <cell r="W61"/>
          <cell r="X61">
            <v>0</v>
          </cell>
          <cell r="Y61"/>
          <cell r="Z61"/>
          <cell r="AA61"/>
          <cell r="AB61"/>
          <cell r="AC61"/>
          <cell r="AD61"/>
          <cell r="AE61"/>
          <cell r="AF61" t="e">
            <v>#REF!</v>
          </cell>
          <cell r="AG61"/>
          <cell r="AH61"/>
          <cell r="AI61"/>
          <cell r="AJ61"/>
          <cell r="AK61">
            <v>0</v>
          </cell>
          <cell r="AL61"/>
          <cell r="AM61"/>
          <cell r="AN61" t="e">
            <v>#REF!</v>
          </cell>
          <cell r="AO61"/>
          <cell r="AP61"/>
          <cell r="AQ61"/>
          <cell r="AR61"/>
          <cell r="AS61">
            <v>4680</v>
          </cell>
          <cell r="AT61" t="str">
            <v>Parts &amp; Access. - Miscellaneous</v>
          </cell>
          <cell r="AU61"/>
          <cell r="AV61"/>
          <cell r="AW61"/>
          <cell r="AX61"/>
          <cell r="AY61"/>
          <cell r="AZ61"/>
          <cell r="BA61"/>
          <cell r="BB61"/>
          <cell r="BC61"/>
          <cell r="BD61"/>
          <cell r="BE61"/>
          <cell r="BF61"/>
          <cell r="BG61"/>
          <cell r="BH61"/>
          <cell r="BI61"/>
          <cell r="BJ61"/>
          <cell r="BK61"/>
          <cell r="BL61" t="e">
            <v>#REF!</v>
          </cell>
          <cell r="BM61"/>
          <cell r="BN61"/>
          <cell r="BO61"/>
          <cell r="BP61"/>
          <cell r="BQ61">
            <v>0</v>
          </cell>
          <cell r="BR61"/>
          <cell r="BS61"/>
          <cell r="BT61"/>
          <cell r="BU61"/>
          <cell r="BV61"/>
          <cell r="BW61"/>
          <cell r="BX61"/>
          <cell r="BY61" t="e">
            <v>#REF!</v>
          </cell>
          <cell r="BZ61"/>
          <cell r="CA61"/>
          <cell r="CB61"/>
          <cell r="CC61"/>
          <cell r="CD61">
            <v>0</v>
          </cell>
          <cell r="CE61"/>
          <cell r="CF61"/>
          <cell r="CG61"/>
          <cell r="CH61"/>
          <cell r="CI61"/>
          <cell r="CJ61"/>
          <cell r="CK61"/>
          <cell r="CL61" t="e">
            <v>#REF!</v>
          </cell>
          <cell r="CM61"/>
          <cell r="CN61"/>
          <cell r="CO61"/>
          <cell r="CP61"/>
          <cell r="CQ61">
            <v>0</v>
          </cell>
          <cell r="CR61"/>
          <cell r="CS61"/>
          <cell r="CT61" t="e">
            <v>#REF!</v>
          </cell>
          <cell r="CU61"/>
          <cell r="CV61"/>
          <cell r="CW61"/>
          <cell r="CX61"/>
          <cell r="CY61" t="str">
            <v>57</v>
          </cell>
        </row>
        <row r="62">
          <cell r="B62" t="str">
            <v>58</v>
          </cell>
          <cell r="C62"/>
          <cell r="D62"/>
          <cell r="E62"/>
          <cell r="F62" t="e">
            <v>#REF!</v>
          </cell>
          <cell r="G62"/>
          <cell r="H62"/>
          <cell r="I62"/>
          <cell r="J62"/>
          <cell r="K62">
            <v>15323</v>
          </cell>
          <cell r="L62"/>
          <cell r="M62"/>
          <cell r="N62"/>
          <cell r="O62"/>
          <cell r="P62"/>
          <cell r="Q62"/>
          <cell r="R62"/>
          <cell r="S62" t="e">
            <v>#REF!</v>
          </cell>
          <cell r="T62"/>
          <cell r="U62"/>
          <cell r="V62"/>
          <cell r="W62"/>
          <cell r="X62">
            <v>3596</v>
          </cell>
          <cell r="Y62"/>
          <cell r="Z62"/>
          <cell r="AA62"/>
          <cell r="AB62"/>
          <cell r="AC62"/>
          <cell r="AD62"/>
          <cell r="AE62"/>
          <cell r="AF62" t="e">
            <v>#REF!</v>
          </cell>
          <cell r="AG62"/>
          <cell r="AH62"/>
          <cell r="AI62"/>
          <cell r="AJ62"/>
          <cell r="AK62">
            <v>23.5</v>
          </cell>
          <cell r="AL62"/>
          <cell r="AM62"/>
          <cell r="AN62" t="e">
            <v>#REF!</v>
          </cell>
          <cell r="AO62"/>
          <cell r="AP62"/>
          <cell r="AQ62"/>
          <cell r="AR62"/>
          <cell r="AS62">
            <v>4700</v>
          </cell>
          <cell r="AT62" t="str">
            <v>Gas, Oil, &amp; Grease</v>
          </cell>
          <cell r="AU62"/>
          <cell r="AV62"/>
          <cell r="AW62"/>
          <cell r="AX62"/>
          <cell r="AY62"/>
          <cell r="AZ62"/>
          <cell r="BA62"/>
          <cell r="BB62"/>
          <cell r="BC62"/>
          <cell r="BD62"/>
          <cell r="BE62"/>
          <cell r="BF62"/>
          <cell r="BG62"/>
          <cell r="BH62"/>
          <cell r="BI62"/>
          <cell r="BJ62"/>
          <cell r="BK62"/>
          <cell r="BL62" t="e">
            <v>#REF!</v>
          </cell>
          <cell r="BM62"/>
          <cell r="BN62"/>
          <cell r="BO62"/>
          <cell r="BP62"/>
          <cell r="BQ62">
            <v>159671</v>
          </cell>
          <cell r="BR62"/>
          <cell r="BS62"/>
          <cell r="BT62"/>
          <cell r="BU62"/>
          <cell r="BV62"/>
          <cell r="BW62"/>
          <cell r="BX62"/>
          <cell r="BY62" t="e">
            <v>#REF!</v>
          </cell>
          <cell r="BZ62"/>
          <cell r="CA62"/>
          <cell r="CB62"/>
          <cell r="CC62"/>
          <cell r="CD62">
            <v>46698</v>
          </cell>
          <cell r="CE62"/>
          <cell r="CF62"/>
          <cell r="CG62"/>
          <cell r="CH62"/>
          <cell r="CI62"/>
          <cell r="CJ62"/>
          <cell r="CK62"/>
          <cell r="CL62" t="e">
            <v>#REF!</v>
          </cell>
          <cell r="CM62"/>
          <cell r="CN62"/>
          <cell r="CO62"/>
          <cell r="CP62"/>
          <cell r="CQ62">
            <v>29.2</v>
          </cell>
          <cell r="CR62"/>
          <cell r="CS62"/>
          <cell r="CT62" t="e">
            <v>#REF!</v>
          </cell>
          <cell r="CU62"/>
          <cell r="CV62"/>
          <cell r="CW62"/>
          <cell r="CX62"/>
          <cell r="CY62" t="str">
            <v>58</v>
          </cell>
        </row>
        <row r="63">
          <cell r="B63" t="str">
            <v>59</v>
          </cell>
          <cell r="C63"/>
          <cell r="D63"/>
          <cell r="E63"/>
          <cell r="F63" t="e">
            <v>#REF!</v>
          </cell>
          <cell r="G63"/>
          <cell r="H63"/>
          <cell r="I63"/>
          <cell r="J63"/>
          <cell r="K63"/>
          <cell r="L63"/>
          <cell r="M63"/>
          <cell r="N63"/>
          <cell r="O63"/>
          <cell r="P63"/>
          <cell r="Q63"/>
          <cell r="R63"/>
          <cell r="S63" t="e">
            <v>#REF!</v>
          </cell>
          <cell r="T63"/>
          <cell r="U63"/>
          <cell r="V63"/>
          <cell r="W63"/>
          <cell r="X63">
            <v>-87</v>
          </cell>
          <cell r="Y63"/>
          <cell r="Z63"/>
          <cell r="AA63"/>
          <cell r="AB63"/>
          <cell r="AC63"/>
          <cell r="AD63"/>
          <cell r="AE63"/>
          <cell r="AF63" t="e">
            <v>#REF!</v>
          </cell>
          <cell r="AG63"/>
          <cell r="AH63"/>
          <cell r="AI63"/>
          <cell r="AJ63"/>
          <cell r="AK63"/>
          <cell r="AL63"/>
          <cell r="AM63"/>
          <cell r="AN63" t="e">
            <v>#REF!</v>
          </cell>
          <cell r="AO63"/>
          <cell r="AP63"/>
          <cell r="AQ63"/>
          <cell r="AR63"/>
          <cell r="AS63">
            <v>6695</v>
          </cell>
          <cell r="AT63" t="str">
            <v>Purchase Discounts Taken</v>
          </cell>
          <cell r="AU63"/>
          <cell r="AV63"/>
          <cell r="AW63"/>
          <cell r="AX63"/>
          <cell r="AY63"/>
          <cell r="AZ63"/>
          <cell r="BA63"/>
          <cell r="BB63"/>
          <cell r="BC63"/>
          <cell r="BD63"/>
          <cell r="BE63"/>
          <cell r="BF63"/>
          <cell r="BG63"/>
          <cell r="BH63"/>
          <cell r="BI63"/>
          <cell r="BJ63"/>
          <cell r="BK63"/>
          <cell r="BL63" t="e">
            <v>#REF!</v>
          </cell>
          <cell r="BM63"/>
          <cell r="BN63"/>
          <cell r="BO63"/>
          <cell r="BP63"/>
          <cell r="BQ63"/>
          <cell r="BR63"/>
          <cell r="BS63"/>
          <cell r="BT63"/>
          <cell r="BU63"/>
          <cell r="BV63"/>
          <cell r="BW63"/>
          <cell r="BX63"/>
          <cell r="BY63" t="e">
            <v>#REF!</v>
          </cell>
          <cell r="BZ63"/>
          <cell r="CA63"/>
          <cell r="CB63"/>
          <cell r="CC63"/>
          <cell r="CD63">
            <v>-1074</v>
          </cell>
          <cell r="CE63"/>
          <cell r="CF63"/>
          <cell r="CG63"/>
          <cell r="CH63"/>
          <cell r="CI63"/>
          <cell r="CJ63"/>
          <cell r="CK63"/>
          <cell r="CL63" t="e">
            <v>#REF!</v>
          </cell>
          <cell r="CM63"/>
          <cell r="CN63"/>
          <cell r="CO63"/>
          <cell r="CP63"/>
          <cell r="CQ63"/>
          <cell r="CR63"/>
          <cell r="CS63"/>
          <cell r="CT63" t="e">
            <v>#REF!</v>
          </cell>
          <cell r="CU63"/>
          <cell r="CV63"/>
          <cell r="CW63"/>
          <cell r="CX63"/>
          <cell r="CY63" t="str">
            <v>59</v>
          </cell>
        </row>
        <row r="64">
          <cell r="B64" t="str">
            <v>60</v>
          </cell>
          <cell r="C64"/>
          <cell r="D64"/>
          <cell r="E64"/>
          <cell r="F64" t="e">
            <v>#REF!</v>
          </cell>
          <cell r="G64"/>
          <cell r="H64"/>
          <cell r="I64"/>
          <cell r="J64"/>
          <cell r="K64"/>
          <cell r="L64"/>
          <cell r="M64"/>
          <cell r="N64"/>
          <cell r="O64"/>
          <cell r="P64"/>
          <cell r="Q64"/>
          <cell r="R64"/>
          <cell r="S64" t="e">
            <v>#REF!</v>
          </cell>
          <cell r="T64"/>
          <cell r="U64"/>
          <cell r="V64"/>
          <cell r="W64"/>
          <cell r="X64">
            <v>0</v>
          </cell>
          <cell r="Y64"/>
          <cell r="Z64"/>
          <cell r="AA64"/>
          <cell r="AB64"/>
          <cell r="AC64"/>
          <cell r="AD64"/>
          <cell r="AE64"/>
          <cell r="AF64" t="e">
            <v>#REF!</v>
          </cell>
          <cell r="AG64"/>
          <cell r="AH64"/>
          <cell r="AI64"/>
          <cell r="AJ64"/>
          <cell r="AK64"/>
          <cell r="AL64"/>
          <cell r="AM64"/>
          <cell r="AN64" t="e">
            <v>#REF!</v>
          </cell>
          <cell r="AO64"/>
          <cell r="AP64"/>
          <cell r="AQ64"/>
          <cell r="AR64"/>
          <cell r="AS64">
            <v>6690</v>
          </cell>
          <cell r="AT64" t="str">
            <v>Parts &amp; Accessories - Inventory Adjustment</v>
          </cell>
          <cell r="AU64"/>
          <cell r="AV64"/>
          <cell r="AW64"/>
          <cell r="AX64"/>
          <cell r="AY64"/>
          <cell r="AZ64"/>
          <cell r="BA64"/>
          <cell r="BB64"/>
          <cell r="BC64"/>
          <cell r="BD64"/>
          <cell r="BE64"/>
          <cell r="BF64"/>
          <cell r="BG64"/>
          <cell r="BH64"/>
          <cell r="BI64"/>
          <cell r="BJ64"/>
          <cell r="BK64"/>
          <cell r="BL64" t="e">
            <v>#REF!</v>
          </cell>
          <cell r="BM64"/>
          <cell r="BN64"/>
          <cell r="BO64"/>
          <cell r="BP64"/>
          <cell r="BQ64"/>
          <cell r="BR64"/>
          <cell r="BS64"/>
          <cell r="BT64"/>
          <cell r="BU64"/>
          <cell r="BV64"/>
          <cell r="BW64"/>
          <cell r="BX64"/>
          <cell r="BY64" t="e">
            <v>#REF!</v>
          </cell>
          <cell r="BZ64"/>
          <cell r="CA64"/>
          <cell r="CB64"/>
          <cell r="CC64"/>
          <cell r="CD64">
            <v>-13507</v>
          </cell>
          <cell r="CE64"/>
          <cell r="CF64"/>
          <cell r="CG64"/>
          <cell r="CH64"/>
          <cell r="CI64"/>
          <cell r="CJ64"/>
          <cell r="CK64"/>
          <cell r="CL64" t="e">
            <v>#REF!</v>
          </cell>
          <cell r="CM64"/>
          <cell r="CN64"/>
          <cell r="CO64"/>
          <cell r="CP64"/>
          <cell r="CQ64"/>
          <cell r="CR64"/>
          <cell r="CS64"/>
          <cell r="CT64" t="e">
            <v>#REF!</v>
          </cell>
          <cell r="CU64"/>
          <cell r="CV64"/>
          <cell r="CW64"/>
          <cell r="CX64"/>
          <cell r="CY64" t="str">
            <v>60</v>
          </cell>
        </row>
        <row r="65">
          <cell r="B65" t="str">
            <v>61</v>
          </cell>
          <cell r="C65">
            <v>333</v>
          </cell>
          <cell r="D65"/>
          <cell r="E65"/>
          <cell r="F65" t="e">
            <v>#REF!</v>
          </cell>
          <cell r="G65"/>
          <cell r="H65"/>
          <cell r="I65"/>
          <cell r="J65"/>
          <cell r="K65">
            <v>277447</v>
          </cell>
          <cell r="L65"/>
          <cell r="M65"/>
          <cell r="N65"/>
          <cell r="O65"/>
          <cell r="P65"/>
          <cell r="Q65"/>
          <cell r="R65"/>
          <cell r="S65" t="e">
            <v>#REF!</v>
          </cell>
          <cell r="T65"/>
          <cell r="U65"/>
          <cell r="V65"/>
          <cell r="W65"/>
          <cell r="X65">
            <v>83331</v>
          </cell>
          <cell r="Y65"/>
          <cell r="Z65"/>
          <cell r="AA65"/>
          <cell r="AB65"/>
          <cell r="AC65"/>
          <cell r="AD65"/>
          <cell r="AE65"/>
          <cell r="AF65" t="e">
            <v>#REF!</v>
          </cell>
          <cell r="AG65"/>
          <cell r="AH65"/>
          <cell r="AI65"/>
          <cell r="AJ65"/>
          <cell r="AK65">
            <v>30</v>
          </cell>
          <cell r="AL65"/>
          <cell r="AM65"/>
          <cell r="AN65" t="e">
            <v>#REF!</v>
          </cell>
          <cell r="AO65"/>
          <cell r="AP65"/>
          <cell r="AQ65"/>
          <cell r="AR65"/>
          <cell r="AS65" t="str">
            <v>TT45</v>
          </cell>
          <cell r="AT65" t="str">
            <v>TOTAL - P &amp; A DEPT.</v>
          </cell>
          <cell r="AU65"/>
          <cell r="AV65"/>
          <cell r="AW65"/>
          <cell r="AX65"/>
          <cell r="AY65"/>
          <cell r="AZ65"/>
          <cell r="BA65"/>
          <cell r="BB65"/>
          <cell r="BC65"/>
          <cell r="BD65"/>
          <cell r="BE65"/>
          <cell r="BF65"/>
          <cell r="BG65"/>
          <cell r="BH65" t="str">
            <v>(Lines 29, 35, 47, 56 to 60)</v>
          </cell>
          <cell r="BI65">
            <v>4341</v>
          </cell>
          <cell r="BJ65"/>
          <cell r="BK65"/>
          <cell r="BL65" t="e">
            <v>#REF!</v>
          </cell>
          <cell r="BM65"/>
          <cell r="BN65"/>
          <cell r="BO65"/>
          <cell r="BP65"/>
          <cell r="BQ65">
            <v>3525840</v>
          </cell>
          <cell r="BR65"/>
          <cell r="BS65"/>
          <cell r="BT65"/>
          <cell r="BU65"/>
          <cell r="BV65"/>
          <cell r="BW65"/>
          <cell r="BX65"/>
          <cell r="BY65" t="e">
            <v>#REF!</v>
          </cell>
          <cell r="BZ65"/>
          <cell r="CA65"/>
          <cell r="CB65"/>
          <cell r="CC65"/>
          <cell r="CD65">
            <v>1112405</v>
          </cell>
          <cell r="CE65"/>
          <cell r="CF65"/>
          <cell r="CG65"/>
          <cell r="CH65"/>
          <cell r="CI65"/>
          <cell r="CJ65"/>
          <cell r="CK65"/>
          <cell r="CL65" t="e">
            <v>#REF!</v>
          </cell>
          <cell r="CM65"/>
          <cell r="CN65"/>
          <cell r="CO65"/>
          <cell r="CP65"/>
          <cell r="CQ65">
            <v>31.6</v>
          </cell>
          <cell r="CR65"/>
          <cell r="CS65"/>
          <cell r="CT65" t="e">
            <v>#REF!</v>
          </cell>
          <cell r="CU65"/>
          <cell r="CV65"/>
          <cell r="CW65"/>
          <cell r="CX65"/>
          <cell r="CY65" t="str">
            <v>61</v>
          </cell>
        </row>
        <row r="66">
          <cell r="B66" t="str">
            <v>62</v>
          </cell>
          <cell r="C66" t="str">
            <v># RO's</v>
          </cell>
          <cell r="D66"/>
          <cell r="E66"/>
          <cell r="F66" t="e">
            <v>#REF!</v>
          </cell>
          <cell r="G66"/>
          <cell r="H66"/>
          <cell r="I66"/>
          <cell r="J66"/>
          <cell r="K66"/>
          <cell r="L66"/>
          <cell r="M66"/>
          <cell r="N66"/>
          <cell r="O66"/>
          <cell r="P66"/>
          <cell r="Q66"/>
          <cell r="R66"/>
          <cell r="S66" t="e">
            <v>#REF!</v>
          </cell>
          <cell r="T66"/>
          <cell r="U66"/>
          <cell r="V66"/>
          <cell r="W66"/>
          <cell r="X66"/>
          <cell r="Y66"/>
          <cell r="Z66"/>
          <cell r="AA66"/>
          <cell r="AB66"/>
          <cell r="AC66"/>
          <cell r="AD66"/>
          <cell r="AE66"/>
          <cell r="AF66" t="e">
            <v>#REF!</v>
          </cell>
          <cell r="AG66"/>
          <cell r="AH66"/>
          <cell r="AI66"/>
          <cell r="AJ66"/>
          <cell r="AK66"/>
          <cell r="AL66"/>
          <cell r="AM66"/>
          <cell r="AN66" t="e">
            <v>#REF!</v>
          </cell>
          <cell r="AO66"/>
          <cell r="AP66"/>
          <cell r="AQ66"/>
          <cell r="AR66"/>
          <cell r="AS66"/>
          <cell r="AT66" t="str">
            <v>BODY SHOP DEPARTMENT (E)</v>
          </cell>
          <cell r="AU66"/>
          <cell r="AV66"/>
          <cell r="AW66"/>
          <cell r="AX66"/>
          <cell r="AY66"/>
          <cell r="AZ66"/>
          <cell r="BA66"/>
          <cell r="BB66"/>
          <cell r="BC66"/>
          <cell r="BD66"/>
          <cell r="BE66"/>
          <cell r="BF66"/>
          <cell r="BG66"/>
          <cell r="BH66"/>
          <cell r="BI66" t="str">
            <v># RO's</v>
          </cell>
          <cell r="BJ66"/>
          <cell r="BK66"/>
          <cell r="BL66" t="e">
            <v>#REF!</v>
          </cell>
          <cell r="BM66"/>
          <cell r="BN66"/>
          <cell r="BO66"/>
          <cell r="BP66"/>
          <cell r="BQ66"/>
          <cell r="BR66"/>
          <cell r="BS66"/>
          <cell r="BT66"/>
          <cell r="BU66"/>
          <cell r="BV66"/>
          <cell r="BW66"/>
          <cell r="BX66"/>
          <cell r="BY66" t="e">
            <v>#REF!</v>
          </cell>
          <cell r="BZ66"/>
          <cell r="CA66"/>
          <cell r="CB66"/>
          <cell r="CC66"/>
          <cell r="CD66"/>
          <cell r="CE66"/>
          <cell r="CF66"/>
          <cell r="CG66"/>
          <cell r="CH66"/>
          <cell r="CI66"/>
          <cell r="CJ66"/>
          <cell r="CK66"/>
          <cell r="CL66" t="e">
            <v>#REF!</v>
          </cell>
          <cell r="CM66"/>
          <cell r="CN66"/>
          <cell r="CO66"/>
          <cell r="CP66"/>
          <cell r="CQ66"/>
          <cell r="CR66"/>
          <cell r="CS66"/>
          <cell r="CT66" t="e">
            <v>#REF!</v>
          </cell>
          <cell r="CU66"/>
          <cell r="CV66"/>
          <cell r="CW66"/>
          <cell r="CX66"/>
          <cell r="CY66" t="str">
            <v>62</v>
          </cell>
        </row>
        <row r="67">
          <cell r="B67" t="str">
            <v>63</v>
          </cell>
          <cell r="C67">
            <v>0</v>
          </cell>
          <cell r="D67"/>
          <cell r="E67"/>
          <cell r="F67" t="e">
            <v>#REF!</v>
          </cell>
          <cell r="G67"/>
          <cell r="H67"/>
          <cell r="I67"/>
          <cell r="J67"/>
          <cell r="K67">
            <v>0</v>
          </cell>
          <cell r="L67"/>
          <cell r="M67"/>
          <cell r="N67"/>
          <cell r="O67"/>
          <cell r="P67"/>
          <cell r="Q67"/>
          <cell r="R67"/>
          <cell r="S67" t="e">
            <v>#REF!</v>
          </cell>
          <cell r="T67"/>
          <cell r="U67"/>
          <cell r="V67"/>
          <cell r="W67"/>
          <cell r="X67">
            <v>0</v>
          </cell>
          <cell r="Y67"/>
          <cell r="Z67"/>
          <cell r="AA67"/>
          <cell r="AB67"/>
          <cell r="AC67"/>
          <cell r="AD67"/>
          <cell r="AE67"/>
          <cell r="AF67" t="e">
            <v>#REF!</v>
          </cell>
          <cell r="AG67"/>
          <cell r="AH67"/>
          <cell r="AI67"/>
          <cell r="AJ67"/>
          <cell r="AK67">
            <v>0</v>
          </cell>
          <cell r="AL67"/>
          <cell r="AM67"/>
          <cell r="AN67" t="e">
            <v>#REF!</v>
          </cell>
          <cell r="AO67"/>
          <cell r="AP67"/>
          <cell r="AQ67"/>
          <cell r="AR67"/>
          <cell r="AS67">
            <v>4900</v>
          </cell>
          <cell r="AT67" t="str">
            <v>Customer Body Shop Labor - Vehicles</v>
          </cell>
          <cell r="AU67"/>
          <cell r="AV67"/>
          <cell r="AW67"/>
          <cell r="AX67"/>
          <cell r="AY67"/>
          <cell r="AZ67"/>
          <cell r="BA67"/>
          <cell r="BB67"/>
          <cell r="BC67"/>
          <cell r="BD67"/>
          <cell r="BE67"/>
          <cell r="BF67"/>
          <cell r="BG67"/>
          <cell r="BH67"/>
          <cell r="BI67">
            <v>0</v>
          </cell>
          <cell r="BJ67"/>
          <cell r="BK67"/>
          <cell r="BL67" t="e">
            <v>#REF!</v>
          </cell>
          <cell r="BM67"/>
          <cell r="BN67"/>
          <cell r="BO67"/>
          <cell r="BP67"/>
          <cell r="BQ67">
            <v>0</v>
          </cell>
          <cell r="BR67"/>
          <cell r="BS67"/>
          <cell r="BT67"/>
          <cell r="BU67"/>
          <cell r="BV67"/>
          <cell r="BW67"/>
          <cell r="BX67"/>
          <cell r="BY67" t="e">
            <v>#REF!</v>
          </cell>
          <cell r="BZ67"/>
          <cell r="CA67"/>
          <cell r="CB67"/>
          <cell r="CC67"/>
          <cell r="CD67">
            <v>0</v>
          </cell>
          <cell r="CE67"/>
          <cell r="CF67"/>
          <cell r="CG67"/>
          <cell r="CH67"/>
          <cell r="CI67"/>
          <cell r="CJ67"/>
          <cell r="CK67"/>
          <cell r="CL67" t="e">
            <v>#REF!</v>
          </cell>
          <cell r="CM67"/>
          <cell r="CN67"/>
          <cell r="CO67"/>
          <cell r="CP67"/>
          <cell r="CQ67">
            <v>0</v>
          </cell>
          <cell r="CR67"/>
          <cell r="CS67"/>
          <cell r="CT67" t="e">
            <v>#REF!</v>
          </cell>
          <cell r="CU67"/>
          <cell r="CV67"/>
          <cell r="CW67"/>
          <cell r="CX67"/>
          <cell r="CY67" t="str">
            <v>63</v>
          </cell>
        </row>
        <row r="68">
          <cell r="B68" t="str">
            <v>64</v>
          </cell>
          <cell r="C68">
            <v>0</v>
          </cell>
          <cell r="D68"/>
          <cell r="E68"/>
          <cell r="F68" t="e">
            <v>#REF!</v>
          </cell>
          <cell r="G68"/>
          <cell r="H68"/>
          <cell r="I68"/>
          <cell r="J68"/>
          <cell r="K68">
            <v>0</v>
          </cell>
          <cell r="L68"/>
          <cell r="M68"/>
          <cell r="N68"/>
          <cell r="O68"/>
          <cell r="P68"/>
          <cell r="Q68"/>
          <cell r="R68"/>
          <cell r="S68" t="e">
            <v>#REF!</v>
          </cell>
          <cell r="T68"/>
          <cell r="U68"/>
          <cell r="V68"/>
          <cell r="W68"/>
          <cell r="X68">
            <v>0</v>
          </cell>
          <cell r="Y68"/>
          <cell r="Z68"/>
          <cell r="AA68"/>
          <cell r="AB68"/>
          <cell r="AC68"/>
          <cell r="AD68"/>
          <cell r="AE68"/>
          <cell r="AF68" t="e">
            <v>#REF!</v>
          </cell>
          <cell r="AG68"/>
          <cell r="AH68"/>
          <cell r="AI68"/>
          <cell r="AJ68"/>
          <cell r="AK68">
            <v>0</v>
          </cell>
          <cell r="AL68"/>
          <cell r="AM68"/>
          <cell r="AN68" t="e">
            <v>#REF!</v>
          </cell>
          <cell r="AO68"/>
          <cell r="AP68"/>
          <cell r="AQ68"/>
          <cell r="AR68"/>
          <cell r="AS68">
            <v>4940</v>
          </cell>
          <cell r="AT68" t="str">
            <v>Warranty Claims Body Shop Labor</v>
          </cell>
          <cell r="AU68"/>
          <cell r="AV68"/>
          <cell r="AW68"/>
          <cell r="AX68"/>
          <cell r="AY68"/>
          <cell r="AZ68"/>
          <cell r="BA68"/>
          <cell r="BB68"/>
          <cell r="BC68"/>
          <cell r="BD68"/>
          <cell r="BE68"/>
          <cell r="BF68"/>
          <cell r="BG68"/>
          <cell r="BH68"/>
          <cell r="BI68">
            <v>0</v>
          </cell>
          <cell r="BJ68"/>
          <cell r="BK68"/>
          <cell r="BL68" t="e">
            <v>#REF!</v>
          </cell>
          <cell r="BM68"/>
          <cell r="BN68"/>
          <cell r="BO68"/>
          <cell r="BP68"/>
          <cell r="BQ68">
            <v>0</v>
          </cell>
          <cell r="BR68"/>
          <cell r="BS68"/>
          <cell r="BT68"/>
          <cell r="BU68"/>
          <cell r="BV68"/>
          <cell r="BW68"/>
          <cell r="BX68"/>
          <cell r="BY68" t="e">
            <v>#REF!</v>
          </cell>
          <cell r="BZ68"/>
          <cell r="CA68"/>
          <cell r="CB68"/>
          <cell r="CC68"/>
          <cell r="CD68">
            <v>0</v>
          </cell>
          <cell r="CE68"/>
          <cell r="CF68"/>
          <cell r="CG68"/>
          <cell r="CH68"/>
          <cell r="CI68"/>
          <cell r="CJ68"/>
          <cell r="CK68"/>
          <cell r="CL68" t="e">
            <v>#REF!</v>
          </cell>
          <cell r="CM68"/>
          <cell r="CN68"/>
          <cell r="CO68"/>
          <cell r="CP68"/>
          <cell r="CQ68">
            <v>0</v>
          </cell>
          <cell r="CR68"/>
          <cell r="CS68"/>
          <cell r="CT68" t="e">
            <v>#REF!</v>
          </cell>
          <cell r="CU68"/>
          <cell r="CV68"/>
          <cell r="CW68"/>
          <cell r="CX68"/>
          <cell r="CY68" t="str">
            <v>64</v>
          </cell>
        </row>
        <row r="69">
          <cell r="B69" t="str">
            <v>65</v>
          </cell>
          <cell r="C69">
            <v>0</v>
          </cell>
          <cell r="D69"/>
          <cell r="E69"/>
          <cell r="F69" t="e">
            <v>#REF!</v>
          </cell>
          <cell r="G69"/>
          <cell r="H69"/>
          <cell r="I69"/>
          <cell r="J69"/>
          <cell r="K69">
            <v>0</v>
          </cell>
          <cell r="L69"/>
          <cell r="M69"/>
          <cell r="N69"/>
          <cell r="O69"/>
          <cell r="P69"/>
          <cell r="Q69"/>
          <cell r="R69"/>
          <cell r="S69" t="e">
            <v>#REF!</v>
          </cell>
          <cell r="T69"/>
          <cell r="U69"/>
          <cell r="V69"/>
          <cell r="W69"/>
          <cell r="X69">
            <v>0</v>
          </cell>
          <cell r="Y69"/>
          <cell r="Z69"/>
          <cell r="AA69"/>
          <cell r="AB69"/>
          <cell r="AC69"/>
          <cell r="AD69"/>
          <cell r="AE69"/>
          <cell r="AF69" t="e">
            <v>#REF!</v>
          </cell>
          <cell r="AG69"/>
          <cell r="AH69"/>
          <cell r="AI69"/>
          <cell r="AJ69"/>
          <cell r="AK69">
            <v>0</v>
          </cell>
          <cell r="AL69"/>
          <cell r="AM69"/>
          <cell r="AN69" t="e">
            <v>#REF!</v>
          </cell>
          <cell r="AO69"/>
          <cell r="AP69"/>
          <cell r="AQ69"/>
          <cell r="AR69"/>
          <cell r="AS69">
            <v>4950</v>
          </cell>
          <cell r="AT69" t="str">
            <v>Internal Body Shop Labor</v>
          </cell>
          <cell r="AU69"/>
          <cell r="AV69"/>
          <cell r="AW69"/>
          <cell r="AX69"/>
          <cell r="AY69"/>
          <cell r="AZ69"/>
          <cell r="BA69"/>
          <cell r="BB69"/>
          <cell r="BC69"/>
          <cell r="BD69"/>
          <cell r="BE69"/>
          <cell r="BF69"/>
          <cell r="BG69"/>
          <cell r="BH69"/>
          <cell r="BI69">
            <v>0</v>
          </cell>
          <cell r="BJ69"/>
          <cell r="BK69"/>
          <cell r="BL69" t="e">
            <v>#REF!</v>
          </cell>
          <cell r="BM69"/>
          <cell r="BN69"/>
          <cell r="BO69"/>
          <cell r="BP69"/>
          <cell r="BQ69">
            <v>0</v>
          </cell>
          <cell r="BR69"/>
          <cell r="BS69"/>
          <cell r="BT69"/>
          <cell r="BU69"/>
          <cell r="BV69"/>
          <cell r="BW69"/>
          <cell r="BX69"/>
          <cell r="BY69" t="e">
            <v>#REF!</v>
          </cell>
          <cell r="BZ69"/>
          <cell r="CA69"/>
          <cell r="CB69"/>
          <cell r="CC69"/>
          <cell r="CD69">
            <v>0</v>
          </cell>
          <cell r="CE69"/>
          <cell r="CF69"/>
          <cell r="CG69"/>
          <cell r="CH69"/>
          <cell r="CI69"/>
          <cell r="CJ69"/>
          <cell r="CK69"/>
          <cell r="CL69" t="e">
            <v>#REF!</v>
          </cell>
          <cell r="CM69"/>
          <cell r="CN69"/>
          <cell r="CO69"/>
          <cell r="CP69"/>
          <cell r="CQ69">
            <v>0</v>
          </cell>
          <cell r="CR69"/>
          <cell r="CS69"/>
          <cell r="CT69" t="e">
            <v>#REF!</v>
          </cell>
          <cell r="CU69"/>
          <cell r="CV69"/>
          <cell r="CW69"/>
          <cell r="CX69"/>
          <cell r="CY69" t="str">
            <v>65</v>
          </cell>
        </row>
        <row r="70">
          <cell r="B70" t="str">
            <v>66</v>
          </cell>
          <cell r="C70"/>
          <cell r="D70"/>
          <cell r="E70"/>
          <cell r="F70" t="e">
            <v>#REF!</v>
          </cell>
          <cell r="G70"/>
          <cell r="H70"/>
          <cell r="I70"/>
          <cell r="J70"/>
          <cell r="K70">
            <v>0</v>
          </cell>
          <cell r="L70"/>
          <cell r="M70"/>
          <cell r="N70"/>
          <cell r="O70"/>
          <cell r="P70"/>
          <cell r="Q70"/>
          <cell r="R70"/>
          <cell r="S70" t="e">
            <v>#REF!</v>
          </cell>
          <cell r="T70"/>
          <cell r="U70"/>
          <cell r="V70"/>
          <cell r="W70"/>
          <cell r="X70">
            <v>0</v>
          </cell>
          <cell r="Y70"/>
          <cell r="Z70"/>
          <cell r="AA70"/>
          <cell r="AB70"/>
          <cell r="AC70"/>
          <cell r="AD70"/>
          <cell r="AE70"/>
          <cell r="AF70" t="e">
            <v>#REF!</v>
          </cell>
          <cell r="AG70"/>
          <cell r="AH70"/>
          <cell r="AI70"/>
          <cell r="AJ70"/>
          <cell r="AK70">
            <v>0</v>
          </cell>
          <cell r="AL70"/>
          <cell r="AM70"/>
          <cell r="AN70" t="e">
            <v>#REF!</v>
          </cell>
          <cell r="AO70"/>
          <cell r="AP70"/>
          <cell r="AQ70"/>
          <cell r="AR70"/>
          <cell r="AS70">
            <v>4960</v>
          </cell>
          <cell r="AT70" t="str">
            <v>Sublet Repairs Body Shop</v>
          </cell>
          <cell r="AU70"/>
          <cell r="AV70"/>
          <cell r="AW70"/>
          <cell r="AX70"/>
          <cell r="AY70"/>
          <cell r="AZ70"/>
          <cell r="BA70"/>
          <cell r="BB70"/>
          <cell r="BC70"/>
          <cell r="BD70"/>
          <cell r="BE70"/>
          <cell r="BF70"/>
          <cell r="BG70"/>
          <cell r="BH70"/>
          <cell r="BI70"/>
          <cell r="BJ70"/>
          <cell r="BK70"/>
          <cell r="BL70" t="e">
            <v>#REF!</v>
          </cell>
          <cell r="BM70"/>
          <cell r="BN70"/>
          <cell r="BO70"/>
          <cell r="BP70"/>
          <cell r="BQ70">
            <v>0</v>
          </cell>
          <cell r="BR70"/>
          <cell r="BS70"/>
          <cell r="BT70"/>
          <cell r="BU70"/>
          <cell r="BV70"/>
          <cell r="BW70"/>
          <cell r="BX70"/>
          <cell r="BY70" t="e">
            <v>#REF!</v>
          </cell>
          <cell r="BZ70"/>
          <cell r="CA70"/>
          <cell r="CB70"/>
          <cell r="CC70"/>
          <cell r="CD70">
            <v>0</v>
          </cell>
          <cell r="CE70"/>
          <cell r="CF70"/>
          <cell r="CG70"/>
          <cell r="CH70"/>
          <cell r="CI70"/>
          <cell r="CJ70"/>
          <cell r="CK70"/>
          <cell r="CL70" t="e">
            <v>#REF!</v>
          </cell>
          <cell r="CM70"/>
          <cell r="CN70"/>
          <cell r="CO70"/>
          <cell r="CP70"/>
          <cell r="CQ70">
            <v>0</v>
          </cell>
          <cell r="CR70"/>
          <cell r="CS70"/>
          <cell r="CT70" t="e">
            <v>#REF!</v>
          </cell>
          <cell r="CU70"/>
          <cell r="CV70"/>
          <cell r="CW70"/>
          <cell r="CX70"/>
          <cell r="CY70" t="str">
            <v>66</v>
          </cell>
        </row>
        <row r="71">
          <cell r="B71" t="str">
            <v>67</v>
          </cell>
          <cell r="C71"/>
          <cell r="D71"/>
          <cell r="E71"/>
          <cell r="F71" t="e">
            <v>#REF!</v>
          </cell>
          <cell r="G71"/>
          <cell r="H71"/>
          <cell r="I71"/>
          <cell r="J71"/>
          <cell r="K71">
            <v>0</v>
          </cell>
          <cell r="L71"/>
          <cell r="M71"/>
          <cell r="N71"/>
          <cell r="O71"/>
          <cell r="P71"/>
          <cell r="Q71"/>
          <cell r="R71"/>
          <cell r="S71" t="e">
            <v>#REF!</v>
          </cell>
          <cell r="T71"/>
          <cell r="U71"/>
          <cell r="V71"/>
          <cell r="W71"/>
          <cell r="X71">
            <v>0</v>
          </cell>
          <cell r="Y71"/>
          <cell r="Z71"/>
          <cell r="AA71"/>
          <cell r="AB71"/>
          <cell r="AC71"/>
          <cell r="AD71"/>
          <cell r="AE71"/>
          <cell r="AF71" t="e">
            <v>#REF!</v>
          </cell>
          <cell r="AG71"/>
          <cell r="AH71"/>
          <cell r="AI71"/>
          <cell r="AJ71"/>
          <cell r="AK71">
            <v>0</v>
          </cell>
          <cell r="AL71"/>
          <cell r="AM71"/>
          <cell r="AN71" t="e">
            <v>#REF!</v>
          </cell>
          <cell r="AO71"/>
          <cell r="AP71"/>
          <cell r="AQ71"/>
          <cell r="AR71"/>
          <cell r="AS71">
            <v>4970</v>
          </cell>
          <cell r="AT71" t="str">
            <v>Body Shop Materials</v>
          </cell>
          <cell r="AU71"/>
          <cell r="AV71"/>
          <cell r="AW71"/>
          <cell r="AX71"/>
          <cell r="AY71"/>
          <cell r="AZ71"/>
          <cell r="BA71"/>
          <cell r="BB71"/>
          <cell r="BC71"/>
          <cell r="BD71"/>
          <cell r="BE71"/>
          <cell r="BF71"/>
          <cell r="BG71"/>
          <cell r="BH71"/>
          <cell r="BI71"/>
          <cell r="BJ71"/>
          <cell r="BK71"/>
          <cell r="BL71" t="e">
            <v>#REF!</v>
          </cell>
          <cell r="BM71"/>
          <cell r="BN71"/>
          <cell r="BO71"/>
          <cell r="BP71"/>
          <cell r="BQ71">
            <v>0</v>
          </cell>
          <cell r="BR71"/>
          <cell r="BS71"/>
          <cell r="BT71"/>
          <cell r="BU71"/>
          <cell r="BV71"/>
          <cell r="BW71"/>
          <cell r="BX71"/>
          <cell r="BY71" t="e">
            <v>#REF!</v>
          </cell>
          <cell r="BZ71"/>
          <cell r="CA71"/>
          <cell r="CB71"/>
          <cell r="CC71"/>
          <cell r="CD71">
            <v>0</v>
          </cell>
          <cell r="CE71"/>
          <cell r="CF71"/>
          <cell r="CG71"/>
          <cell r="CH71"/>
          <cell r="CI71"/>
          <cell r="CJ71"/>
          <cell r="CK71"/>
          <cell r="CL71" t="e">
            <v>#REF!</v>
          </cell>
          <cell r="CM71"/>
          <cell r="CN71"/>
          <cell r="CO71"/>
          <cell r="CP71"/>
          <cell r="CQ71">
            <v>0</v>
          </cell>
          <cell r="CR71"/>
          <cell r="CS71"/>
          <cell r="CT71" t="e">
            <v>#REF!</v>
          </cell>
          <cell r="CU71"/>
          <cell r="CV71"/>
          <cell r="CW71"/>
          <cell r="CX71"/>
          <cell r="CY71" t="str">
            <v>67</v>
          </cell>
        </row>
        <row r="72">
          <cell r="B72" t="str">
            <v>68</v>
          </cell>
          <cell r="C72"/>
          <cell r="D72"/>
          <cell r="E72"/>
          <cell r="F72" t="e">
            <v>#REF!</v>
          </cell>
          <cell r="G72"/>
          <cell r="H72"/>
          <cell r="I72"/>
          <cell r="J72"/>
          <cell r="K72">
            <v>0</v>
          </cell>
          <cell r="L72"/>
          <cell r="M72"/>
          <cell r="N72"/>
          <cell r="O72"/>
          <cell r="P72"/>
          <cell r="Q72"/>
          <cell r="R72"/>
          <cell r="S72" t="e">
            <v>#REF!</v>
          </cell>
          <cell r="T72"/>
          <cell r="U72"/>
          <cell r="V72"/>
          <cell r="W72"/>
          <cell r="X72">
            <v>0</v>
          </cell>
          <cell r="Y72"/>
          <cell r="Z72"/>
          <cell r="AA72"/>
          <cell r="AB72"/>
          <cell r="AC72"/>
          <cell r="AD72"/>
          <cell r="AE72"/>
          <cell r="AF72" t="e">
            <v>#REF!</v>
          </cell>
          <cell r="AG72"/>
          <cell r="AH72"/>
          <cell r="AI72"/>
          <cell r="AJ72"/>
          <cell r="AK72">
            <v>0</v>
          </cell>
          <cell r="AL72"/>
          <cell r="AM72"/>
          <cell r="AN72" t="e">
            <v>#REF!</v>
          </cell>
          <cell r="AO72"/>
          <cell r="AP72"/>
          <cell r="AQ72"/>
          <cell r="AR72"/>
          <cell r="AS72">
            <v>4980</v>
          </cell>
          <cell r="AT72" t="str">
            <v>Miscellaneous Body Shop</v>
          </cell>
          <cell r="AU72"/>
          <cell r="AV72"/>
          <cell r="AW72"/>
          <cell r="AX72"/>
          <cell r="AY72"/>
          <cell r="AZ72"/>
          <cell r="BA72"/>
          <cell r="BB72"/>
          <cell r="BC72"/>
          <cell r="BD72"/>
          <cell r="BE72"/>
          <cell r="BF72"/>
          <cell r="BG72"/>
          <cell r="BH72"/>
          <cell r="BI72"/>
          <cell r="BJ72"/>
          <cell r="BK72"/>
          <cell r="BL72" t="e">
            <v>#REF!</v>
          </cell>
          <cell r="BM72"/>
          <cell r="BN72"/>
          <cell r="BO72"/>
          <cell r="BP72"/>
          <cell r="BQ72">
            <v>0</v>
          </cell>
          <cell r="BR72"/>
          <cell r="BS72"/>
          <cell r="BT72"/>
          <cell r="BU72"/>
          <cell r="BV72"/>
          <cell r="BW72"/>
          <cell r="BX72"/>
          <cell r="BY72" t="e">
            <v>#REF!</v>
          </cell>
          <cell r="BZ72"/>
          <cell r="CA72"/>
          <cell r="CB72"/>
          <cell r="CC72"/>
          <cell r="CD72">
            <v>0</v>
          </cell>
          <cell r="CE72"/>
          <cell r="CF72"/>
          <cell r="CG72"/>
          <cell r="CH72"/>
          <cell r="CI72"/>
          <cell r="CJ72"/>
          <cell r="CK72"/>
          <cell r="CL72" t="e">
            <v>#REF!</v>
          </cell>
          <cell r="CM72"/>
          <cell r="CN72"/>
          <cell r="CO72"/>
          <cell r="CP72"/>
          <cell r="CQ72">
            <v>0</v>
          </cell>
          <cell r="CR72"/>
          <cell r="CS72"/>
          <cell r="CT72" t="e">
            <v>#REF!</v>
          </cell>
          <cell r="CU72"/>
          <cell r="CV72"/>
          <cell r="CW72"/>
          <cell r="CX72"/>
          <cell r="CY72" t="str">
            <v>68</v>
          </cell>
        </row>
        <row r="73">
          <cell r="B73" t="str">
            <v>69</v>
          </cell>
          <cell r="C73"/>
          <cell r="D73"/>
          <cell r="E73"/>
          <cell r="F73" t="e">
            <v>#REF!</v>
          </cell>
          <cell r="G73"/>
          <cell r="H73"/>
          <cell r="I73"/>
          <cell r="J73"/>
          <cell r="K73"/>
          <cell r="L73"/>
          <cell r="M73"/>
          <cell r="N73"/>
          <cell r="O73"/>
          <cell r="P73"/>
          <cell r="Q73"/>
          <cell r="R73"/>
          <cell r="S73" t="e">
            <v>#REF!</v>
          </cell>
          <cell r="T73"/>
          <cell r="U73"/>
          <cell r="V73"/>
          <cell r="W73"/>
          <cell r="X73">
            <v>0</v>
          </cell>
          <cell r="Y73"/>
          <cell r="Z73"/>
          <cell r="AA73"/>
          <cell r="AB73"/>
          <cell r="AC73"/>
          <cell r="AD73"/>
          <cell r="AE73"/>
          <cell r="AF73" t="e">
            <v>#REF!</v>
          </cell>
          <cell r="AG73"/>
          <cell r="AH73"/>
          <cell r="AI73"/>
          <cell r="AJ73"/>
          <cell r="AK73"/>
          <cell r="AL73"/>
          <cell r="AM73"/>
          <cell r="AN73" t="e">
            <v>#REF!</v>
          </cell>
          <cell r="AO73"/>
          <cell r="AP73"/>
          <cell r="AQ73"/>
          <cell r="AR73"/>
          <cell r="AS73">
            <v>6990</v>
          </cell>
          <cell r="AT73" t="str">
            <v>Adj. Cost of Labor Sales - Body Shop</v>
          </cell>
          <cell r="AU73"/>
          <cell r="AV73"/>
          <cell r="AW73"/>
          <cell r="AX73"/>
          <cell r="AY73"/>
          <cell r="AZ73"/>
          <cell r="BA73"/>
          <cell r="BB73"/>
          <cell r="BC73"/>
          <cell r="BD73"/>
          <cell r="BE73"/>
          <cell r="BF73"/>
          <cell r="BG73"/>
          <cell r="BH73"/>
          <cell r="BI73"/>
          <cell r="BJ73"/>
          <cell r="BK73"/>
          <cell r="BL73" t="e">
            <v>#REF!</v>
          </cell>
          <cell r="BM73"/>
          <cell r="BN73"/>
          <cell r="BO73"/>
          <cell r="BP73"/>
          <cell r="BQ73"/>
          <cell r="BR73"/>
          <cell r="BS73"/>
          <cell r="BT73"/>
          <cell r="BU73"/>
          <cell r="BV73"/>
          <cell r="BW73"/>
          <cell r="BX73"/>
          <cell r="BY73" t="e">
            <v>#REF!</v>
          </cell>
          <cell r="BZ73"/>
          <cell r="CA73"/>
          <cell r="CB73"/>
          <cell r="CC73"/>
          <cell r="CD73">
            <v>0</v>
          </cell>
          <cell r="CE73"/>
          <cell r="CF73"/>
          <cell r="CG73"/>
          <cell r="CH73"/>
          <cell r="CI73"/>
          <cell r="CJ73"/>
          <cell r="CK73"/>
          <cell r="CL73" t="e">
            <v>#REF!</v>
          </cell>
          <cell r="CM73"/>
          <cell r="CN73"/>
          <cell r="CO73"/>
          <cell r="CP73"/>
          <cell r="CQ73"/>
          <cell r="CR73"/>
          <cell r="CS73"/>
          <cell r="CT73"/>
          <cell r="CU73"/>
          <cell r="CV73"/>
          <cell r="CW73"/>
          <cell r="CX73"/>
          <cell r="CY73" t="str">
            <v>69</v>
          </cell>
        </row>
        <row r="74">
          <cell r="B74" t="str">
            <v>70</v>
          </cell>
          <cell r="C74">
            <v>0</v>
          </cell>
          <cell r="D74"/>
          <cell r="E74"/>
          <cell r="F74" t="e">
            <v>#REF!</v>
          </cell>
          <cell r="G74"/>
          <cell r="H74"/>
          <cell r="I74"/>
          <cell r="J74"/>
          <cell r="K74">
            <v>0</v>
          </cell>
          <cell r="L74"/>
          <cell r="M74"/>
          <cell r="N74"/>
          <cell r="O74"/>
          <cell r="P74"/>
          <cell r="Q74"/>
          <cell r="R74"/>
          <cell r="S74" t="e">
            <v>#REF!</v>
          </cell>
          <cell r="T74"/>
          <cell r="U74"/>
          <cell r="V74"/>
          <cell r="W74"/>
          <cell r="X74">
            <v>0</v>
          </cell>
          <cell r="Y74"/>
          <cell r="Z74"/>
          <cell r="AA74"/>
          <cell r="AB74"/>
          <cell r="AC74"/>
          <cell r="AD74"/>
          <cell r="AE74"/>
          <cell r="AF74" t="e">
            <v>#REF!</v>
          </cell>
          <cell r="AG74"/>
          <cell r="AH74"/>
          <cell r="AI74"/>
          <cell r="AJ74"/>
          <cell r="AK74">
            <v>0</v>
          </cell>
          <cell r="AL74"/>
          <cell r="AM74"/>
          <cell r="AN74" t="e">
            <v>#REF!</v>
          </cell>
          <cell r="AO74"/>
          <cell r="AP74"/>
          <cell r="AQ74"/>
          <cell r="AR74"/>
          <cell r="AS74" t="str">
            <v>TT46</v>
          </cell>
          <cell r="AT74" t="str">
            <v>TOTAL BODY SHOP DEPT.</v>
          </cell>
          <cell r="AU74"/>
          <cell r="AV74"/>
          <cell r="AW74"/>
          <cell r="AX74"/>
          <cell r="AY74"/>
          <cell r="AZ74"/>
          <cell r="BA74"/>
          <cell r="BB74"/>
          <cell r="BC74"/>
          <cell r="BD74"/>
          <cell r="BE74"/>
          <cell r="BF74"/>
          <cell r="BG74"/>
          <cell r="BH74" t="str">
            <v xml:space="preserve">(Lines 63 to 69) </v>
          </cell>
          <cell r="BI74">
            <v>0</v>
          </cell>
          <cell r="BJ74"/>
          <cell r="BK74"/>
          <cell r="BL74" t="e">
            <v>#REF!</v>
          </cell>
          <cell r="BM74"/>
          <cell r="BN74"/>
          <cell r="BO74"/>
          <cell r="BP74"/>
          <cell r="BQ74">
            <v>0</v>
          </cell>
          <cell r="BR74"/>
          <cell r="BS74"/>
          <cell r="BT74"/>
          <cell r="BU74"/>
          <cell r="BV74"/>
          <cell r="BW74"/>
          <cell r="BX74"/>
          <cell r="BY74" t="e">
            <v>#REF!</v>
          </cell>
          <cell r="BZ74"/>
          <cell r="CA74"/>
          <cell r="CB74"/>
          <cell r="CC74"/>
          <cell r="CD74">
            <v>0</v>
          </cell>
          <cell r="CE74"/>
          <cell r="CF74"/>
          <cell r="CG74"/>
          <cell r="CH74"/>
          <cell r="CI74"/>
          <cell r="CJ74"/>
          <cell r="CK74"/>
          <cell r="CL74" t="e">
            <v>#REF!</v>
          </cell>
          <cell r="CM74"/>
          <cell r="CN74"/>
          <cell r="CO74"/>
          <cell r="CP74"/>
          <cell r="CQ74">
            <v>0</v>
          </cell>
          <cell r="CR74"/>
          <cell r="CS74"/>
          <cell r="CT74"/>
          <cell r="CU74"/>
          <cell r="CV74"/>
          <cell r="CW74"/>
          <cell r="CX74"/>
          <cell r="CY74" t="str">
            <v>70</v>
          </cell>
        </row>
        <row r="75">
          <cell r="B75" t="str">
            <v>71</v>
          </cell>
          <cell r="C75"/>
          <cell r="D75"/>
          <cell r="E75"/>
          <cell r="F75"/>
          <cell r="G75"/>
          <cell r="H75"/>
          <cell r="I75"/>
          <cell r="J75"/>
          <cell r="K75">
            <v>665371</v>
          </cell>
          <cell r="L75"/>
          <cell r="M75"/>
          <cell r="N75"/>
          <cell r="O75"/>
          <cell r="P75"/>
          <cell r="Q75"/>
          <cell r="R75"/>
          <cell r="S75"/>
          <cell r="T75"/>
          <cell r="U75"/>
          <cell r="V75"/>
          <cell r="W75"/>
          <cell r="X75">
            <v>291534</v>
          </cell>
          <cell r="Y75"/>
          <cell r="Z75"/>
          <cell r="AA75"/>
          <cell r="AB75"/>
          <cell r="AC75"/>
          <cell r="AD75"/>
          <cell r="AE75"/>
          <cell r="AF75"/>
          <cell r="AG75"/>
          <cell r="AH75"/>
          <cell r="AI75"/>
          <cell r="AJ75"/>
          <cell r="AK75">
            <v>43.8</v>
          </cell>
          <cell r="AL75"/>
          <cell r="AM75"/>
          <cell r="AN75"/>
          <cell r="AO75"/>
          <cell r="AP75"/>
          <cell r="AQ75"/>
          <cell r="AR75"/>
          <cell r="AS75"/>
          <cell r="AT75" t="str">
            <v>TOTAL SERVICE, PARTS &amp; B.S.</v>
          </cell>
          <cell r="AU75"/>
          <cell r="AV75"/>
          <cell r="AW75"/>
          <cell r="AX75"/>
          <cell r="AY75"/>
          <cell r="AZ75"/>
          <cell r="BA75"/>
          <cell r="BB75"/>
          <cell r="BC75"/>
          <cell r="BD75"/>
          <cell r="BE75"/>
          <cell r="BF75"/>
          <cell r="BG75"/>
          <cell r="BH75" t="str">
            <v xml:space="preserve">(Lines 17, 61 &amp; 70) </v>
          </cell>
          <cell r="BI75"/>
          <cell r="BJ75"/>
          <cell r="BK75"/>
          <cell r="BL75"/>
          <cell r="BM75"/>
          <cell r="BN75"/>
          <cell r="BO75"/>
          <cell r="BP75"/>
          <cell r="BQ75">
            <v>8178788</v>
          </cell>
          <cell r="BR75"/>
          <cell r="BS75"/>
          <cell r="BT75"/>
          <cell r="BU75"/>
          <cell r="BV75"/>
          <cell r="BW75"/>
          <cell r="BX75"/>
          <cell r="BY75" t="e">
            <v>#REF!</v>
          </cell>
          <cell r="BZ75"/>
          <cell r="CA75"/>
          <cell r="CB75"/>
          <cell r="CC75"/>
          <cell r="CD75">
            <v>3985134</v>
          </cell>
          <cell r="CE75"/>
          <cell r="CF75"/>
          <cell r="CG75"/>
          <cell r="CH75"/>
          <cell r="CI75"/>
          <cell r="CJ75"/>
          <cell r="CK75"/>
          <cell r="CL75" t="e">
            <v>#REF!</v>
          </cell>
          <cell r="CM75"/>
          <cell r="CN75"/>
          <cell r="CO75"/>
          <cell r="CP75"/>
          <cell r="CQ75">
            <v>48.7</v>
          </cell>
          <cell r="CR75"/>
          <cell r="CS75"/>
          <cell r="CT75"/>
          <cell r="CU75"/>
          <cell r="CV75"/>
          <cell r="CW75"/>
          <cell r="CX75"/>
          <cell r="CY75" t="str">
            <v>71</v>
          </cell>
        </row>
        <row r="76">
          <cell r="B76" t="str">
            <v>72</v>
          </cell>
          <cell r="C76" t="str">
            <v>EEEB</v>
          </cell>
          <cell r="D76"/>
          <cell r="E76"/>
          <cell r="F76"/>
          <cell r="G76"/>
          <cell r="H76"/>
          <cell r="I76"/>
          <cell r="J76"/>
          <cell r="K76">
            <v>9840134</v>
          </cell>
          <cell r="L76"/>
          <cell r="M76"/>
          <cell r="N76"/>
          <cell r="O76"/>
          <cell r="P76"/>
          <cell r="Q76"/>
          <cell r="R76"/>
          <cell r="S76"/>
          <cell r="T76"/>
          <cell r="U76"/>
          <cell r="V76"/>
          <cell r="W76"/>
          <cell r="X76">
            <v>584864</v>
          </cell>
          <cell r="Y76"/>
          <cell r="Z76"/>
          <cell r="AA76"/>
          <cell r="AB76"/>
          <cell r="AC76"/>
          <cell r="AD76"/>
          <cell r="AE76"/>
          <cell r="AF76"/>
          <cell r="AG76"/>
          <cell r="AH76"/>
          <cell r="AI76"/>
          <cell r="AJ76"/>
          <cell r="AK76">
            <v>5.9</v>
          </cell>
          <cell r="AL76"/>
          <cell r="AM76"/>
          <cell r="AN76"/>
          <cell r="AO76"/>
          <cell r="AP76"/>
          <cell r="AQ76"/>
          <cell r="AR76"/>
          <cell r="AS76" t="str">
            <v>EEEC</v>
          </cell>
          <cell r="AT76" t="str">
            <v>TOTAL ALL DEPTS.</v>
          </cell>
          <cell r="AU76"/>
          <cell r="AV76"/>
          <cell r="AW76"/>
          <cell r="AX76"/>
          <cell r="AY76"/>
          <cell r="AZ76"/>
          <cell r="BA76"/>
          <cell r="BB76"/>
          <cell r="BC76"/>
          <cell r="BD76"/>
          <cell r="BE76"/>
          <cell r="BF76"/>
          <cell r="BG76"/>
          <cell r="BH76" t="str">
            <v xml:space="preserve">(P5, Ln 63 &amp; P6, Ln 71) </v>
          </cell>
          <cell r="BI76"/>
          <cell r="BJ76"/>
          <cell r="BK76"/>
          <cell r="BL76"/>
          <cell r="BM76"/>
          <cell r="BN76"/>
          <cell r="BO76"/>
          <cell r="BP76"/>
          <cell r="BQ76">
            <v>94308023</v>
          </cell>
          <cell r="BR76"/>
          <cell r="BS76"/>
          <cell r="BT76"/>
          <cell r="BU76"/>
          <cell r="BV76"/>
          <cell r="BW76"/>
          <cell r="BX76"/>
          <cell r="BY76" t="e">
            <v>#REF!</v>
          </cell>
          <cell r="BZ76"/>
          <cell r="CA76"/>
          <cell r="CB76"/>
          <cell r="CC76"/>
          <cell r="CD76">
            <v>7809875</v>
          </cell>
          <cell r="CE76"/>
          <cell r="CF76"/>
          <cell r="CG76"/>
          <cell r="CH76"/>
          <cell r="CI76"/>
          <cell r="CJ76"/>
          <cell r="CK76"/>
          <cell r="CL76" t="e">
            <v>#REF!</v>
          </cell>
          <cell r="CM76"/>
          <cell r="CN76"/>
          <cell r="CO76"/>
          <cell r="CP76"/>
          <cell r="CQ76">
            <v>8.3000000000000007</v>
          </cell>
          <cell r="CR76"/>
          <cell r="CS76"/>
          <cell r="CT76"/>
          <cell r="CU76"/>
          <cell r="CV76"/>
          <cell r="CW76"/>
          <cell r="CX76"/>
          <cell r="CY76" t="str">
            <v>72</v>
          </cell>
        </row>
        <row r="77">
          <cell r="B77" t="str">
            <v>73</v>
          </cell>
          <cell r="C77"/>
          <cell r="D77"/>
          <cell r="E77"/>
          <cell r="F77"/>
          <cell r="G77"/>
          <cell r="H77"/>
          <cell r="I77"/>
          <cell r="J77"/>
          <cell r="K77" t="str">
            <v>Labor Rates</v>
          </cell>
          <cell r="L77"/>
          <cell r="M77"/>
          <cell r="N77"/>
          <cell r="O77"/>
          <cell r="P77"/>
          <cell r="Q77"/>
          <cell r="R77"/>
          <cell r="S77"/>
          <cell r="T77"/>
          <cell r="U77"/>
          <cell r="V77"/>
          <cell r="W77"/>
          <cell r="X77"/>
          <cell r="Y77"/>
          <cell r="Z77"/>
          <cell r="AA77"/>
          <cell r="AB77"/>
          <cell r="AC77"/>
          <cell r="AD77"/>
          <cell r="AE77"/>
          <cell r="AF77"/>
          <cell r="AG77"/>
          <cell r="AH77"/>
          <cell r="AI77"/>
          <cell r="AJ77"/>
          <cell r="AK77"/>
          <cell r="AL77"/>
          <cell r="AM77"/>
          <cell r="AN77"/>
          <cell r="AO77"/>
          <cell r="AP77"/>
          <cell r="AQ77"/>
          <cell r="AR77"/>
          <cell r="AS77"/>
          <cell r="AT77"/>
          <cell r="AU77"/>
          <cell r="AV77"/>
          <cell r="AW77"/>
          <cell r="AX77"/>
          <cell r="AY77"/>
          <cell r="AZ77"/>
          <cell r="BA77"/>
          <cell r="BB77"/>
          <cell r="BC77"/>
          <cell r="BD77"/>
          <cell r="BE77"/>
          <cell r="BF77"/>
          <cell r="BG77"/>
          <cell r="BH77"/>
          <cell r="BI77" t="str">
            <v>Total Number of Service Bays</v>
          </cell>
          <cell r="BJ77"/>
          <cell r="BK77"/>
          <cell r="BL77"/>
          <cell r="BM77"/>
          <cell r="BN77"/>
          <cell r="BO77"/>
          <cell r="BP77"/>
          <cell r="BQ77"/>
          <cell r="BR77"/>
          <cell r="BS77"/>
          <cell r="BT77"/>
          <cell r="BU77"/>
          <cell r="BV77"/>
          <cell r="BW77"/>
          <cell r="BX77"/>
          <cell r="BY77"/>
          <cell r="BZ77"/>
          <cell r="CA77"/>
          <cell r="CB77"/>
          <cell r="CC77"/>
          <cell r="CD77"/>
          <cell r="CE77"/>
          <cell r="CF77" t="str">
            <v>890A</v>
          </cell>
          <cell r="CG77"/>
          <cell r="CH77"/>
          <cell r="CI77">
            <v>12</v>
          </cell>
          <cell r="CJ77"/>
          <cell r="CK77"/>
          <cell r="CL77"/>
          <cell r="CM77"/>
          <cell r="CN77"/>
          <cell r="CO77"/>
          <cell r="CP77"/>
          <cell r="CQ77"/>
          <cell r="CR77"/>
          <cell r="CS77"/>
          <cell r="CT77"/>
          <cell r="CU77"/>
          <cell r="CV77"/>
          <cell r="CW77"/>
          <cell r="CX77"/>
          <cell r="CY77" t="str">
            <v>73</v>
          </cell>
        </row>
        <row r="78">
          <cell r="B78" t="str">
            <v>74</v>
          </cell>
          <cell r="C78" t="str">
            <v>Nissan</v>
          </cell>
          <cell r="D78"/>
          <cell r="E78"/>
          <cell r="F78"/>
          <cell r="G78"/>
          <cell r="H78"/>
          <cell r="I78"/>
          <cell r="J78"/>
          <cell r="K78" t="str">
            <v>Customer</v>
          </cell>
          <cell r="L78"/>
          <cell r="M78"/>
          <cell r="N78" t="str">
            <v>875A</v>
          </cell>
          <cell r="O78"/>
          <cell r="P78">
            <v>119.95</v>
          </cell>
          <cell r="Q78"/>
          <cell r="R78"/>
          <cell r="S78"/>
          <cell r="T78"/>
          <cell r="U78"/>
          <cell r="V78"/>
          <cell r="W78"/>
          <cell r="X78" t="str">
            <v>Warranty</v>
          </cell>
          <cell r="Y78"/>
          <cell r="Z78"/>
          <cell r="AA78"/>
          <cell r="AB78" t="str">
            <v>877A</v>
          </cell>
          <cell r="AC78"/>
          <cell r="AD78">
            <v>108</v>
          </cell>
          <cell r="AE78"/>
          <cell r="AF78"/>
          <cell r="AG78"/>
          <cell r="AH78"/>
          <cell r="AI78"/>
          <cell r="AJ78"/>
          <cell r="AK78"/>
          <cell r="AL78"/>
          <cell r="AM78" t="str">
            <v>Internal</v>
          </cell>
          <cell r="AN78"/>
          <cell r="AO78"/>
          <cell r="AP78"/>
          <cell r="AQ78"/>
          <cell r="AR78"/>
          <cell r="AS78"/>
          <cell r="AT78"/>
          <cell r="AU78" t="str">
            <v>878A</v>
          </cell>
          <cell r="AV78"/>
          <cell r="AW78">
            <v>95</v>
          </cell>
          <cell r="AX78"/>
          <cell r="AY78"/>
          <cell r="AZ78"/>
          <cell r="BA78" t="str">
            <v>Body Shop</v>
          </cell>
          <cell r="BB78"/>
          <cell r="BC78"/>
          <cell r="BD78"/>
          <cell r="BE78"/>
          <cell r="BF78" t="str">
            <v>876A</v>
          </cell>
          <cell r="BG78">
            <v>0</v>
          </cell>
          <cell r="BH78"/>
          <cell r="BI78" t="str">
            <v>Number of NCV Svc Bays (memo)</v>
          </cell>
          <cell r="BJ78"/>
          <cell r="BK78"/>
          <cell r="BL78"/>
          <cell r="BM78"/>
          <cell r="BN78"/>
          <cell r="BO78"/>
          <cell r="BP78"/>
          <cell r="BQ78"/>
          <cell r="BR78"/>
          <cell r="BS78"/>
          <cell r="BT78"/>
          <cell r="BU78"/>
          <cell r="BV78"/>
          <cell r="BW78"/>
          <cell r="BX78"/>
          <cell r="BY78"/>
          <cell r="BZ78"/>
          <cell r="CA78"/>
          <cell r="CB78"/>
          <cell r="CC78"/>
          <cell r="CD78"/>
          <cell r="CE78"/>
          <cell r="CF78" t="str">
            <v>899A</v>
          </cell>
          <cell r="CG78"/>
          <cell r="CH78"/>
          <cell r="CI78">
            <v>0</v>
          </cell>
          <cell r="CJ78"/>
          <cell r="CK78"/>
          <cell r="CL78"/>
          <cell r="CM78"/>
          <cell r="CN78"/>
          <cell r="CO78"/>
          <cell r="CP78"/>
          <cell r="CQ78"/>
          <cell r="CR78"/>
          <cell r="CS78"/>
          <cell r="CY78" t="str">
            <v>74</v>
          </cell>
        </row>
        <row r="79">
          <cell r="B79" t="str">
            <v>75</v>
          </cell>
          <cell r="C79" t="str">
            <v>Other Makes</v>
          </cell>
          <cell r="D79"/>
          <cell r="E79"/>
          <cell r="F79"/>
          <cell r="G79"/>
          <cell r="H79"/>
          <cell r="I79"/>
          <cell r="J79"/>
          <cell r="K79" t="str">
            <v>Customer</v>
          </cell>
          <cell r="L79"/>
          <cell r="M79"/>
          <cell r="N79" t="str">
            <v>875B</v>
          </cell>
          <cell r="O79"/>
          <cell r="P79">
            <v>0</v>
          </cell>
          <cell r="Q79"/>
          <cell r="R79"/>
          <cell r="S79"/>
          <cell r="T79"/>
          <cell r="U79"/>
          <cell r="V79"/>
          <cell r="W79"/>
          <cell r="X79" t="str">
            <v>Warranty</v>
          </cell>
          <cell r="Y79"/>
          <cell r="Z79"/>
          <cell r="AA79"/>
          <cell r="AB79" t="str">
            <v>877B</v>
          </cell>
          <cell r="AC79"/>
          <cell r="AD79">
            <v>0</v>
          </cell>
          <cell r="AE79"/>
          <cell r="AF79"/>
          <cell r="AG79"/>
          <cell r="AH79"/>
          <cell r="AI79"/>
          <cell r="AJ79"/>
          <cell r="AK79"/>
          <cell r="AL79"/>
          <cell r="AM79" t="str">
            <v>Internal</v>
          </cell>
          <cell r="AN79"/>
          <cell r="AO79"/>
          <cell r="AP79"/>
          <cell r="AQ79"/>
          <cell r="AR79"/>
          <cell r="AS79"/>
          <cell r="AT79"/>
          <cell r="AU79" t="str">
            <v>878B</v>
          </cell>
          <cell r="AV79"/>
          <cell r="AW79">
            <v>0</v>
          </cell>
          <cell r="AX79"/>
          <cell r="AY79"/>
          <cell r="AZ79"/>
          <cell r="BA79" t="str">
            <v>Body Shop</v>
          </cell>
          <cell r="BB79"/>
          <cell r="BC79"/>
          <cell r="BD79"/>
          <cell r="BE79"/>
          <cell r="BF79" t="str">
            <v>876B</v>
          </cell>
          <cell r="BG79">
            <v>0</v>
          </cell>
          <cell r="BH79"/>
          <cell r="BI79" t="str">
            <v>Num. of ES Svc. Bays</v>
          </cell>
          <cell r="BJ79"/>
          <cell r="BK79"/>
          <cell r="BL79"/>
          <cell r="BM79"/>
          <cell r="BN79"/>
          <cell r="BO79"/>
          <cell r="BP79"/>
          <cell r="BQ79"/>
          <cell r="BR79"/>
          <cell r="BS79"/>
          <cell r="BT79"/>
          <cell r="BU79"/>
          <cell r="BV79"/>
          <cell r="BW79"/>
          <cell r="BX79"/>
          <cell r="BY79"/>
          <cell r="BZ79"/>
          <cell r="CA79"/>
          <cell r="CB79"/>
          <cell r="CC79"/>
          <cell r="CD79"/>
          <cell r="CE79"/>
          <cell r="CF79" t="str">
            <v>891A</v>
          </cell>
          <cell r="CG79"/>
          <cell r="CH79"/>
          <cell r="CI79">
            <v>0</v>
          </cell>
          <cell r="CJ79"/>
          <cell r="CK79"/>
          <cell r="CL79"/>
          <cell r="CM79"/>
          <cell r="CN79"/>
          <cell r="CO79"/>
          <cell r="CP79"/>
          <cell r="CQ79"/>
          <cell r="CR79"/>
          <cell r="CS79"/>
          <cell r="CY79" t="str">
            <v>75</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PAGE 3"/>
      <sheetName val="PAGE 4"/>
      <sheetName val="Detail"/>
      <sheetName val="Manf COA"/>
      <sheetName val="Cross Ref"/>
      <sheetName val="WFPFFWTOT"/>
      <sheetName val="FFPENVIOR"/>
      <sheetName val="FFPXREFDTA"/>
      <sheetName val="Factory Accounts"/>
      <sheetName val="Const"/>
      <sheetName val="Change Log"/>
    </sheetNames>
    <sheetDataSet>
      <sheetData sheetId="0" refreshError="1"/>
      <sheetData sheetId="1" refreshError="1">
        <row r="1">
          <cell r="B1" t="str">
            <v>DEALERSHIP</v>
          </cell>
          <cell r="C1" t="str">
            <v>HONDA KINGSPORT</v>
          </cell>
          <cell r="D1"/>
          <cell r="E1"/>
          <cell r="F1"/>
          <cell r="G1" t="str">
            <v>DEALER NO</v>
          </cell>
          <cell r="H1">
            <v>208627</v>
          </cell>
          <cell r="I1"/>
          <cell r="J1"/>
          <cell r="K1"/>
          <cell r="L1"/>
          <cell r="M1" t="str">
            <v>THRU</v>
          </cell>
          <cell r="N1"/>
          <cell r="O1">
            <v>42735</v>
          </cell>
          <cell r="P1"/>
        </row>
        <row r="2">
          <cell r="B2" t="str">
            <v>NAME OF ACCOUNT</v>
          </cell>
          <cell r="C2"/>
          <cell r="D2" t="str">
            <v>ACCT NO</v>
          </cell>
          <cell r="E2" t="str">
            <v>TOTAL DEALERSHIP INCOME AND EXPENSE</v>
          </cell>
          <cell r="F2"/>
          <cell r="G2"/>
          <cell r="H2" t="str">
            <v>A       New Honda Dept.</v>
          </cell>
          <cell r="I2"/>
          <cell r="J2"/>
          <cell r="K2"/>
          <cell r="L2" t="str">
            <v>B       New Other Dept.</v>
          </cell>
          <cell r="M2"/>
          <cell r="N2"/>
          <cell r="O2"/>
          <cell r="P2" t="str">
            <v>LINE NO</v>
          </cell>
        </row>
        <row r="3">
          <cell r="B3"/>
          <cell r="C3"/>
          <cell r="D3" t="str">
            <v>ACCT NO</v>
          </cell>
          <cell r="E3" t="str">
            <v>MONTH</v>
          </cell>
          <cell r="F3" t="str">
            <v>YTD</v>
          </cell>
          <cell r="G3" t="str">
            <v>GROSS
PROFIT %</v>
          </cell>
          <cell r="H3" t="str">
            <v>A       New Honda Dept.</v>
          </cell>
          <cell r="I3"/>
          <cell r="J3"/>
          <cell r="K3"/>
          <cell r="L3" t="str">
            <v>B       New Other Dept.</v>
          </cell>
          <cell r="M3"/>
          <cell r="N3"/>
          <cell r="O3"/>
          <cell r="P3" t="str">
            <v>LINE NO</v>
          </cell>
        </row>
        <row r="4">
          <cell r="B4"/>
          <cell r="C4"/>
          <cell r="D4" t="str">
            <v>ACCT NO</v>
          </cell>
          <cell r="E4" t="str">
            <v>MONTH</v>
          </cell>
          <cell r="F4" t="str">
            <v>YTD</v>
          </cell>
          <cell r="G4" t="str">
            <v>GROSS
PROFIT %</v>
          </cell>
          <cell r="H4" t="str">
            <v>MONTH</v>
          </cell>
          <cell r="I4"/>
          <cell r="J4" t="str">
            <v>YTD</v>
          </cell>
          <cell r="K4"/>
          <cell r="L4" t="str">
            <v>MONTH</v>
          </cell>
          <cell r="M4"/>
          <cell r="N4" t="str">
            <v>YTD</v>
          </cell>
          <cell r="O4"/>
          <cell r="P4" t="str">
            <v>LINE NO</v>
          </cell>
          <cell r="Q4" t="str">
            <v>Month</v>
          </cell>
        </row>
        <row r="5">
          <cell r="B5" t="str">
            <v>SALES</v>
          </cell>
          <cell r="C5"/>
          <cell r="D5"/>
          <cell r="E5">
            <v>4587233</v>
          </cell>
          <cell r="F5">
            <v>55081312</v>
          </cell>
          <cell r="G5">
            <v>1975</v>
          </cell>
          <cell r="H5">
            <v>2474128</v>
          </cell>
          <cell r="I5"/>
          <cell r="J5">
            <v>29467480</v>
          </cell>
          <cell r="K5"/>
          <cell r="L5">
            <v>0</v>
          </cell>
          <cell r="M5"/>
          <cell r="N5">
            <v>0</v>
          </cell>
          <cell r="O5"/>
          <cell r="P5">
            <v>1</v>
          </cell>
        </row>
        <row r="6">
          <cell r="B6" t="str">
            <v>GROSS</v>
          </cell>
          <cell r="C6"/>
          <cell r="D6"/>
          <cell r="E6">
            <v>405588</v>
          </cell>
          <cell r="F6">
            <v>4166600</v>
          </cell>
          <cell r="G6">
            <v>7.5644530762084966E-2</v>
          </cell>
          <cell r="H6">
            <v>54123</v>
          </cell>
          <cell r="I6"/>
          <cell r="J6">
            <v>133094</v>
          </cell>
          <cell r="K6"/>
          <cell r="L6">
            <v>0</v>
          </cell>
          <cell r="M6"/>
          <cell r="N6">
            <v>0</v>
          </cell>
          <cell r="O6"/>
          <cell r="P6">
            <v>2</v>
          </cell>
        </row>
        <row r="7">
          <cell r="B7" t="str">
            <v>OTHER VARIABLE INCOME &amp; DEDUCTIONS</v>
          </cell>
          <cell r="C7"/>
          <cell r="D7"/>
          <cell r="E7"/>
          <cell r="F7"/>
          <cell r="G7" t="str">
            <v>PRVS</v>
          </cell>
          <cell r="H7"/>
          <cell r="I7"/>
          <cell r="J7"/>
          <cell r="K7"/>
          <cell r="L7"/>
          <cell r="M7"/>
          <cell r="N7"/>
          <cell r="O7"/>
          <cell r="P7">
            <v>3</v>
          </cell>
        </row>
        <row r="8">
          <cell r="B8" t="str">
            <v>Finance Income</v>
          </cell>
          <cell r="C8"/>
          <cell r="D8" t="str">
            <v>003</v>
          </cell>
          <cell r="E8">
            <v>53212</v>
          </cell>
          <cell r="F8">
            <v>741667</v>
          </cell>
          <cell r="G8">
            <v>375.52759493670885</v>
          </cell>
          <cell r="H8">
            <v>34626</v>
          </cell>
          <cell r="I8"/>
          <cell r="J8">
            <v>460720</v>
          </cell>
          <cell r="K8"/>
          <cell r="L8">
            <v>0</v>
          </cell>
          <cell r="M8"/>
          <cell r="N8">
            <v>0</v>
          </cell>
          <cell r="O8"/>
          <cell r="P8">
            <v>4</v>
          </cell>
        </row>
        <row r="9">
          <cell r="B9" t="str">
            <v>Insurance Income</v>
          </cell>
          <cell r="C9"/>
          <cell r="D9" t="str">
            <v>004</v>
          </cell>
          <cell r="E9">
            <v>0</v>
          </cell>
          <cell r="F9">
            <v>11432</v>
          </cell>
          <cell r="G9">
            <v>5.788354430379747</v>
          </cell>
          <cell r="H9">
            <v>0</v>
          </cell>
          <cell r="I9"/>
          <cell r="J9">
            <v>5716</v>
          </cell>
          <cell r="K9"/>
          <cell r="L9">
            <v>0</v>
          </cell>
          <cell r="M9"/>
          <cell r="N9">
            <v>0</v>
          </cell>
          <cell r="O9"/>
          <cell r="P9">
            <v>5</v>
          </cell>
        </row>
        <row r="10">
          <cell r="B10" t="str">
            <v>Service Contracts</v>
          </cell>
          <cell r="C10"/>
          <cell r="D10" t="str">
            <v>005</v>
          </cell>
          <cell r="E10">
            <v>97200</v>
          </cell>
          <cell r="F10">
            <v>1455744</v>
          </cell>
          <cell r="G10">
            <v>737.08556962025318</v>
          </cell>
          <cell r="H10">
            <v>60512</v>
          </cell>
          <cell r="I10"/>
          <cell r="J10">
            <v>954874</v>
          </cell>
          <cell r="K10"/>
          <cell r="L10">
            <v>0</v>
          </cell>
          <cell r="M10"/>
          <cell r="N10">
            <v>0</v>
          </cell>
          <cell r="O10"/>
          <cell r="P10">
            <v>6</v>
          </cell>
        </row>
        <row r="11">
          <cell r="B11" t="str">
            <v>GAP Insurance Income</v>
          </cell>
          <cell r="C11"/>
          <cell r="D11" t="str">
            <v>006</v>
          </cell>
          <cell r="E11">
            <v>18211</v>
          </cell>
          <cell r="F11">
            <v>251878</v>
          </cell>
          <cell r="G11">
            <v>127.53316455696202</v>
          </cell>
          <cell r="H11">
            <v>7758</v>
          </cell>
          <cell r="I11"/>
          <cell r="J11">
            <v>130686</v>
          </cell>
          <cell r="K11"/>
          <cell r="L11">
            <v>0</v>
          </cell>
          <cell r="M11"/>
          <cell r="N11">
            <v>0</v>
          </cell>
          <cell r="O11"/>
          <cell r="P11">
            <v>7</v>
          </cell>
        </row>
        <row r="12">
          <cell r="B12" t="str">
            <v>Charge Backs &amp; Repo Losses</v>
          </cell>
          <cell r="C12"/>
          <cell r="D12" t="str">
            <v>007</v>
          </cell>
          <cell r="E12">
            <v>-15673</v>
          </cell>
          <cell r="F12">
            <v>-277643</v>
          </cell>
          <cell r="G12">
            <v>-140.57873417721518</v>
          </cell>
          <cell r="H12">
            <v>-8681</v>
          </cell>
          <cell r="I12"/>
          <cell r="J12">
            <v>-177435</v>
          </cell>
          <cell r="K12"/>
          <cell r="L12">
            <v>0</v>
          </cell>
          <cell r="M12"/>
          <cell r="N12">
            <v>0</v>
          </cell>
          <cell r="O12"/>
          <cell r="P12">
            <v>8</v>
          </cell>
        </row>
        <row r="13">
          <cell r="B13" t="str">
            <v>Aftermarket Income</v>
          </cell>
          <cell r="C13"/>
          <cell r="D13" t="str">
            <v>009</v>
          </cell>
          <cell r="E13">
            <v>0</v>
          </cell>
          <cell r="F13">
            <v>0</v>
          </cell>
          <cell r="G13" t="str">
            <v>-</v>
          </cell>
          <cell r="H13">
            <v>0</v>
          </cell>
          <cell r="I13"/>
          <cell r="J13">
            <v>0</v>
          </cell>
          <cell r="K13"/>
          <cell r="L13">
            <v>0</v>
          </cell>
          <cell r="M13"/>
          <cell r="N13">
            <v>0</v>
          </cell>
          <cell r="O13"/>
          <cell r="P13">
            <v>9</v>
          </cell>
        </row>
        <row r="14">
          <cell r="B14" t="str">
            <v>FINANCE AND INSURANCE SUB-TOTAL           (LINES 4 TO 9)</v>
          </cell>
          <cell r="C14"/>
          <cell r="D14"/>
          <cell r="E14">
            <v>152950</v>
          </cell>
          <cell r="F14">
            <v>2183078</v>
          </cell>
          <cell r="G14">
            <v>1105.3559493670884</v>
          </cell>
          <cell r="H14">
            <v>94215</v>
          </cell>
          <cell r="I14"/>
          <cell r="J14">
            <v>1374561</v>
          </cell>
          <cell r="K14"/>
          <cell r="L14">
            <v>0</v>
          </cell>
          <cell r="M14"/>
          <cell r="N14">
            <v>0</v>
          </cell>
          <cell r="O14"/>
          <cell r="P14">
            <v>10</v>
          </cell>
        </row>
        <row r="15">
          <cell r="B15" t="str">
            <v>Dealer Marketing Allowance</v>
          </cell>
          <cell r="C15"/>
          <cell r="D15" t="str">
            <v>008</v>
          </cell>
          <cell r="E15">
            <v>9065</v>
          </cell>
          <cell r="F15">
            <v>147765</v>
          </cell>
          <cell r="G15">
            <v>74.817721518987341</v>
          </cell>
          <cell r="H15">
            <v>9065</v>
          </cell>
          <cell r="I15"/>
          <cell r="J15">
            <v>147765</v>
          </cell>
          <cell r="K15"/>
          <cell r="L15">
            <v>0</v>
          </cell>
          <cell r="M15"/>
          <cell r="N15">
            <v>0</v>
          </cell>
          <cell r="O15"/>
          <cell r="P15">
            <v>11</v>
          </cell>
        </row>
        <row r="16">
          <cell r="B16" t="str">
            <v>HONDA Transfer Balance</v>
          </cell>
          <cell r="C16"/>
          <cell r="D16" t="str">
            <v>010</v>
          </cell>
          <cell r="E16">
            <v>38589</v>
          </cell>
          <cell r="F16">
            <v>461910</v>
          </cell>
          <cell r="G16">
            <v>233.87848101265823</v>
          </cell>
          <cell r="H16">
            <v>38589</v>
          </cell>
          <cell r="I16"/>
          <cell r="J16">
            <v>461910</v>
          </cell>
          <cell r="K16"/>
          <cell r="L16">
            <v>0</v>
          </cell>
          <cell r="M16"/>
          <cell r="N16">
            <v>0</v>
          </cell>
          <cell r="O16"/>
          <cell r="P16">
            <v>12</v>
          </cell>
        </row>
        <row r="17">
          <cell r="B17" t="str">
            <v>TOTAL OPERATING INCOME              (LINES 2, 10, 11 &amp; 12)</v>
          </cell>
          <cell r="C17"/>
          <cell r="D17"/>
          <cell r="E17">
            <v>606192</v>
          </cell>
          <cell r="F17">
            <v>6959353</v>
          </cell>
          <cell r="G17">
            <v>3523.7230379746834</v>
          </cell>
          <cell r="H17">
            <v>195992</v>
          </cell>
          <cell r="I17"/>
          <cell r="J17">
            <v>2117330</v>
          </cell>
          <cell r="K17"/>
          <cell r="L17">
            <v>0</v>
          </cell>
          <cell r="M17"/>
          <cell r="N17">
            <v>0</v>
          </cell>
          <cell r="O17"/>
          <cell r="P17">
            <v>13</v>
          </cell>
        </row>
        <row r="18">
          <cell r="B18" t="str">
            <v>EXPENSES</v>
          </cell>
          <cell r="C18"/>
          <cell r="D18"/>
          <cell r="E18"/>
          <cell r="F18"/>
          <cell r="G18" t="str">
            <v>PRVS</v>
          </cell>
          <cell r="H18"/>
          <cell r="I18"/>
          <cell r="J18"/>
          <cell r="K18"/>
          <cell r="L18"/>
          <cell r="M18"/>
          <cell r="N18"/>
          <cell r="O18"/>
          <cell r="P18">
            <v>14</v>
          </cell>
        </row>
        <row r="19">
          <cell r="B19" t="str">
            <v>Salespeople Compensation</v>
          </cell>
          <cell r="C19"/>
          <cell r="D19" t="str">
            <v>011</v>
          </cell>
          <cell r="E19">
            <v>61822</v>
          </cell>
          <cell r="F19">
            <v>639532</v>
          </cell>
          <cell r="G19">
            <v>323.81367088607595</v>
          </cell>
          <cell r="H19">
            <v>34885</v>
          </cell>
          <cell r="I19"/>
          <cell r="J19">
            <v>320072</v>
          </cell>
          <cell r="K19"/>
          <cell r="L19">
            <v>0</v>
          </cell>
          <cell r="M19"/>
          <cell r="N19">
            <v>0</v>
          </cell>
          <cell r="O19"/>
          <cell r="P19">
            <v>15</v>
          </cell>
        </row>
        <row r="20">
          <cell r="B20" t="str">
            <v>Floor Plan Interest</v>
          </cell>
          <cell r="C20"/>
          <cell r="D20" t="str">
            <v>012</v>
          </cell>
          <cell r="E20">
            <v>-1095</v>
          </cell>
          <cell r="F20">
            <v>-52573</v>
          </cell>
          <cell r="G20">
            <v>-26.619240506329113</v>
          </cell>
          <cell r="H20">
            <v>-1911</v>
          </cell>
          <cell r="I20"/>
          <cell r="J20">
            <v>-59256</v>
          </cell>
          <cell r="K20"/>
          <cell r="L20">
            <v>0</v>
          </cell>
          <cell r="M20"/>
          <cell r="N20">
            <v>0</v>
          </cell>
          <cell r="O20"/>
          <cell r="P20">
            <v>16</v>
          </cell>
        </row>
        <row r="21">
          <cell r="B21" t="str">
            <v>Compensation F &amp; I / Service Contracts</v>
          </cell>
          <cell r="C21"/>
          <cell r="D21" t="str">
            <v>013</v>
          </cell>
          <cell r="E21">
            <v>29468</v>
          </cell>
          <cell r="F21">
            <v>335832</v>
          </cell>
          <cell r="G21">
            <v>170.04151898734176</v>
          </cell>
          <cell r="H21">
            <v>14734</v>
          </cell>
          <cell r="I21"/>
          <cell r="J21">
            <v>167916</v>
          </cell>
          <cell r="K21"/>
          <cell r="L21">
            <v>0</v>
          </cell>
          <cell r="M21"/>
          <cell r="N21">
            <v>0</v>
          </cell>
          <cell r="O21"/>
          <cell r="P21">
            <v>17</v>
          </cell>
        </row>
        <row r="22">
          <cell r="B22" t="str">
            <v>Delivery Expense</v>
          </cell>
          <cell r="C22"/>
          <cell r="D22" t="str">
            <v>014</v>
          </cell>
          <cell r="E22">
            <v>-608</v>
          </cell>
          <cell r="F22">
            <v>-78392</v>
          </cell>
          <cell r="G22">
            <v>-39.692151898734174</v>
          </cell>
          <cell r="H22">
            <v>830</v>
          </cell>
          <cell r="I22"/>
          <cell r="J22">
            <v>-57569</v>
          </cell>
          <cell r="K22"/>
          <cell r="L22">
            <v>0</v>
          </cell>
          <cell r="M22"/>
          <cell r="N22">
            <v>0</v>
          </cell>
          <cell r="O22"/>
          <cell r="P22">
            <v>18</v>
          </cell>
        </row>
        <row r="23">
          <cell r="B23" t="str">
            <v>Policy Expense - New &amp; Used</v>
          </cell>
          <cell r="C23"/>
          <cell r="D23" t="str">
            <v>015</v>
          </cell>
          <cell r="E23">
            <v>474</v>
          </cell>
          <cell r="F23">
            <v>724</v>
          </cell>
          <cell r="G23">
            <v>0.36658227848101266</v>
          </cell>
          <cell r="H23">
            <v>440</v>
          </cell>
          <cell r="I23"/>
          <cell r="J23">
            <v>672</v>
          </cell>
          <cell r="K23"/>
          <cell r="L23">
            <v>0</v>
          </cell>
          <cell r="M23"/>
          <cell r="N23">
            <v>0</v>
          </cell>
          <cell r="O23"/>
          <cell r="P23">
            <v>19</v>
          </cell>
        </row>
        <row r="24">
          <cell r="B24" t="str">
            <v>Demo Expense</v>
          </cell>
          <cell r="C24"/>
          <cell r="D24" t="str">
            <v>016</v>
          </cell>
          <cell r="E24">
            <v>26221</v>
          </cell>
          <cell r="F24">
            <v>311219</v>
          </cell>
          <cell r="G24">
            <v>157.57924050632911</v>
          </cell>
          <cell r="H24">
            <v>13103</v>
          </cell>
          <cell r="I24"/>
          <cell r="J24">
            <v>155599</v>
          </cell>
          <cell r="K24"/>
          <cell r="L24">
            <v>0</v>
          </cell>
          <cell r="M24"/>
          <cell r="N24">
            <v>0</v>
          </cell>
          <cell r="O24"/>
          <cell r="P24">
            <v>20</v>
          </cell>
        </row>
        <row r="25">
          <cell r="B25" t="str">
            <v>Advertising - Association</v>
          </cell>
          <cell r="C25"/>
          <cell r="D25" t="str">
            <v>018</v>
          </cell>
          <cell r="E25">
            <v>0</v>
          </cell>
          <cell r="F25">
            <v>0</v>
          </cell>
          <cell r="G25" t="str">
            <v>-</v>
          </cell>
          <cell r="H25">
            <v>0</v>
          </cell>
          <cell r="I25"/>
          <cell r="J25">
            <v>0</v>
          </cell>
          <cell r="K25"/>
          <cell r="L25"/>
          <cell r="M25"/>
          <cell r="N25"/>
          <cell r="O25"/>
          <cell r="P25">
            <v>21</v>
          </cell>
        </row>
        <row r="26">
          <cell r="B26" t="str">
            <v>Advertising - New &amp; Used</v>
          </cell>
          <cell r="C26"/>
          <cell r="D26" t="str">
            <v>019</v>
          </cell>
          <cell r="E26">
            <v>27591</v>
          </cell>
          <cell r="F26">
            <v>297683</v>
          </cell>
          <cell r="G26">
            <v>150.72556962025317</v>
          </cell>
          <cell r="H26">
            <v>15225</v>
          </cell>
          <cell r="I26"/>
          <cell r="J26">
            <v>158071</v>
          </cell>
          <cell r="K26"/>
          <cell r="L26">
            <v>0</v>
          </cell>
          <cell r="M26"/>
          <cell r="N26">
            <v>0</v>
          </cell>
          <cell r="O26"/>
          <cell r="P26">
            <v>22</v>
          </cell>
        </row>
        <row r="27">
          <cell r="B27" t="str">
            <v>TOTAL VARIABLE SELLING EXP                 (LINES 15 TO 22)</v>
          </cell>
          <cell r="C27"/>
          <cell r="D27"/>
          <cell r="E27">
            <v>143873</v>
          </cell>
          <cell r="F27">
            <v>1454025</v>
          </cell>
          <cell r="G27" t="str">
            <v>% OPER. INCOME</v>
          </cell>
          <cell r="H27">
            <v>77306</v>
          </cell>
          <cell r="I27"/>
          <cell r="J27">
            <v>685505</v>
          </cell>
          <cell r="K27"/>
          <cell r="L27">
            <v>0</v>
          </cell>
          <cell r="M27"/>
          <cell r="N27">
            <v>0</v>
          </cell>
          <cell r="O27"/>
          <cell r="P27">
            <v>23</v>
          </cell>
        </row>
        <row r="28">
          <cell r="B28" t="str">
            <v>Compensation Owners</v>
          </cell>
          <cell r="C28"/>
          <cell r="D28" t="str">
            <v>020</v>
          </cell>
          <cell r="E28">
            <v>30351</v>
          </cell>
          <cell r="F28">
            <v>356251</v>
          </cell>
          <cell r="G28">
            <v>5.1190247139353329E-2</v>
          </cell>
          <cell r="H28">
            <v>10116</v>
          </cell>
          <cell r="I28"/>
          <cell r="J28">
            <v>124181</v>
          </cell>
          <cell r="K28"/>
          <cell r="L28">
            <v>0</v>
          </cell>
          <cell r="M28"/>
          <cell r="N28">
            <v>0</v>
          </cell>
          <cell r="O28"/>
          <cell r="P28">
            <v>24</v>
          </cell>
        </row>
        <row r="29">
          <cell r="B29" t="str">
            <v>Compensation Supervisors</v>
          </cell>
          <cell r="C29"/>
          <cell r="D29" t="str">
            <v>021</v>
          </cell>
          <cell r="E29">
            <v>51670</v>
          </cell>
          <cell r="F29">
            <v>572767</v>
          </cell>
          <cell r="G29">
            <v>8.2301759948087125E-2</v>
          </cell>
          <cell r="H29">
            <v>17008</v>
          </cell>
          <cell r="I29"/>
          <cell r="J29">
            <v>173745</v>
          </cell>
          <cell r="K29"/>
          <cell r="L29">
            <v>0</v>
          </cell>
          <cell r="M29"/>
          <cell r="N29">
            <v>0</v>
          </cell>
          <cell r="O29"/>
          <cell r="P29">
            <v>25</v>
          </cell>
        </row>
        <row r="30">
          <cell r="B30" t="str">
            <v>Compensation Clerical</v>
          </cell>
          <cell r="C30"/>
          <cell r="D30" t="str">
            <v>022</v>
          </cell>
          <cell r="E30">
            <v>21503</v>
          </cell>
          <cell r="F30">
            <v>226219</v>
          </cell>
          <cell r="G30">
            <v>3.250575161225476E-2</v>
          </cell>
          <cell r="H30">
            <v>5863</v>
          </cell>
          <cell r="I30"/>
          <cell r="J30">
            <v>62882</v>
          </cell>
          <cell r="K30"/>
          <cell r="L30">
            <v>0</v>
          </cell>
          <cell r="M30"/>
          <cell r="N30">
            <v>0</v>
          </cell>
          <cell r="O30"/>
          <cell r="P30">
            <v>26</v>
          </cell>
        </row>
        <row r="31">
          <cell r="B31" t="str">
            <v>Other Salaries &amp; Wages</v>
          </cell>
          <cell r="C31"/>
          <cell r="D31" t="str">
            <v>023</v>
          </cell>
          <cell r="E31">
            <v>72867</v>
          </cell>
          <cell r="F31">
            <v>891501</v>
          </cell>
          <cell r="G31">
            <v>0.12810113238974946</v>
          </cell>
          <cell r="H31">
            <v>14776</v>
          </cell>
          <cell r="I31"/>
          <cell r="J31">
            <v>168874</v>
          </cell>
          <cell r="K31"/>
          <cell r="L31">
            <v>0</v>
          </cell>
          <cell r="M31"/>
          <cell r="N31">
            <v>0</v>
          </cell>
          <cell r="O31"/>
          <cell r="P31">
            <v>27</v>
          </cell>
        </row>
        <row r="32">
          <cell r="B32" t="str">
            <v>Payroll Taxes</v>
          </cell>
          <cell r="C32"/>
          <cell r="D32" t="str">
            <v>025</v>
          </cell>
          <cell r="E32">
            <v>20852</v>
          </cell>
          <cell r="F32">
            <v>271788</v>
          </cell>
          <cell r="G32">
            <v>3.9053630416505669E-2</v>
          </cell>
          <cell r="H32">
            <v>5842</v>
          </cell>
          <cell r="I32"/>
          <cell r="J32">
            <v>81168</v>
          </cell>
          <cell r="K32"/>
          <cell r="L32">
            <v>0</v>
          </cell>
          <cell r="M32"/>
          <cell r="N32">
            <v>0</v>
          </cell>
          <cell r="O32"/>
          <cell r="P32">
            <v>28</v>
          </cell>
        </row>
        <row r="33">
          <cell r="B33" t="str">
            <v>Employee Benefits/Pension/401K/Workers' Comp</v>
          </cell>
          <cell r="C33"/>
          <cell r="D33" t="str">
            <v>026</v>
          </cell>
          <cell r="E33">
            <v>31574</v>
          </cell>
          <cell r="F33">
            <v>262900</v>
          </cell>
          <cell r="G33">
            <v>3.7776500200521514E-2</v>
          </cell>
          <cell r="H33">
            <v>14616</v>
          </cell>
          <cell r="I33"/>
          <cell r="J33">
            <v>113985</v>
          </cell>
          <cell r="K33"/>
          <cell r="L33">
            <v>0</v>
          </cell>
          <cell r="M33"/>
          <cell r="N33">
            <v>0</v>
          </cell>
          <cell r="O33"/>
          <cell r="P33">
            <v>29</v>
          </cell>
        </row>
        <row r="34">
          <cell r="B34" t="str">
            <v>Absentee Wages - Productive</v>
          </cell>
          <cell r="C34"/>
          <cell r="D34" t="str">
            <v>029</v>
          </cell>
          <cell r="E34">
            <v>-543</v>
          </cell>
          <cell r="F34">
            <v>40157</v>
          </cell>
          <cell r="G34">
            <v>5.770220306399172E-3</v>
          </cell>
          <cell r="H34">
            <v>-174</v>
          </cell>
          <cell r="I34"/>
          <cell r="J34">
            <v>14071</v>
          </cell>
          <cell r="K34"/>
          <cell r="L34">
            <v>0</v>
          </cell>
          <cell r="M34"/>
          <cell r="N34">
            <v>0</v>
          </cell>
          <cell r="O34"/>
          <cell r="P34">
            <v>30</v>
          </cell>
        </row>
        <row r="35">
          <cell r="B35" t="str">
            <v>TOTAL PERSONNEL EXPENSE                    (LINES 24 TO 30)</v>
          </cell>
          <cell r="C35"/>
          <cell r="D35"/>
          <cell r="E35">
            <v>228274</v>
          </cell>
          <cell r="F35">
            <v>2621583</v>
          </cell>
          <cell r="G35">
            <v>0.37669924201287103</v>
          </cell>
          <cell r="H35">
            <v>68047</v>
          </cell>
          <cell r="I35"/>
          <cell r="J35">
            <v>738906</v>
          </cell>
          <cell r="K35"/>
          <cell r="L35">
            <v>0</v>
          </cell>
          <cell r="M35"/>
          <cell r="N35">
            <v>0</v>
          </cell>
          <cell r="O35"/>
          <cell r="P35">
            <v>31</v>
          </cell>
        </row>
        <row r="36">
          <cell r="B36" t="str">
            <v>Company Vehicle Expense</v>
          </cell>
          <cell r="C36"/>
          <cell r="D36" t="str">
            <v>051</v>
          </cell>
          <cell r="E36">
            <v>2602</v>
          </cell>
          <cell r="F36">
            <v>40922</v>
          </cell>
          <cell r="G36">
            <v>5.8801443180134709E-3</v>
          </cell>
          <cell r="H36">
            <v>12</v>
          </cell>
          <cell r="I36"/>
          <cell r="J36">
            <v>498</v>
          </cell>
          <cell r="K36"/>
          <cell r="L36">
            <v>0</v>
          </cell>
          <cell r="M36"/>
          <cell r="N36">
            <v>0</v>
          </cell>
          <cell r="O36"/>
          <cell r="P36">
            <v>32</v>
          </cell>
        </row>
        <row r="37">
          <cell r="B37" t="str">
            <v>Office Supplies &amp; Stationery</v>
          </cell>
          <cell r="C37"/>
          <cell r="D37" t="str">
            <v>060</v>
          </cell>
          <cell r="E37">
            <v>4127</v>
          </cell>
          <cell r="F37">
            <v>22734</v>
          </cell>
          <cell r="G37">
            <v>3.2666829804437279E-3</v>
          </cell>
          <cell r="H37">
            <v>1713</v>
          </cell>
          <cell r="I37"/>
          <cell r="J37">
            <v>8308</v>
          </cell>
          <cell r="K37"/>
          <cell r="L37">
            <v>0</v>
          </cell>
          <cell r="M37"/>
          <cell r="N37">
            <v>0</v>
          </cell>
          <cell r="O37"/>
          <cell r="P37">
            <v>33</v>
          </cell>
        </row>
        <row r="38">
          <cell r="B38" t="str">
            <v>Other Supplies &amp; Tools</v>
          </cell>
          <cell r="C38"/>
          <cell r="D38" t="str">
            <v>061</v>
          </cell>
          <cell r="E38">
            <v>14478</v>
          </cell>
          <cell r="F38">
            <v>132990</v>
          </cell>
          <cell r="G38">
            <v>1.9109535038673853E-2</v>
          </cell>
          <cell r="H38">
            <v>3101</v>
          </cell>
          <cell r="I38"/>
          <cell r="J38">
            <v>34852</v>
          </cell>
          <cell r="K38"/>
          <cell r="L38">
            <v>0</v>
          </cell>
          <cell r="M38"/>
          <cell r="N38">
            <v>0</v>
          </cell>
          <cell r="O38"/>
          <cell r="P38">
            <v>34</v>
          </cell>
        </row>
        <row r="39">
          <cell r="B39" t="str">
            <v>Adv. - Serv, Body, P &amp; A</v>
          </cell>
          <cell r="C39"/>
          <cell r="D39" t="str">
            <v>062</v>
          </cell>
          <cell r="E39">
            <v>4177</v>
          </cell>
          <cell r="F39">
            <v>55177</v>
          </cell>
          <cell r="G39">
            <v>7.9284669135191166E-3</v>
          </cell>
          <cell r="H39"/>
          <cell r="I39"/>
          <cell r="J39"/>
          <cell r="K39"/>
          <cell r="L39"/>
          <cell r="M39"/>
          <cell r="N39"/>
          <cell r="O39"/>
          <cell r="P39">
            <v>35</v>
          </cell>
        </row>
        <row r="40">
          <cell r="B40" t="str">
            <v>Bad Debts</v>
          </cell>
          <cell r="C40"/>
          <cell r="D40" t="str">
            <v>063</v>
          </cell>
          <cell r="E40">
            <v>-3214</v>
          </cell>
          <cell r="F40">
            <v>0</v>
          </cell>
          <cell r="G40" t="str">
            <v>-</v>
          </cell>
          <cell r="H40">
            <v>-1998</v>
          </cell>
          <cell r="I40"/>
          <cell r="J40">
            <v>0</v>
          </cell>
          <cell r="K40"/>
          <cell r="L40">
            <v>0</v>
          </cell>
          <cell r="M40"/>
          <cell r="N40">
            <v>0</v>
          </cell>
          <cell r="O40"/>
          <cell r="P40">
            <v>36</v>
          </cell>
        </row>
        <row r="41">
          <cell r="B41" t="str">
            <v>Contributions</v>
          </cell>
          <cell r="C41"/>
          <cell r="D41" t="str">
            <v>066</v>
          </cell>
          <cell r="E41">
            <v>584</v>
          </cell>
          <cell r="F41">
            <v>18375</v>
          </cell>
          <cell r="G41">
            <v>2.6403316515199041E-3</v>
          </cell>
          <cell r="H41">
            <v>204</v>
          </cell>
          <cell r="I41"/>
          <cell r="J41">
            <v>7087</v>
          </cell>
          <cell r="K41"/>
          <cell r="L41">
            <v>0</v>
          </cell>
          <cell r="M41"/>
          <cell r="N41">
            <v>0</v>
          </cell>
          <cell r="O41"/>
          <cell r="P41">
            <v>37</v>
          </cell>
        </row>
        <row r="42">
          <cell r="B42" t="str">
            <v>Policy Expense - Serv, Body, P &amp; A</v>
          </cell>
          <cell r="C42"/>
          <cell r="D42" t="str">
            <v>067</v>
          </cell>
          <cell r="E42">
            <v>9482</v>
          </cell>
          <cell r="F42">
            <v>82510</v>
          </cell>
          <cell r="G42">
            <v>1.1855987187314683E-2</v>
          </cell>
          <cell r="H42"/>
          <cell r="I42"/>
          <cell r="J42"/>
          <cell r="K42"/>
          <cell r="L42"/>
          <cell r="M42"/>
          <cell r="N42"/>
          <cell r="O42"/>
          <cell r="P42">
            <v>38</v>
          </cell>
        </row>
        <row r="43">
          <cell r="B43" t="str">
            <v>Outside Services</v>
          </cell>
          <cell r="C43"/>
          <cell r="D43" t="str">
            <v>068</v>
          </cell>
          <cell r="E43">
            <v>11589</v>
          </cell>
          <cell r="F43">
            <v>270898</v>
          </cell>
          <cell r="G43">
            <v>3.8925744965085114E-2</v>
          </cell>
          <cell r="H43">
            <v>23580</v>
          </cell>
          <cell r="I43"/>
          <cell r="J43">
            <v>115325</v>
          </cell>
          <cell r="K43"/>
          <cell r="L43">
            <v>0</v>
          </cell>
          <cell r="M43"/>
          <cell r="N43">
            <v>0</v>
          </cell>
          <cell r="O43"/>
          <cell r="P43">
            <v>39</v>
          </cell>
        </row>
        <row r="44">
          <cell r="B44" t="str">
            <v>Laundry &amp; Uniforms</v>
          </cell>
          <cell r="C44"/>
          <cell r="D44" t="str">
            <v>069</v>
          </cell>
          <cell r="E44">
            <v>673</v>
          </cell>
          <cell r="F44">
            <v>6151</v>
          </cell>
          <cell r="G44">
            <v>8.8384652998633637E-4</v>
          </cell>
          <cell r="H44">
            <v>0</v>
          </cell>
          <cell r="I44"/>
          <cell r="J44">
            <v>584</v>
          </cell>
          <cell r="K44"/>
          <cell r="L44">
            <v>0</v>
          </cell>
          <cell r="M44"/>
          <cell r="N44">
            <v>0</v>
          </cell>
          <cell r="O44"/>
          <cell r="P44">
            <v>40</v>
          </cell>
        </row>
        <row r="45">
          <cell r="B45" t="str">
            <v>Travel &amp; Entertainment</v>
          </cell>
          <cell r="C45"/>
          <cell r="D45" t="str">
            <v>070</v>
          </cell>
          <cell r="E45">
            <v>60</v>
          </cell>
          <cell r="F45">
            <v>305</v>
          </cell>
          <cell r="G45">
            <v>4.3825913127269159E-5</v>
          </cell>
          <cell r="H45">
            <v>0</v>
          </cell>
          <cell r="I45"/>
          <cell r="J45">
            <v>107</v>
          </cell>
          <cell r="K45"/>
          <cell r="L45">
            <v>0</v>
          </cell>
          <cell r="M45"/>
          <cell r="N45">
            <v>0</v>
          </cell>
          <cell r="O45"/>
          <cell r="P45">
            <v>41</v>
          </cell>
        </row>
        <row r="46">
          <cell r="B46" t="str">
            <v>Memberships, Dues, Pblcns.</v>
          </cell>
          <cell r="C46"/>
          <cell r="D46" t="str">
            <v>071</v>
          </cell>
          <cell r="E46">
            <v>763</v>
          </cell>
          <cell r="F46">
            <v>9655</v>
          </cell>
          <cell r="G46">
            <v>1.3873416106353566E-3</v>
          </cell>
          <cell r="H46">
            <v>117</v>
          </cell>
          <cell r="I46"/>
          <cell r="J46">
            <v>3013</v>
          </cell>
          <cell r="K46"/>
          <cell r="L46">
            <v>0</v>
          </cell>
          <cell r="M46"/>
          <cell r="N46">
            <v>0</v>
          </cell>
          <cell r="O46"/>
          <cell r="P46">
            <v>42</v>
          </cell>
        </row>
        <row r="47">
          <cell r="B47" t="str">
            <v>Legal &amp; Auditing</v>
          </cell>
          <cell r="C47"/>
          <cell r="D47" t="str">
            <v>072</v>
          </cell>
          <cell r="E47">
            <v>-4579</v>
          </cell>
          <cell r="F47">
            <v>47601</v>
          </cell>
          <cell r="G47">
            <v>6.8398599697414401E-3</v>
          </cell>
          <cell r="H47">
            <v>-1391</v>
          </cell>
          <cell r="I47"/>
          <cell r="J47">
            <v>16872</v>
          </cell>
          <cell r="K47"/>
          <cell r="L47">
            <v>0</v>
          </cell>
          <cell r="M47"/>
          <cell r="N47">
            <v>0</v>
          </cell>
          <cell r="O47"/>
          <cell r="P47">
            <v>43</v>
          </cell>
        </row>
        <row r="48">
          <cell r="B48" t="str">
            <v>Telephone</v>
          </cell>
          <cell r="C48"/>
          <cell r="D48" t="str">
            <v>074</v>
          </cell>
          <cell r="E48">
            <v>791</v>
          </cell>
          <cell r="F48">
            <v>10571</v>
          </cell>
          <cell r="G48">
            <v>1.5189630415356141E-3</v>
          </cell>
          <cell r="H48">
            <v>276</v>
          </cell>
          <cell r="I48"/>
          <cell r="J48">
            <v>3548</v>
          </cell>
          <cell r="K48"/>
          <cell r="L48">
            <v>0</v>
          </cell>
          <cell r="M48"/>
          <cell r="N48">
            <v>0</v>
          </cell>
          <cell r="O48"/>
          <cell r="P48">
            <v>44</v>
          </cell>
        </row>
        <row r="49">
          <cell r="B49" t="str">
            <v>Postage/Express Mail/Freight</v>
          </cell>
          <cell r="C49"/>
          <cell r="D49" t="str">
            <v>075</v>
          </cell>
          <cell r="E49">
            <v>5225</v>
          </cell>
          <cell r="F49">
            <v>55599</v>
          </cell>
          <cell r="G49">
            <v>7.9891047343050425E-3</v>
          </cell>
          <cell r="H49">
            <v>2042</v>
          </cell>
          <cell r="I49"/>
          <cell r="J49">
            <v>24191</v>
          </cell>
          <cell r="K49"/>
          <cell r="L49">
            <v>0</v>
          </cell>
          <cell r="M49"/>
          <cell r="N49">
            <v>0</v>
          </cell>
          <cell r="O49"/>
          <cell r="P49">
            <v>45</v>
          </cell>
        </row>
        <row r="50">
          <cell r="B50" t="str">
            <v>Training</v>
          </cell>
          <cell r="C50"/>
          <cell r="D50" t="str">
            <v>076</v>
          </cell>
          <cell r="E50">
            <v>4496</v>
          </cell>
          <cell r="F50">
            <v>69347</v>
          </cell>
          <cell r="G50">
            <v>9.9645757299565065E-3</v>
          </cell>
          <cell r="H50">
            <v>534</v>
          </cell>
          <cell r="I50"/>
          <cell r="J50">
            <v>22050</v>
          </cell>
          <cell r="K50"/>
          <cell r="L50">
            <v>0</v>
          </cell>
          <cell r="M50"/>
          <cell r="N50">
            <v>0</v>
          </cell>
          <cell r="O50"/>
          <cell r="P50">
            <v>46</v>
          </cell>
        </row>
        <row r="51">
          <cell r="B51" t="str">
            <v>Data Processing Services</v>
          </cell>
          <cell r="C51"/>
          <cell r="D51" t="str">
            <v>078</v>
          </cell>
          <cell r="E51">
            <v>25845</v>
          </cell>
          <cell r="F51">
            <v>201131</v>
          </cell>
          <cell r="G51">
            <v>2.8900818797379584E-2</v>
          </cell>
          <cell r="H51">
            <v>7066</v>
          </cell>
          <cell r="I51"/>
          <cell r="J51">
            <v>57398</v>
          </cell>
          <cell r="K51"/>
          <cell r="L51">
            <v>0</v>
          </cell>
          <cell r="M51"/>
          <cell r="N51">
            <v>0</v>
          </cell>
          <cell r="O51"/>
          <cell r="P51">
            <v>47</v>
          </cell>
        </row>
        <row r="52">
          <cell r="B52" t="str">
            <v>Miscellaneous</v>
          </cell>
          <cell r="C52"/>
          <cell r="D52" t="str">
            <v>079</v>
          </cell>
          <cell r="E52">
            <v>1725</v>
          </cell>
          <cell r="F52">
            <v>3451</v>
          </cell>
          <cell r="G52">
            <v>4.9587943017116677E-4</v>
          </cell>
          <cell r="H52">
            <v>604</v>
          </cell>
          <cell r="I52"/>
          <cell r="J52">
            <v>1208</v>
          </cell>
          <cell r="K52"/>
          <cell r="L52">
            <v>0</v>
          </cell>
          <cell r="M52"/>
          <cell r="N52">
            <v>0</v>
          </cell>
          <cell r="O52"/>
          <cell r="P52">
            <v>48</v>
          </cell>
        </row>
        <row r="53">
          <cell r="B53" t="str">
            <v>TOTAL SEMI-FIXED EXPENSE                     (LINES 32 TO 48)</v>
          </cell>
          <cell r="C53"/>
          <cell r="D53"/>
          <cell r="E53">
            <v>78824</v>
          </cell>
          <cell r="F53">
            <v>1027417</v>
          </cell>
          <cell r="G53">
            <v>0.14763110881140817</v>
          </cell>
          <cell r="H53">
            <v>35860</v>
          </cell>
          <cell r="I53"/>
          <cell r="J53">
            <v>295041</v>
          </cell>
          <cell r="K53"/>
          <cell r="L53">
            <v>0</v>
          </cell>
          <cell r="M53"/>
          <cell r="N53">
            <v>0</v>
          </cell>
          <cell r="O53"/>
          <cell r="P53">
            <v>49</v>
          </cell>
        </row>
        <row r="54">
          <cell r="B54" t="str">
            <v>Rent</v>
          </cell>
          <cell r="C54"/>
          <cell r="D54" t="str">
            <v>080</v>
          </cell>
          <cell r="E54">
            <v>50580</v>
          </cell>
          <cell r="F54">
            <v>590645</v>
          </cell>
          <cell r="G54">
            <v>8.4870676914937354E-2</v>
          </cell>
          <cell r="H54">
            <v>17669</v>
          </cell>
          <cell r="I54"/>
          <cell r="J54">
            <v>206692</v>
          </cell>
          <cell r="K54"/>
          <cell r="L54">
            <v>0</v>
          </cell>
          <cell r="M54"/>
          <cell r="N54">
            <v>0</v>
          </cell>
          <cell r="O54"/>
          <cell r="P54">
            <v>50</v>
          </cell>
        </row>
        <row r="55">
          <cell r="B55" t="str">
            <v>Amortization - Leaseholds</v>
          </cell>
          <cell r="C55"/>
          <cell r="D55" t="str">
            <v>081</v>
          </cell>
          <cell r="E55">
            <v>0</v>
          </cell>
          <cell r="F55">
            <v>0</v>
          </cell>
          <cell r="G55" t="str">
            <v>-</v>
          </cell>
          <cell r="H55">
            <v>0</v>
          </cell>
          <cell r="I55"/>
          <cell r="J55">
            <v>0</v>
          </cell>
          <cell r="K55"/>
          <cell r="L55">
            <v>0</v>
          </cell>
          <cell r="M55"/>
          <cell r="N55">
            <v>0</v>
          </cell>
          <cell r="O55"/>
          <cell r="P55">
            <v>51</v>
          </cell>
        </row>
        <row r="56">
          <cell r="B56" t="str">
            <v>Repairs &amp; Maint - Real Estate</v>
          </cell>
          <cell r="C56"/>
          <cell r="D56" t="str">
            <v>082</v>
          </cell>
          <cell r="E56">
            <v>0</v>
          </cell>
          <cell r="F56">
            <v>1208</v>
          </cell>
          <cell r="G56">
            <v>1.7357935428767587E-4</v>
          </cell>
          <cell r="H56">
            <v>0</v>
          </cell>
          <cell r="I56"/>
          <cell r="J56">
            <v>303</v>
          </cell>
          <cell r="K56"/>
          <cell r="L56">
            <v>0</v>
          </cell>
          <cell r="M56"/>
          <cell r="N56">
            <v>0</v>
          </cell>
          <cell r="O56"/>
          <cell r="P56">
            <v>52</v>
          </cell>
        </row>
        <row r="57">
          <cell r="B57" t="str">
            <v>Depreciation - Bldg &amp; Imps</v>
          </cell>
          <cell r="C57"/>
          <cell r="D57" t="str">
            <v>083</v>
          </cell>
          <cell r="E57">
            <v>0</v>
          </cell>
          <cell r="F57">
            <v>0</v>
          </cell>
          <cell r="G57" t="str">
            <v>-</v>
          </cell>
          <cell r="H57">
            <v>0</v>
          </cell>
          <cell r="I57"/>
          <cell r="J57">
            <v>0</v>
          </cell>
          <cell r="K57"/>
          <cell r="L57">
            <v>0</v>
          </cell>
          <cell r="M57"/>
          <cell r="N57">
            <v>0</v>
          </cell>
          <cell r="O57"/>
          <cell r="P57">
            <v>53</v>
          </cell>
        </row>
        <row r="58">
          <cell r="B58" t="str">
            <v>Taxes - Real Estate</v>
          </cell>
          <cell r="C58"/>
          <cell r="D58" t="str">
            <v>084</v>
          </cell>
          <cell r="E58">
            <v>1538</v>
          </cell>
          <cell r="F58">
            <v>26781</v>
          </cell>
          <cell r="G58">
            <v>3.8482025556111324E-3</v>
          </cell>
          <cell r="H58">
            <v>539</v>
          </cell>
          <cell r="I58"/>
          <cell r="J58">
            <v>9374</v>
          </cell>
          <cell r="K58"/>
          <cell r="L58">
            <v>0</v>
          </cell>
          <cell r="M58"/>
          <cell r="N58">
            <v>0</v>
          </cell>
          <cell r="O58"/>
          <cell r="P58">
            <v>54</v>
          </cell>
        </row>
        <row r="59">
          <cell r="B59" t="str">
            <v>Insurance - Bldgs &amp; Imps</v>
          </cell>
          <cell r="C59"/>
          <cell r="D59" t="str">
            <v>085</v>
          </cell>
          <cell r="E59">
            <v>0</v>
          </cell>
          <cell r="F59">
            <v>0</v>
          </cell>
          <cell r="G59" t="str">
            <v>-</v>
          </cell>
          <cell r="H59">
            <v>0</v>
          </cell>
          <cell r="I59"/>
          <cell r="J59">
            <v>0</v>
          </cell>
          <cell r="K59"/>
          <cell r="L59">
            <v>0</v>
          </cell>
          <cell r="M59"/>
          <cell r="N59">
            <v>0</v>
          </cell>
          <cell r="O59"/>
          <cell r="P59">
            <v>55</v>
          </cell>
        </row>
        <row r="60">
          <cell r="B60" t="str">
            <v>Mortgage Interest</v>
          </cell>
          <cell r="C60"/>
          <cell r="D60" t="str">
            <v>086</v>
          </cell>
          <cell r="E60">
            <v>0</v>
          </cell>
          <cell r="F60">
            <v>0</v>
          </cell>
          <cell r="G60" t="str">
            <v>-</v>
          </cell>
          <cell r="H60">
            <v>0</v>
          </cell>
          <cell r="I60"/>
          <cell r="J60">
            <v>0</v>
          </cell>
          <cell r="K60"/>
          <cell r="L60">
            <v>0</v>
          </cell>
          <cell r="M60"/>
          <cell r="N60">
            <v>0</v>
          </cell>
          <cell r="O60"/>
          <cell r="P60">
            <v>56</v>
          </cell>
        </row>
        <row r="61">
          <cell r="B61" t="str">
            <v>Utilities</v>
          </cell>
          <cell r="C61"/>
          <cell r="D61" t="str">
            <v>087</v>
          </cell>
          <cell r="E61">
            <v>7760</v>
          </cell>
          <cell r="F61">
            <v>65097</v>
          </cell>
          <cell r="G61">
            <v>9.3538867765437395E-3</v>
          </cell>
          <cell r="H61">
            <v>2716</v>
          </cell>
          <cell r="I61"/>
          <cell r="J61">
            <v>22784</v>
          </cell>
          <cell r="K61"/>
          <cell r="L61">
            <v>0</v>
          </cell>
          <cell r="M61"/>
          <cell r="N61">
            <v>0</v>
          </cell>
          <cell r="O61"/>
          <cell r="P61">
            <v>57</v>
          </cell>
        </row>
        <row r="62">
          <cell r="B62" t="str">
            <v>RENT &amp; RENT EQUIVALENT                        (LINES 50 TO 57)</v>
          </cell>
          <cell r="C62"/>
          <cell r="D62"/>
          <cell r="E62">
            <v>59878</v>
          </cell>
          <cell r="F62">
            <v>683731</v>
          </cell>
          <cell r="G62">
            <v>9.8246345601379903E-2</v>
          </cell>
          <cell r="H62">
            <v>20924</v>
          </cell>
          <cell r="I62"/>
          <cell r="J62">
            <v>239153</v>
          </cell>
          <cell r="K62"/>
          <cell r="L62">
            <v>0</v>
          </cell>
          <cell r="M62"/>
          <cell r="N62">
            <v>0</v>
          </cell>
          <cell r="O62"/>
          <cell r="P62">
            <v>58</v>
          </cell>
        </row>
        <row r="63">
          <cell r="B63" t="str">
            <v>Insurance - Other</v>
          </cell>
          <cell r="C63"/>
          <cell r="D63" t="str">
            <v>088</v>
          </cell>
          <cell r="E63">
            <v>7919</v>
          </cell>
          <cell r="F63">
            <v>88737</v>
          </cell>
          <cell r="G63">
            <v>1.2750754272703224E-2</v>
          </cell>
          <cell r="H63">
            <v>3238</v>
          </cell>
          <cell r="I63"/>
          <cell r="J63">
            <v>35742</v>
          </cell>
          <cell r="K63"/>
          <cell r="L63">
            <v>0</v>
          </cell>
          <cell r="M63"/>
          <cell r="N63">
            <v>0</v>
          </cell>
          <cell r="O63"/>
          <cell r="P63">
            <v>59</v>
          </cell>
        </row>
        <row r="64">
          <cell r="B64" t="str">
            <v>Taxes - Other</v>
          </cell>
          <cell r="C64"/>
          <cell r="D64" t="str">
            <v>089</v>
          </cell>
          <cell r="E64">
            <v>5871</v>
          </cell>
          <cell r="F64">
            <v>67172</v>
          </cell>
          <cell r="G64">
            <v>9.6520466773276185E-3</v>
          </cell>
          <cell r="H64">
            <v>2055</v>
          </cell>
          <cell r="I64"/>
          <cell r="J64">
            <v>23529</v>
          </cell>
          <cell r="K64"/>
          <cell r="L64">
            <v>0</v>
          </cell>
          <cell r="M64"/>
          <cell r="N64">
            <v>0</v>
          </cell>
          <cell r="O64"/>
          <cell r="P64">
            <v>60</v>
          </cell>
        </row>
        <row r="65">
          <cell r="B65" t="str">
            <v>Other Interest</v>
          </cell>
          <cell r="C65"/>
          <cell r="D65" t="str">
            <v>090</v>
          </cell>
          <cell r="E65">
            <v>6258</v>
          </cell>
          <cell r="F65">
            <v>90472</v>
          </cell>
          <cell r="G65">
            <v>1.3000059057214084E-2</v>
          </cell>
          <cell r="H65">
            <v>2190</v>
          </cell>
          <cell r="I65"/>
          <cell r="J65">
            <v>31665</v>
          </cell>
          <cell r="K65"/>
          <cell r="L65">
            <v>0</v>
          </cell>
          <cell r="M65"/>
          <cell r="N65">
            <v>0</v>
          </cell>
          <cell r="O65"/>
          <cell r="P65">
            <v>61</v>
          </cell>
        </row>
        <row r="66">
          <cell r="B66" t="str">
            <v>Depreciation - Other</v>
          </cell>
          <cell r="C66"/>
          <cell r="D66" t="str">
            <v>091</v>
          </cell>
          <cell r="E66">
            <v>6824</v>
          </cell>
          <cell r="F66">
            <v>80316</v>
          </cell>
          <cell r="G66">
            <v>1.1540727995835245E-2</v>
          </cell>
          <cell r="H66">
            <v>1298</v>
          </cell>
          <cell r="I66"/>
          <cell r="J66">
            <v>15311</v>
          </cell>
          <cell r="K66"/>
          <cell r="L66">
            <v>0</v>
          </cell>
          <cell r="M66"/>
          <cell r="N66">
            <v>0</v>
          </cell>
          <cell r="O66"/>
          <cell r="P66">
            <v>62</v>
          </cell>
        </row>
        <row r="67">
          <cell r="B67" t="str">
            <v>Equipment Repairs &amp; Rentals</v>
          </cell>
          <cell r="C67"/>
          <cell r="D67" t="str">
            <v>092</v>
          </cell>
          <cell r="E67">
            <v>1687</v>
          </cell>
          <cell r="F67">
            <v>10036</v>
          </cell>
          <cell r="G67">
            <v>1.4420880791648305E-3</v>
          </cell>
          <cell r="H67">
            <v>1211</v>
          </cell>
          <cell r="I67"/>
          <cell r="J67">
            <v>8757</v>
          </cell>
          <cell r="K67"/>
          <cell r="L67">
            <v>0</v>
          </cell>
          <cell r="M67"/>
          <cell r="N67">
            <v>0</v>
          </cell>
          <cell r="O67"/>
          <cell r="P67">
            <v>63</v>
          </cell>
        </row>
        <row r="68">
          <cell r="B68" t="str">
            <v>TOTAL FIXED EXPENSE                             (LINES 58 TO 63)</v>
          </cell>
          <cell r="C68"/>
          <cell r="D68"/>
          <cell r="E68">
            <v>88437</v>
          </cell>
          <cell r="F68">
            <v>1020464</v>
          </cell>
          <cell r="G68">
            <v>0.14663202168362491</v>
          </cell>
          <cell r="H68">
            <v>30916</v>
          </cell>
          <cell r="I68"/>
          <cell r="J68">
            <v>354157</v>
          </cell>
          <cell r="K68"/>
          <cell r="L68">
            <v>0</v>
          </cell>
          <cell r="M68"/>
          <cell r="N68">
            <v>0</v>
          </cell>
          <cell r="O68"/>
          <cell r="P68">
            <v>64</v>
          </cell>
        </row>
        <row r="69">
          <cell r="B69" t="str">
            <v>TOTAL FIXED OVERHEAD                    (LINES 31, 49 &amp; 64)</v>
          </cell>
          <cell r="C69"/>
          <cell r="D69"/>
          <cell r="E69">
            <v>395535</v>
          </cell>
          <cell r="F69">
            <v>4669464</v>
          </cell>
          <cell r="G69">
            <v>0.67096237250790414</v>
          </cell>
          <cell r="H69">
            <v>134823</v>
          </cell>
          <cell r="I69"/>
          <cell r="J69">
            <v>1388104</v>
          </cell>
          <cell r="K69"/>
          <cell r="L69">
            <v>0</v>
          </cell>
          <cell r="M69"/>
          <cell r="N69">
            <v>0</v>
          </cell>
          <cell r="O69"/>
          <cell r="P69">
            <v>65</v>
          </cell>
        </row>
        <row r="70">
          <cell r="B70" t="str">
            <v>TOTAL EXPENSES                                       (LINES 23 &amp; 65)</v>
          </cell>
          <cell r="C70"/>
          <cell r="D70"/>
          <cell r="E70">
            <v>539408</v>
          </cell>
          <cell r="F70">
            <v>6123489</v>
          </cell>
          <cell r="G70">
            <v>0.87989343262225672</v>
          </cell>
          <cell r="H70">
            <v>212129</v>
          </cell>
          <cell r="I70"/>
          <cell r="J70">
            <v>2073609</v>
          </cell>
          <cell r="K70"/>
          <cell r="L70">
            <v>0</v>
          </cell>
          <cell r="M70"/>
          <cell r="N70">
            <v>0</v>
          </cell>
          <cell r="O70"/>
          <cell r="P70">
            <v>66</v>
          </cell>
        </row>
        <row r="71">
          <cell r="B71" t="str">
            <v>OPERATING PROFIT (LOSS)                  (LINE 13 MINUS 66)</v>
          </cell>
          <cell r="C71"/>
          <cell r="D71"/>
          <cell r="E71">
            <v>66784</v>
          </cell>
          <cell r="F71">
            <v>835864</v>
          </cell>
          <cell r="G71">
            <v>0.12010656737774331</v>
          </cell>
          <cell r="H71">
            <v>-16137</v>
          </cell>
          <cell r="I71"/>
          <cell r="J71">
            <v>43721</v>
          </cell>
          <cell r="K71"/>
          <cell r="L71">
            <v>0</v>
          </cell>
          <cell r="M71"/>
          <cell r="N71">
            <v>0</v>
          </cell>
          <cell r="O71"/>
          <cell r="P71">
            <v>67</v>
          </cell>
        </row>
        <row r="72">
          <cell r="B72" t="str">
            <v>NET ADDITIONS &amp; DEDUCTIONS</v>
          </cell>
          <cell r="C72"/>
          <cell r="D72"/>
          <cell r="E72">
            <v>76296</v>
          </cell>
          <cell r="F72">
            <v>885506</v>
          </cell>
          <cell r="G72"/>
          <cell r="H72"/>
          <cell r="I72"/>
          <cell r="J72"/>
          <cell r="K72"/>
          <cell r="L72"/>
          <cell r="M72"/>
          <cell r="N72"/>
          <cell r="O72"/>
          <cell r="P72">
            <v>68</v>
          </cell>
        </row>
        <row r="73">
          <cell r="B73" t="str">
            <v>NET PROFIT (LOSS) BEFORE
BONUSES OR INCOME TAX                         (LINES 67 &amp; 68)</v>
          </cell>
          <cell r="C73"/>
          <cell r="D73"/>
          <cell r="E73">
            <v>143080</v>
          </cell>
          <cell r="F73">
            <v>1721370</v>
          </cell>
          <cell r="G73" t="str">
            <v>PERSONNEL SUMMARY</v>
          </cell>
          <cell r="H73"/>
          <cell r="I73"/>
          <cell r="J73"/>
          <cell r="K73"/>
          <cell r="L73"/>
          <cell r="M73"/>
          <cell r="N73"/>
          <cell r="O73"/>
          <cell r="P73">
            <v>69</v>
          </cell>
        </row>
        <row r="74">
          <cell r="B74"/>
          <cell r="C74"/>
          <cell r="D74"/>
          <cell r="E74"/>
          <cell r="F74"/>
          <cell r="G74" t="str">
            <v>POSITION</v>
          </cell>
          <cell r="H74"/>
          <cell r="I74" t="str">
            <v>A</v>
          </cell>
          <cell r="J74" t="str">
            <v>B</v>
          </cell>
          <cell r="K74" t="str">
            <v>C</v>
          </cell>
          <cell r="L74" t="str">
            <v>D</v>
          </cell>
          <cell r="M74" t="str">
            <v>E</v>
          </cell>
          <cell r="N74" t="str">
            <v>F</v>
          </cell>
          <cell r="O74" t="str">
            <v>TOTAL</v>
          </cell>
          <cell r="P74">
            <v>70</v>
          </cell>
        </row>
        <row r="75">
          <cell r="B75" t="str">
            <v>Bonuses - Employees</v>
          </cell>
          <cell r="C75"/>
          <cell r="D75" t="str">
            <v>096</v>
          </cell>
          <cell r="E75">
            <v>25970</v>
          </cell>
          <cell r="F75">
            <v>312165</v>
          </cell>
          <cell r="G75" t="str">
            <v>Owners</v>
          </cell>
          <cell r="H75"/>
          <cell r="I75">
            <v>0</v>
          </cell>
          <cell r="J75">
            <v>0</v>
          </cell>
          <cell r="K75">
            <v>0</v>
          </cell>
          <cell r="L75">
            <v>0</v>
          </cell>
          <cell r="M75">
            <v>0</v>
          </cell>
          <cell r="N75">
            <v>0</v>
          </cell>
          <cell r="O75">
            <v>0</v>
          </cell>
          <cell r="P75">
            <v>71</v>
          </cell>
        </row>
        <row r="76">
          <cell r="B76" t="str">
            <v>Bonuses - Owners</v>
          </cell>
          <cell r="C76"/>
          <cell r="D76" t="str">
            <v>097</v>
          </cell>
          <cell r="E76">
            <v>0</v>
          </cell>
          <cell r="F76">
            <v>0</v>
          </cell>
          <cell r="G76" t="str">
            <v>Supervisors</v>
          </cell>
          <cell r="H76"/>
          <cell r="I76">
            <v>3.5</v>
          </cell>
          <cell r="J76">
            <v>0</v>
          </cell>
          <cell r="K76">
            <v>3.5</v>
          </cell>
          <cell r="L76">
            <v>3.5</v>
          </cell>
          <cell r="M76">
            <v>0</v>
          </cell>
          <cell r="N76">
            <v>1.5</v>
          </cell>
          <cell r="O76">
            <v>12</v>
          </cell>
          <cell r="P76">
            <v>72</v>
          </cell>
        </row>
        <row r="77">
          <cell r="B77" t="str">
            <v>NET PROFIT (LOSS)
BEFORE INCOME TAX                                 (LINES 70 to 72)</v>
          </cell>
          <cell r="C77"/>
          <cell r="D77"/>
          <cell r="E77">
            <v>117110</v>
          </cell>
          <cell r="F77">
            <v>1409205</v>
          </cell>
          <cell r="G77" t="str">
            <v>Salespeople / Pts Ctr / Srv Adv</v>
          </cell>
          <cell r="H77"/>
          <cell r="I77">
            <v>10</v>
          </cell>
          <cell r="J77">
            <v>0</v>
          </cell>
          <cell r="K77">
            <v>10</v>
          </cell>
          <cell r="L77">
            <v>4.5</v>
          </cell>
          <cell r="M77">
            <v>0</v>
          </cell>
          <cell r="N77">
            <v>3.5</v>
          </cell>
          <cell r="O77">
            <v>28</v>
          </cell>
          <cell r="P77">
            <v>73</v>
          </cell>
        </row>
        <row r="78">
          <cell r="B78"/>
          <cell r="C78"/>
          <cell r="D78"/>
          <cell r="E78"/>
          <cell r="F78"/>
          <cell r="G78" t="str">
            <v>Technicians</v>
          </cell>
          <cell r="H78"/>
          <cell r="I78"/>
          <cell r="J78"/>
          <cell r="K78"/>
          <cell r="L78">
            <v>11.5</v>
          </cell>
          <cell r="M78">
            <v>0</v>
          </cell>
          <cell r="N78"/>
          <cell r="O78">
            <v>11.5</v>
          </cell>
          <cell r="P78">
            <v>74</v>
          </cell>
        </row>
        <row r="79">
          <cell r="B79"/>
          <cell r="C79"/>
          <cell r="D79"/>
          <cell r="E79"/>
          <cell r="F79"/>
          <cell r="G79" t="str">
            <v>Clerical</v>
          </cell>
          <cell r="H79"/>
          <cell r="I79">
            <v>1.25</v>
          </cell>
          <cell r="J79">
            <v>0</v>
          </cell>
          <cell r="K79">
            <v>1.25</v>
          </cell>
          <cell r="L79">
            <v>4</v>
          </cell>
          <cell r="M79">
            <v>0</v>
          </cell>
          <cell r="N79">
            <v>1</v>
          </cell>
          <cell r="O79">
            <v>7.5</v>
          </cell>
          <cell r="P79">
            <v>75</v>
          </cell>
        </row>
        <row r="80">
          <cell r="B80"/>
          <cell r="C80"/>
          <cell r="D80"/>
          <cell r="E80"/>
          <cell r="F80"/>
          <cell r="G80" t="str">
            <v>Other</v>
          </cell>
          <cell r="H80"/>
          <cell r="I80">
            <v>7.75</v>
          </cell>
          <cell r="J80">
            <v>0</v>
          </cell>
          <cell r="K80">
            <v>7.75</v>
          </cell>
          <cell r="L80">
            <v>1.5</v>
          </cell>
          <cell r="M80">
            <v>0</v>
          </cell>
          <cell r="N80">
            <v>1.5</v>
          </cell>
          <cell r="O80">
            <v>18.5</v>
          </cell>
          <cell r="P80">
            <v>76</v>
          </cell>
        </row>
        <row r="81">
          <cell r="B81"/>
          <cell r="C81"/>
          <cell r="D81"/>
          <cell r="E81"/>
          <cell r="F81"/>
          <cell r="G81" t="str">
            <v>TOTAL</v>
          </cell>
          <cell r="H81"/>
          <cell r="I81">
            <v>22.5</v>
          </cell>
          <cell r="J81">
            <v>0</v>
          </cell>
          <cell r="K81">
            <v>22.5</v>
          </cell>
          <cell r="L81">
            <v>25</v>
          </cell>
          <cell r="M81">
            <v>0</v>
          </cell>
          <cell r="N81">
            <v>7.5</v>
          </cell>
          <cell r="O81">
            <v>77.5</v>
          </cell>
          <cell r="P81">
            <v>77</v>
          </cell>
        </row>
        <row r="82">
          <cell r="B82"/>
          <cell r="C82"/>
          <cell r="D82"/>
          <cell r="E82"/>
          <cell r="F82"/>
          <cell r="G82" t="str">
            <v>Hired Y.T.D.</v>
          </cell>
          <cell r="H82"/>
          <cell r="I82">
            <v>13</v>
          </cell>
          <cell r="J82">
            <v>0</v>
          </cell>
          <cell r="K82">
            <v>13</v>
          </cell>
          <cell r="L82">
            <v>4</v>
          </cell>
          <cell r="M82">
            <v>0</v>
          </cell>
          <cell r="N82">
            <v>1</v>
          </cell>
          <cell r="O82">
            <v>31</v>
          </cell>
          <cell r="P82">
            <v>78</v>
          </cell>
        </row>
        <row r="83">
          <cell r="B83"/>
          <cell r="C83"/>
          <cell r="D83"/>
          <cell r="E83"/>
          <cell r="F83"/>
          <cell r="G83" t="str">
            <v>Term Y.T.D.</v>
          </cell>
          <cell r="H83"/>
          <cell r="I83">
            <v>0</v>
          </cell>
          <cell r="J83">
            <v>0</v>
          </cell>
          <cell r="K83">
            <v>0</v>
          </cell>
          <cell r="L83">
            <v>5</v>
          </cell>
          <cell r="M83">
            <v>0</v>
          </cell>
          <cell r="N83">
            <v>4</v>
          </cell>
          <cell r="O83">
            <v>9</v>
          </cell>
          <cell r="P83">
            <v>79</v>
          </cell>
        </row>
        <row r="84">
          <cell r="B84"/>
          <cell r="C84"/>
          <cell r="D84"/>
          <cell r="E84"/>
          <cell r="F84"/>
          <cell r="G84"/>
          <cell r="H84"/>
          <cell r="I84"/>
          <cell r="J84"/>
          <cell r="K84"/>
          <cell r="L84"/>
          <cell r="M84"/>
          <cell r="N84" t="str">
            <v>Ver</v>
          </cell>
          <cell r="O84" t="str">
            <v>1.2-5</v>
          </cell>
          <cell r="P84"/>
        </row>
      </sheetData>
      <sheetData sheetId="2" refreshError="1">
        <row r="1">
          <cell r="B1"/>
          <cell r="C1"/>
          <cell r="D1" t="str">
            <v>Dealer</v>
          </cell>
          <cell r="E1"/>
          <cell r="F1"/>
          <cell r="G1" t="str">
            <v>HONDA KINGSPORT</v>
          </cell>
          <cell r="H1"/>
          <cell r="I1"/>
          <cell r="J1"/>
          <cell r="K1"/>
          <cell r="L1"/>
          <cell r="M1"/>
          <cell r="N1" t="str">
            <v>DEALER NO</v>
          </cell>
          <cell r="O1"/>
          <cell r="P1"/>
          <cell r="Q1">
            <v>208627</v>
          </cell>
          <cell r="R1"/>
          <cell r="S1"/>
          <cell r="T1"/>
          <cell r="U1" t="str">
            <v>THRU</v>
          </cell>
          <cell r="V1"/>
          <cell r="W1">
            <v>42735</v>
          </cell>
          <cell r="X1"/>
        </row>
        <row r="2">
          <cell r="B2" t="str">
            <v>NAME OF ACCOUNT</v>
          </cell>
          <cell r="C2"/>
          <cell r="D2"/>
          <cell r="E2"/>
          <cell r="F2"/>
          <cell r="G2"/>
          <cell r="H2" t="str">
            <v>ACCT NO</v>
          </cell>
          <cell r="I2" t="str">
            <v>C   Used Vehicle Dept.</v>
          </cell>
          <cell r="J2"/>
          <cell r="K2"/>
          <cell r="L2"/>
          <cell r="M2" t="str">
            <v>D      Service Dept.</v>
          </cell>
          <cell r="N2"/>
          <cell r="O2"/>
          <cell r="P2"/>
          <cell r="Q2" t="str">
            <v>E    Body Shop Dept.</v>
          </cell>
          <cell r="R2"/>
          <cell r="S2"/>
          <cell r="T2"/>
          <cell r="U2" t="str">
            <v>F       P &amp; A Dept.</v>
          </cell>
          <cell r="V2"/>
          <cell r="W2"/>
          <cell r="X2"/>
        </row>
        <row r="3">
          <cell r="B3" t="str">
            <v>NAME OF ACCOUNT</v>
          </cell>
          <cell r="C3"/>
          <cell r="D3"/>
          <cell r="E3"/>
          <cell r="F3"/>
          <cell r="G3"/>
          <cell r="H3" t="str">
            <v>ACCT NO</v>
          </cell>
          <cell r="I3" t="str">
            <v>C   Used Vehicle Dept.</v>
          </cell>
          <cell r="J3"/>
          <cell r="K3"/>
          <cell r="L3"/>
          <cell r="M3" t="str">
            <v>D      Service Dept.</v>
          </cell>
          <cell r="N3"/>
          <cell r="O3"/>
          <cell r="P3"/>
          <cell r="Q3" t="str">
            <v>E    Body Shop Dept.</v>
          </cell>
          <cell r="R3"/>
          <cell r="S3"/>
          <cell r="T3"/>
          <cell r="U3" t="str">
            <v>F       P &amp; A Dept.</v>
          </cell>
          <cell r="V3"/>
          <cell r="W3"/>
          <cell r="X3"/>
        </row>
        <row r="4">
          <cell r="B4" t="str">
            <v>NAME OF ACCOUNT</v>
          </cell>
          <cell r="C4"/>
          <cell r="D4"/>
          <cell r="E4"/>
          <cell r="F4"/>
          <cell r="G4"/>
          <cell r="H4" t="str">
            <v>ACCT NO</v>
          </cell>
          <cell r="I4" t="str">
            <v>MONTH</v>
          </cell>
          <cell r="J4"/>
          <cell r="K4" t="str">
            <v xml:space="preserve"> YEAR TO DATE</v>
          </cell>
          <cell r="L4"/>
          <cell r="M4" t="str">
            <v>MONTH</v>
          </cell>
          <cell r="N4"/>
          <cell r="O4" t="str">
            <v>YEAR TO DATE</v>
          </cell>
          <cell r="P4"/>
          <cell r="Q4" t="str">
            <v>MONTH</v>
          </cell>
          <cell r="R4"/>
          <cell r="S4" t="str">
            <v>YEAR TO DATE</v>
          </cell>
          <cell r="T4"/>
          <cell r="U4" t="str">
            <v>MONTH</v>
          </cell>
          <cell r="V4"/>
          <cell r="W4" t="str">
            <v>YEAR TO DATE</v>
          </cell>
          <cell r="X4"/>
        </row>
        <row r="5">
          <cell r="B5" t="str">
            <v>SALES</v>
          </cell>
          <cell r="C5"/>
          <cell r="D5"/>
          <cell r="E5"/>
          <cell r="F5"/>
          <cell r="G5"/>
          <cell r="H5"/>
          <cell r="I5">
            <v>1618834</v>
          </cell>
          <cell r="J5"/>
          <cell r="K5">
            <v>18988637</v>
          </cell>
          <cell r="L5"/>
          <cell r="M5">
            <v>176811</v>
          </cell>
          <cell r="N5"/>
          <cell r="O5">
            <v>2802121</v>
          </cell>
          <cell r="P5"/>
          <cell r="Q5">
            <v>0</v>
          </cell>
          <cell r="R5"/>
          <cell r="S5">
            <v>0</v>
          </cell>
          <cell r="T5"/>
          <cell r="U5">
            <v>317460</v>
          </cell>
          <cell r="V5"/>
          <cell r="W5">
            <v>3823074</v>
          </cell>
          <cell r="X5"/>
        </row>
        <row r="6">
          <cell r="B6" t="str">
            <v>GROSS</v>
          </cell>
          <cell r="C6"/>
          <cell r="D6"/>
          <cell r="E6"/>
          <cell r="F6"/>
          <cell r="G6"/>
          <cell r="H6"/>
          <cell r="I6">
            <v>105352</v>
          </cell>
          <cell r="J6"/>
          <cell r="K6">
            <v>1060010</v>
          </cell>
          <cell r="L6"/>
          <cell r="M6">
            <v>130294</v>
          </cell>
          <cell r="N6"/>
          <cell r="O6">
            <v>1807451</v>
          </cell>
          <cell r="P6"/>
          <cell r="Q6">
            <v>0</v>
          </cell>
          <cell r="R6"/>
          <cell r="S6">
            <v>0</v>
          </cell>
          <cell r="T6"/>
          <cell r="U6">
            <v>115819</v>
          </cell>
          <cell r="V6"/>
          <cell r="W6">
            <v>1166045</v>
          </cell>
          <cell r="X6"/>
        </row>
        <row r="7">
          <cell r="B7" t="str">
            <v>OTHER VARIABLE INCOME &amp; DEDUCTIONS</v>
          </cell>
          <cell r="C7"/>
          <cell r="D7"/>
          <cell r="E7"/>
          <cell r="F7"/>
          <cell r="G7"/>
          <cell r="H7"/>
          <cell r="I7"/>
          <cell r="J7"/>
          <cell r="K7"/>
          <cell r="L7"/>
          <cell r="M7"/>
          <cell r="N7"/>
          <cell r="O7"/>
          <cell r="P7"/>
          <cell r="Q7"/>
          <cell r="R7"/>
          <cell r="S7"/>
          <cell r="T7"/>
          <cell r="U7"/>
          <cell r="V7"/>
          <cell r="W7"/>
          <cell r="X7"/>
        </row>
        <row r="8">
          <cell r="B8" t="str">
            <v>Finance Income</v>
          </cell>
          <cell r="C8"/>
          <cell r="D8"/>
          <cell r="E8"/>
          <cell r="F8"/>
          <cell r="G8"/>
          <cell r="H8">
            <v>3</v>
          </cell>
          <cell r="I8">
            <v>18586</v>
          </cell>
          <cell r="J8"/>
          <cell r="K8">
            <v>280947</v>
          </cell>
          <cell r="L8"/>
          <cell r="M8" t="str">
            <v>SERVICE / BODY DEPARTMENT DATA</v>
          </cell>
          <cell r="N8"/>
          <cell r="O8"/>
          <cell r="P8"/>
          <cell r="Q8"/>
          <cell r="R8"/>
          <cell r="S8"/>
          <cell r="T8"/>
          <cell r="U8"/>
          <cell r="V8"/>
          <cell r="W8"/>
          <cell r="X8"/>
        </row>
        <row r="9">
          <cell r="B9" t="str">
            <v>Insurance Income</v>
          </cell>
          <cell r="C9"/>
          <cell r="D9"/>
          <cell r="E9"/>
          <cell r="F9"/>
          <cell r="G9"/>
          <cell r="H9">
            <v>4</v>
          </cell>
          <cell r="I9">
            <v>0</v>
          </cell>
          <cell r="J9"/>
          <cell r="K9">
            <v>5716</v>
          </cell>
          <cell r="L9"/>
          <cell r="M9"/>
          <cell r="N9"/>
          <cell r="O9"/>
          <cell r="P9"/>
          <cell r="Q9"/>
          <cell r="R9"/>
          <cell r="S9"/>
          <cell r="T9"/>
          <cell r="U9"/>
          <cell r="V9"/>
          <cell r="W9"/>
          <cell r="X9"/>
        </row>
        <row r="10">
          <cell r="B10" t="str">
            <v>Service Contracts</v>
          </cell>
          <cell r="C10"/>
          <cell r="D10"/>
          <cell r="E10"/>
          <cell r="F10"/>
          <cell r="G10"/>
          <cell r="H10">
            <v>5</v>
          </cell>
          <cell r="I10">
            <v>36688</v>
          </cell>
          <cell r="J10"/>
          <cell r="K10">
            <v>500870</v>
          </cell>
          <cell r="L10"/>
          <cell r="M10">
            <v>0</v>
          </cell>
          <cell r="N10"/>
          <cell r="O10">
            <v>0</v>
          </cell>
          <cell r="P10"/>
          <cell r="Q10"/>
          <cell r="R10"/>
          <cell r="S10"/>
          <cell r="T10"/>
          <cell r="U10" t="str">
            <v>SERVICE</v>
          </cell>
          <cell r="V10"/>
          <cell r="W10" t="str">
            <v>BODY SHOP</v>
          </cell>
          <cell r="X10"/>
        </row>
        <row r="11">
          <cell r="B11" t="str">
            <v>GAP Insurance Income</v>
          </cell>
          <cell r="C11"/>
          <cell r="D11"/>
          <cell r="E11"/>
          <cell r="F11"/>
          <cell r="G11"/>
          <cell r="H11">
            <v>6</v>
          </cell>
          <cell r="I11">
            <v>10453</v>
          </cell>
          <cell r="J11"/>
          <cell r="K11">
            <v>121192</v>
          </cell>
          <cell r="L11"/>
          <cell r="M11"/>
          <cell r="N11"/>
          <cell r="O11"/>
          <cell r="P11"/>
          <cell r="Q11"/>
          <cell r="R11" t="str">
            <v>Ttl Weekly Operating Hrs.</v>
          </cell>
          <cell r="S11"/>
          <cell r="T11"/>
          <cell r="U11">
            <v>58</v>
          </cell>
          <cell r="V11"/>
          <cell r="W11">
            <v>0</v>
          </cell>
          <cell r="X11"/>
        </row>
        <row r="12">
          <cell r="B12" t="str">
            <v>Charge Backs &amp; Repo Losses</v>
          </cell>
          <cell r="C12"/>
          <cell r="D12"/>
          <cell r="E12"/>
          <cell r="F12"/>
          <cell r="G12"/>
          <cell r="H12">
            <v>7</v>
          </cell>
          <cell r="I12">
            <v>-6992</v>
          </cell>
          <cell r="J12"/>
          <cell r="K12">
            <v>-100208</v>
          </cell>
          <cell r="L12"/>
          <cell r="M12">
            <v>0</v>
          </cell>
          <cell r="N12"/>
          <cell r="O12">
            <v>0</v>
          </cell>
          <cell r="P12"/>
          <cell r="Q12"/>
          <cell r="R12" t="str">
            <v>Ttl Hours Billed (Month)</v>
          </cell>
          <cell r="S12"/>
          <cell r="T12"/>
          <cell r="U12">
            <v>0</v>
          </cell>
          <cell r="V12"/>
          <cell r="W12"/>
          <cell r="X12"/>
        </row>
        <row r="13">
          <cell r="B13" t="str">
            <v>Aftermarket Income</v>
          </cell>
          <cell r="C13"/>
          <cell r="D13"/>
          <cell r="E13"/>
          <cell r="F13"/>
          <cell r="G13"/>
          <cell r="H13">
            <v>9</v>
          </cell>
          <cell r="I13">
            <v>0</v>
          </cell>
          <cell r="J13"/>
          <cell r="K13">
            <v>0</v>
          </cell>
          <cell r="L13"/>
          <cell r="M13"/>
          <cell r="N13"/>
          <cell r="O13"/>
          <cell r="P13"/>
          <cell r="Q13"/>
          <cell r="R13"/>
          <cell r="S13"/>
          <cell r="T13"/>
          <cell r="U13"/>
          <cell r="V13"/>
          <cell r="W13"/>
          <cell r="X13"/>
        </row>
        <row r="14">
          <cell r="B14" t="str">
            <v>Finance and Insurance Sub-Total                 (LINES 4 TO 9)</v>
          </cell>
          <cell r="C14"/>
          <cell r="D14"/>
          <cell r="E14"/>
          <cell r="F14"/>
          <cell r="G14"/>
          <cell r="H14"/>
          <cell r="I14">
            <v>58735</v>
          </cell>
          <cell r="J14"/>
          <cell r="K14">
            <v>808517</v>
          </cell>
          <cell r="L14"/>
          <cell r="M14">
            <v>0</v>
          </cell>
          <cell r="N14"/>
          <cell r="O14">
            <v>0</v>
          </cell>
          <cell r="P14"/>
          <cell r="Q14"/>
          <cell r="R14"/>
          <cell r="S14" t="str">
            <v>CUSTOMER</v>
          </cell>
          <cell r="T14"/>
          <cell r="U14" t="str">
            <v>WARRANTY</v>
          </cell>
          <cell r="V14"/>
          <cell r="W14" t="str">
            <v>INTERNAL</v>
          </cell>
          <cell r="X14"/>
        </row>
        <row r="15">
          <cell r="B15"/>
          <cell r="C15"/>
          <cell r="D15"/>
          <cell r="E15"/>
          <cell r="F15"/>
          <cell r="G15"/>
          <cell r="H15"/>
          <cell r="I15"/>
          <cell r="J15"/>
          <cell r="K15"/>
          <cell r="L15"/>
          <cell r="M15"/>
          <cell r="N15"/>
          <cell r="O15"/>
          <cell r="P15"/>
          <cell r="Q15" t="str">
            <v>Hourly Labor Rate Charge</v>
          </cell>
          <cell r="R15" t="str">
            <v>MECH</v>
          </cell>
          <cell r="S15">
            <v>120</v>
          </cell>
          <cell r="T15"/>
          <cell r="U15">
            <v>95.25</v>
          </cell>
          <cell r="V15"/>
          <cell r="W15">
            <v>87</v>
          </cell>
          <cell r="X15"/>
        </row>
        <row r="16">
          <cell r="B16"/>
          <cell r="C16"/>
          <cell r="D16"/>
          <cell r="E16"/>
          <cell r="F16"/>
          <cell r="G16"/>
          <cell r="H16"/>
          <cell r="I16"/>
          <cell r="J16"/>
          <cell r="K16"/>
          <cell r="L16"/>
          <cell r="M16"/>
          <cell r="N16"/>
          <cell r="O16"/>
          <cell r="P16"/>
          <cell r="Q16" t="str">
            <v>Hourly Labor
Rate Charge</v>
          </cell>
          <cell r="R16" t="str">
            <v>BODY</v>
          </cell>
          <cell r="S16">
            <v>0</v>
          </cell>
          <cell r="T16"/>
          <cell r="U16">
            <v>0</v>
          </cell>
          <cell r="V16"/>
          <cell r="W16">
            <v>0</v>
          </cell>
          <cell r="X16"/>
        </row>
        <row r="17">
          <cell r="B17" t="str">
            <v>TOTAL OPERATING  INCOME           (LINES 2, 10, 11 &amp; 12)</v>
          </cell>
          <cell r="C17"/>
          <cell r="D17"/>
          <cell r="E17"/>
          <cell r="F17"/>
          <cell r="G17"/>
          <cell r="H17"/>
          <cell r="I17">
            <v>164087</v>
          </cell>
          <cell r="J17"/>
          <cell r="K17">
            <v>1868527</v>
          </cell>
          <cell r="L17"/>
          <cell r="M17">
            <v>130294</v>
          </cell>
          <cell r="N17"/>
          <cell r="O17">
            <v>1807451</v>
          </cell>
          <cell r="P17"/>
          <cell r="Q17">
            <v>0</v>
          </cell>
          <cell r="R17"/>
          <cell r="S17">
            <v>0</v>
          </cell>
          <cell r="T17"/>
          <cell r="U17">
            <v>115819</v>
          </cell>
          <cell r="V17"/>
          <cell r="W17">
            <v>1166045</v>
          </cell>
          <cell r="X17"/>
        </row>
        <row r="18">
          <cell r="B18" t="str">
            <v>EXPENSES</v>
          </cell>
          <cell r="C18"/>
          <cell r="D18"/>
          <cell r="E18"/>
          <cell r="F18"/>
          <cell r="G18"/>
          <cell r="H18"/>
          <cell r="I18"/>
          <cell r="J18"/>
          <cell r="K18"/>
          <cell r="L18"/>
          <cell r="M18"/>
          <cell r="N18"/>
          <cell r="O18"/>
          <cell r="P18"/>
          <cell r="Q18"/>
          <cell r="R18"/>
          <cell r="S18"/>
          <cell r="T18"/>
          <cell r="U18"/>
          <cell r="V18"/>
          <cell r="W18"/>
          <cell r="X18"/>
        </row>
        <row r="19">
          <cell r="B19" t="str">
            <v>Salespeople Compensation</v>
          </cell>
          <cell r="C19"/>
          <cell r="D19"/>
          <cell r="E19"/>
          <cell r="F19"/>
          <cell r="G19"/>
          <cell r="H19">
            <v>11</v>
          </cell>
          <cell r="I19">
            <v>26937</v>
          </cell>
          <cell r="J19"/>
          <cell r="K19">
            <v>319460</v>
          </cell>
          <cell r="L19"/>
          <cell r="M19" t="str">
            <v>Monthly Memo Data</v>
          </cell>
          <cell r="N19"/>
          <cell r="O19"/>
          <cell r="P19"/>
          <cell r="Q19"/>
          <cell r="R19"/>
          <cell r="S19"/>
          <cell r="T19"/>
          <cell r="U19"/>
          <cell r="V19"/>
          <cell r="W19"/>
          <cell r="X19"/>
        </row>
        <row r="20">
          <cell r="B20" t="str">
            <v>Floor Plan Interest</v>
          </cell>
          <cell r="C20"/>
          <cell r="D20"/>
          <cell r="E20"/>
          <cell r="F20"/>
          <cell r="G20"/>
          <cell r="H20">
            <v>12</v>
          </cell>
          <cell r="I20">
            <v>816</v>
          </cell>
          <cell r="J20"/>
          <cell r="K20">
            <v>6683</v>
          </cell>
          <cell r="L20"/>
          <cell r="M20"/>
          <cell r="N20"/>
          <cell r="O20"/>
          <cell r="P20"/>
          <cell r="Q20"/>
          <cell r="R20"/>
          <cell r="S20"/>
          <cell r="T20"/>
          <cell r="U20" t="str">
            <v>PARTS / ACCESSORIES DEPARTMENT</v>
          </cell>
          <cell r="V20"/>
          <cell r="W20"/>
          <cell r="X20"/>
        </row>
        <row r="21">
          <cell r="B21" t="str">
            <v>Compensation  F &amp; I / Service Contracts</v>
          </cell>
          <cell r="C21"/>
          <cell r="D21"/>
          <cell r="E21"/>
          <cell r="F21"/>
          <cell r="G21"/>
          <cell r="H21">
            <v>13</v>
          </cell>
          <cell r="I21">
            <v>14734</v>
          </cell>
          <cell r="J21"/>
          <cell r="K21">
            <v>167916</v>
          </cell>
          <cell r="L21"/>
          <cell r="M21">
            <v>0</v>
          </cell>
          <cell r="N21"/>
          <cell r="O21">
            <v>0</v>
          </cell>
          <cell r="P21"/>
          <cell r="Q21"/>
          <cell r="R21"/>
          <cell r="S21"/>
          <cell r="T21"/>
          <cell r="U21"/>
          <cell r="V21"/>
          <cell r="W21"/>
          <cell r="X21"/>
        </row>
        <row r="22">
          <cell r="B22" t="str">
            <v>Delivery Expense</v>
          </cell>
          <cell r="C22"/>
          <cell r="D22"/>
          <cell r="E22"/>
          <cell r="F22"/>
          <cell r="G22"/>
          <cell r="H22">
            <v>14</v>
          </cell>
          <cell r="I22">
            <v>-1438</v>
          </cell>
          <cell r="J22"/>
          <cell r="K22">
            <v>-20823</v>
          </cell>
          <cell r="L22"/>
          <cell r="M22"/>
          <cell r="N22"/>
          <cell r="O22"/>
          <cell r="P22"/>
          <cell r="Q22" t="str">
            <v>HONDA  FLOOR  PLAN ASSISTANCE</v>
          </cell>
          <cell r="R22"/>
          <cell r="S22"/>
          <cell r="T22"/>
          <cell r="U22" t="str">
            <v>LOST SALES</v>
          </cell>
          <cell r="V22"/>
          <cell r="W22"/>
          <cell r="X22"/>
        </row>
        <row r="23">
          <cell r="B23" t="str">
            <v>Policy Expense - New &amp; Used</v>
          </cell>
          <cell r="C23"/>
          <cell r="D23"/>
          <cell r="E23"/>
          <cell r="F23"/>
          <cell r="G23"/>
          <cell r="H23">
            <v>15</v>
          </cell>
          <cell r="I23">
            <v>34</v>
          </cell>
          <cell r="J23"/>
          <cell r="K23">
            <v>52</v>
          </cell>
          <cell r="L23"/>
          <cell r="M23"/>
          <cell r="N23"/>
          <cell r="O23"/>
          <cell r="P23"/>
          <cell r="Q23">
            <v>10004</v>
          </cell>
          <cell r="R23"/>
          <cell r="S23"/>
          <cell r="T23"/>
          <cell r="U23">
            <v>871</v>
          </cell>
          <cell r="V23"/>
          <cell r="W23"/>
          <cell r="X23"/>
        </row>
        <row r="24">
          <cell r="B24" t="str">
            <v>Demo Expense</v>
          </cell>
          <cell r="C24"/>
          <cell r="D24"/>
          <cell r="E24"/>
          <cell r="F24"/>
          <cell r="G24"/>
          <cell r="H24">
            <v>16</v>
          </cell>
          <cell r="I24">
            <v>13118</v>
          </cell>
          <cell r="J24"/>
          <cell r="K24">
            <v>155620</v>
          </cell>
          <cell r="L24"/>
          <cell r="M24"/>
          <cell r="N24"/>
          <cell r="O24"/>
          <cell r="P24"/>
          <cell r="Q24"/>
          <cell r="R24"/>
          <cell r="S24"/>
          <cell r="T24"/>
          <cell r="U24"/>
          <cell r="V24"/>
          <cell r="W24"/>
          <cell r="X24"/>
        </row>
        <row r="25">
          <cell r="B25" t="str">
            <v>Advertising - Association</v>
          </cell>
          <cell r="C25"/>
          <cell r="D25"/>
          <cell r="E25"/>
          <cell r="F25"/>
          <cell r="G25"/>
          <cell r="H25">
            <v>18</v>
          </cell>
          <cell r="I25"/>
          <cell r="J25"/>
          <cell r="K25"/>
          <cell r="L25"/>
          <cell r="M25"/>
          <cell r="N25"/>
          <cell r="O25"/>
          <cell r="P25"/>
          <cell r="Q25" t="str">
            <v>OTHER  FLOOR  PLAN ASSISTANCE</v>
          </cell>
          <cell r="R25"/>
          <cell r="S25"/>
          <cell r="T25"/>
          <cell r="U25" t="str">
            <v>EMERGENCY PURCHASES</v>
          </cell>
          <cell r="V25"/>
          <cell r="W25"/>
          <cell r="X25"/>
        </row>
        <row r="26">
          <cell r="B26" t="str">
            <v>Advertising - New &amp; Used</v>
          </cell>
          <cell r="C26"/>
          <cell r="D26"/>
          <cell r="E26"/>
          <cell r="F26"/>
          <cell r="G26"/>
          <cell r="H26">
            <v>19</v>
          </cell>
          <cell r="I26">
            <v>12366</v>
          </cell>
          <cell r="J26"/>
          <cell r="K26">
            <v>139612</v>
          </cell>
          <cell r="L26"/>
          <cell r="M26"/>
          <cell r="N26"/>
          <cell r="O26"/>
          <cell r="P26"/>
          <cell r="Q26">
            <v>0</v>
          </cell>
          <cell r="R26"/>
          <cell r="S26"/>
          <cell r="T26"/>
          <cell r="U26">
            <v>27486</v>
          </cell>
          <cell r="V26"/>
          <cell r="W26"/>
          <cell r="X26"/>
        </row>
        <row r="27">
          <cell r="B27" t="str">
            <v>TOTAL VARIABLE SELLING EXP                 (LINES 15 TO 22)</v>
          </cell>
          <cell r="C27"/>
          <cell r="D27"/>
          <cell r="E27"/>
          <cell r="F27"/>
          <cell r="G27"/>
          <cell r="H27"/>
          <cell r="I27">
            <v>66567</v>
          </cell>
          <cell r="J27"/>
          <cell r="K27">
            <v>768520</v>
          </cell>
          <cell r="L27"/>
          <cell r="M27">
            <v>0</v>
          </cell>
          <cell r="N27"/>
          <cell r="O27">
            <v>0</v>
          </cell>
          <cell r="P27"/>
          <cell r="Q27"/>
          <cell r="R27"/>
          <cell r="S27"/>
          <cell r="T27"/>
          <cell r="U27"/>
          <cell r="V27"/>
          <cell r="W27"/>
          <cell r="X27"/>
        </row>
        <row r="28">
          <cell r="B28" t="str">
            <v>Compensation  Owners</v>
          </cell>
          <cell r="C28"/>
          <cell r="D28"/>
          <cell r="E28"/>
          <cell r="F28"/>
          <cell r="G28"/>
          <cell r="H28">
            <v>20</v>
          </cell>
          <cell r="I28">
            <v>6320</v>
          </cell>
          <cell r="J28"/>
          <cell r="K28">
            <v>87795</v>
          </cell>
          <cell r="L28"/>
          <cell r="M28">
            <v>9866</v>
          </cell>
          <cell r="N28"/>
          <cell r="O28">
            <v>107636</v>
          </cell>
          <cell r="P28"/>
          <cell r="Q28">
            <v>0</v>
          </cell>
          <cell r="R28"/>
          <cell r="S28">
            <v>0</v>
          </cell>
          <cell r="T28"/>
          <cell r="U28">
            <v>4049</v>
          </cell>
          <cell r="V28"/>
          <cell r="W28">
            <v>36639</v>
          </cell>
          <cell r="X28"/>
        </row>
        <row r="29">
          <cell r="B29" t="str">
            <v>Compensation  Supervisors</v>
          </cell>
          <cell r="C29"/>
          <cell r="D29"/>
          <cell r="E29"/>
          <cell r="F29"/>
          <cell r="G29"/>
          <cell r="H29">
            <v>21</v>
          </cell>
          <cell r="I29">
            <v>13409</v>
          </cell>
          <cell r="J29"/>
          <cell r="K29">
            <v>187981</v>
          </cell>
          <cell r="L29"/>
          <cell r="M29">
            <v>13362</v>
          </cell>
          <cell r="N29"/>
          <cell r="O29">
            <v>131261</v>
          </cell>
          <cell r="P29"/>
          <cell r="Q29">
            <v>0</v>
          </cell>
          <cell r="R29"/>
          <cell r="S29">
            <v>0</v>
          </cell>
          <cell r="T29"/>
          <cell r="U29">
            <v>7891</v>
          </cell>
          <cell r="V29"/>
          <cell r="W29">
            <v>79780</v>
          </cell>
          <cell r="X29"/>
        </row>
        <row r="30">
          <cell r="B30" t="str">
            <v>Compensation  Clerical</v>
          </cell>
          <cell r="C30"/>
          <cell r="D30"/>
          <cell r="E30"/>
          <cell r="F30"/>
          <cell r="G30"/>
          <cell r="H30">
            <v>22</v>
          </cell>
          <cell r="I30">
            <v>4973</v>
          </cell>
          <cell r="J30"/>
          <cell r="K30">
            <v>56152</v>
          </cell>
          <cell r="L30"/>
          <cell r="M30">
            <v>5941</v>
          </cell>
          <cell r="N30"/>
          <cell r="O30">
            <v>60041</v>
          </cell>
          <cell r="P30"/>
          <cell r="Q30">
            <v>0</v>
          </cell>
          <cell r="R30"/>
          <cell r="S30">
            <v>0</v>
          </cell>
          <cell r="T30"/>
          <cell r="U30">
            <v>4726</v>
          </cell>
          <cell r="V30"/>
          <cell r="W30">
            <v>47144</v>
          </cell>
          <cell r="X30"/>
        </row>
        <row r="31">
          <cell r="B31" t="str">
            <v>Other Salaries &amp; Wages</v>
          </cell>
          <cell r="C31"/>
          <cell r="D31"/>
          <cell r="E31"/>
          <cell r="F31"/>
          <cell r="G31"/>
          <cell r="H31">
            <v>23</v>
          </cell>
          <cell r="I31">
            <v>14230</v>
          </cell>
          <cell r="J31"/>
          <cell r="K31">
            <v>167901</v>
          </cell>
          <cell r="L31"/>
          <cell r="M31">
            <v>27283</v>
          </cell>
          <cell r="N31"/>
          <cell r="O31">
            <v>376014</v>
          </cell>
          <cell r="P31"/>
          <cell r="Q31">
            <v>0</v>
          </cell>
          <cell r="R31"/>
          <cell r="S31">
            <v>0</v>
          </cell>
          <cell r="T31"/>
          <cell r="U31">
            <v>16578</v>
          </cell>
          <cell r="V31"/>
          <cell r="W31">
            <v>178712</v>
          </cell>
          <cell r="X31"/>
        </row>
        <row r="32">
          <cell r="B32" t="str">
            <v>Payroll Taxes</v>
          </cell>
          <cell r="C32"/>
          <cell r="D32"/>
          <cell r="E32"/>
          <cell r="F32"/>
          <cell r="G32"/>
          <cell r="H32">
            <v>25</v>
          </cell>
          <cell r="I32">
            <v>5589</v>
          </cell>
          <cell r="J32"/>
          <cell r="K32">
            <v>80661</v>
          </cell>
          <cell r="L32"/>
          <cell r="M32">
            <v>7075</v>
          </cell>
          <cell r="N32"/>
          <cell r="O32">
            <v>83095</v>
          </cell>
          <cell r="P32"/>
          <cell r="Q32">
            <v>0</v>
          </cell>
          <cell r="R32"/>
          <cell r="S32">
            <v>0</v>
          </cell>
          <cell r="T32"/>
          <cell r="U32">
            <v>2346</v>
          </cell>
          <cell r="V32"/>
          <cell r="W32">
            <v>26864</v>
          </cell>
          <cell r="X32"/>
        </row>
        <row r="33">
          <cell r="B33" t="str">
            <v>Employee Benefits/Pension/401K/Workers' Comp</v>
          </cell>
          <cell r="C33"/>
          <cell r="D33"/>
          <cell r="E33"/>
          <cell r="F33"/>
          <cell r="G33"/>
          <cell r="H33">
            <v>26</v>
          </cell>
          <cell r="I33">
            <v>6856</v>
          </cell>
          <cell r="J33"/>
          <cell r="K33">
            <v>58284</v>
          </cell>
          <cell r="L33"/>
          <cell r="M33">
            <v>7785</v>
          </cell>
          <cell r="N33"/>
          <cell r="O33">
            <v>69048</v>
          </cell>
          <cell r="P33"/>
          <cell r="Q33">
            <v>0</v>
          </cell>
          <cell r="R33"/>
          <cell r="S33">
            <v>0</v>
          </cell>
          <cell r="T33"/>
          <cell r="U33">
            <v>2317</v>
          </cell>
          <cell r="V33"/>
          <cell r="W33">
            <v>21583</v>
          </cell>
          <cell r="X33"/>
        </row>
        <row r="34">
          <cell r="B34" t="str">
            <v>Absentee Wages - Productive</v>
          </cell>
          <cell r="C34"/>
          <cell r="D34"/>
          <cell r="E34"/>
          <cell r="F34"/>
          <cell r="G34"/>
          <cell r="H34">
            <v>29</v>
          </cell>
          <cell r="I34">
            <v>35</v>
          </cell>
          <cell r="J34"/>
          <cell r="K34">
            <v>10210</v>
          </cell>
          <cell r="L34"/>
          <cell r="M34">
            <v>-151</v>
          </cell>
          <cell r="N34"/>
          <cell r="O34">
            <v>12059</v>
          </cell>
          <cell r="P34"/>
          <cell r="Q34">
            <v>0</v>
          </cell>
          <cell r="R34"/>
          <cell r="S34">
            <v>0</v>
          </cell>
          <cell r="T34"/>
          <cell r="U34">
            <v>-253</v>
          </cell>
          <cell r="V34"/>
          <cell r="W34">
            <v>3817</v>
          </cell>
          <cell r="X34"/>
        </row>
        <row r="35">
          <cell r="B35" t="str">
            <v>TOTAL PERSONNEL  EXPENSE                 (LINES 24 TO 30)</v>
          </cell>
          <cell r="C35"/>
          <cell r="D35"/>
          <cell r="E35"/>
          <cell r="F35"/>
          <cell r="G35"/>
          <cell r="H35"/>
          <cell r="I35">
            <v>51412</v>
          </cell>
          <cell r="J35"/>
          <cell r="K35">
            <v>648984</v>
          </cell>
          <cell r="L35"/>
          <cell r="M35">
            <v>71161</v>
          </cell>
          <cell r="N35"/>
          <cell r="O35">
            <v>839154</v>
          </cell>
          <cell r="P35"/>
          <cell r="Q35">
            <v>0</v>
          </cell>
          <cell r="R35"/>
          <cell r="S35">
            <v>0</v>
          </cell>
          <cell r="T35"/>
          <cell r="U35">
            <v>37654</v>
          </cell>
          <cell r="V35"/>
          <cell r="W35">
            <v>394539</v>
          </cell>
          <cell r="X35"/>
        </row>
        <row r="36">
          <cell r="B36" t="str">
            <v>Company Vehicle Expense</v>
          </cell>
          <cell r="C36"/>
          <cell r="D36"/>
          <cell r="E36"/>
          <cell r="F36"/>
          <cell r="G36"/>
          <cell r="H36">
            <v>51</v>
          </cell>
          <cell r="I36">
            <v>7</v>
          </cell>
          <cell r="J36"/>
          <cell r="K36">
            <v>407</v>
          </cell>
          <cell r="L36"/>
          <cell r="M36">
            <v>1645</v>
          </cell>
          <cell r="N36"/>
          <cell r="O36">
            <v>29196</v>
          </cell>
          <cell r="P36"/>
          <cell r="Q36">
            <v>0</v>
          </cell>
          <cell r="R36"/>
          <cell r="S36">
            <v>0</v>
          </cell>
          <cell r="T36"/>
          <cell r="U36">
            <v>938</v>
          </cell>
          <cell r="V36"/>
          <cell r="W36">
            <v>10821</v>
          </cell>
          <cell r="X36"/>
        </row>
        <row r="37">
          <cell r="B37" t="str">
            <v>Office Supplies &amp; Stationery</v>
          </cell>
          <cell r="C37"/>
          <cell r="D37"/>
          <cell r="E37"/>
          <cell r="F37"/>
          <cell r="G37"/>
          <cell r="H37">
            <v>60</v>
          </cell>
          <cell r="I37">
            <v>1595</v>
          </cell>
          <cell r="J37"/>
          <cell r="K37">
            <v>6424</v>
          </cell>
          <cell r="L37"/>
          <cell r="M37">
            <v>694</v>
          </cell>
          <cell r="N37"/>
          <cell r="O37">
            <v>6097</v>
          </cell>
          <cell r="P37"/>
          <cell r="Q37">
            <v>0</v>
          </cell>
          <cell r="R37"/>
          <cell r="S37">
            <v>0</v>
          </cell>
          <cell r="T37"/>
          <cell r="U37">
            <v>125</v>
          </cell>
          <cell r="V37"/>
          <cell r="W37">
            <v>1905</v>
          </cell>
          <cell r="X37"/>
        </row>
        <row r="38">
          <cell r="B38" t="str">
            <v>Other Supplies &amp; Tools</v>
          </cell>
          <cell r="C38"/>
          <cell r="D38"/>
          <cell r="E38"/>
          <cell r="F38"/>
          <cell r="G38"/>
          <cell r="H38">
            <v>61</v>
          </cell>
          <cell r="I38">
            <v>2339</v>
          </cell>
          <cell r="J38"/>
          <cell r="K38">
            <v>28798</v>
          </cell>
          <cell r="L38"/>
          <cell r="M38">
            <v>8013</v>
          </cell>
          <cell r="N38"/>
          <cell r="O38">
            <v>58070</v>
          </cell>
          <cell r="P38"/>
          <cell r="Q38">
            <v>0</v>
          </cell>
          <cell r="R38"/>
          <cell r="S38">
            <v>0</v>
          </cell>
          <cell r="T38"/>
          <cell r="U38">
            <v>1025</v>
          </cell>
          <cell r="V38"/>
          <cell r="W38">
            <v>11270</v>
          </cell>
          <cell r="X38"/>
        </row>
        <row r="39">
          <cell r="B39" t="str">
            <v>Adv. - Serv, Body, P &amp; A</v>
          </cell>
          <cell r="C39"/>
          <cell r="D39"/>
          <cell r="E39"/>
          <cell r="F39"/>
          <cell r="G39"/>
          <cell r="H39">
            <v>62</v>
          </cell>
          <cell r="I39"/>
          <cell r="J39"/>
          <cell r="K39"/>
          <cell r="L39"/>
          <cell r="M39">
            <v>3300</v>
          </cell>
          <cell r="N39"/>
          <cell r="O39">
            <v>45112</v>
          </cell>
          <cell r="P39"/>
          <cell r="Q39">
            <v>0</v>
          </cell>
          <cell r="R39"/>
          <cell r="S39">
            <v>0</v>
          </cell>
          <cell r="T39"/>
          <cell r="U39">
            <v>877</v>
          </cell>
          <cell r="V39"/>
          <cell r="W39">
            <v>10065</v>
          </cell>
          <cell r="X39"/>
        </row>
        <row r="40">
          <cell r="B40" t="str">
            <v>Bad Debts</v>
          </cell>
          <cell r="C40"/>
          <cell r="D40"/>
          <cell r="E40"/>
          <cell r="F40"/>
          <cell r="G40"/>
          <cell r="H40">
            <v>63</v>
          </cell>
          <cell r="I40">
            <v>-128</v>
          </cell>
          <cell r="J40"/>
          <cell r="K40">
            <v>0</v>
          </cell>
          <cell r="L40"/>
          <cell r="M40">
            <v>-901</v>
          </cell>
          <cell r="N40"/>
          <cell r="O40">
            <v>0</v>
          </cell>
          <cell r="P40"/>
          <cell r="Q40">
            <v>0</v>
          </cell>
          <cell r="R40"/>
          <cell r="S40">
            <v>0</v>
          </cell>
          <cell r="T40"/>
          <cell r="U40">
            <v>-187</v>
          </cell>
          <cell r="V40"/>
          <cell r="W40">
            <v>0</v>
          </cell>
          <cell r="X40"/>
        </row>
        <row r="41">
          <cell r="B41" t="str">
            <v>Contributions</v>
          </cell>
          <cell r="C41"/>
          <cell r="D41"/>
          <cell r="E41"/>
          <cell r="F41"/>
          <cell r="G41"/>
          <cell r="H41">
            <v>66</v>
          </cell>
          <cell r="I41">
            <v>146</v>
          </cell>
          <cell r="J41"/>
          <cell r="K41">
            <v>5844</v>
          </cell>
          <cell r="L41"/>
          <cell r="M41">
            <v>175</v>
          </cell>
          <cell r="N41"/>
          <cell r="O41">
            <v>3965</v>
          </cell>
          <cell r="P41"/>
          <cell r="Q41">
            <v>0</v>
          </cell>
          <cell r="R41"/>
          <cell r="S41">
            <v>0</v>
          </cell>
          <cell r="T41"/>
          <cell r="U41">
            <v>59</v>
          </cell>
          <cell r="V41"/>
          <cell r="W41">
            <v>1479</v>
          </cell>
          <cell r="X41"/>
        </row>
        <row r="42">
          <cell r="B42" t="str">
            <v>Policy Expense - Serv, Body, P &amp; A</v>
          </cell>
          <cell r="C42"/>
          <cell r="D42"/>
          <cell r="E42"/>
          <cell r="F42"/>
          <cell r="G42"/>
          <cell r="H42">
            <v>67</v>
          </cell>
          <cell r="I42"/>
          <cell r="J42"/>
          <cell r="K42"/>
          <cell r="L42"/>
          <cell r="M42">
            <v>7621</v>
          </cell>
          <cell r="N42"/>
          <cell r="O42">
            <v>73556</v>
          </cell>
          <cell r="P42"/>
          <cell r="Q42">
            <v>0</v>
          </cell>
          <cell r="R42"/>
          <cell r="S42">
            <v>0</v>
          </cell>
          <cell r="T42"/>
          <cell r="U42">
            <v>1861</v>
          </cell>
          <cell r="V42"/>
          <cell r="W42">
            <v>8954</v>
          </cell>
          <cell r="X42"/>
        </row>
        <row r="43">
          <cell r="B43" t="str">
            <v>Outside Services</v>
          </cell>
          <cell r="C43"/>
          <cell r="D43"/>
          <cell r="E43"/>
          <cell r="F43"/>
          <cell r="G43"/>
          <cell r="H43">
            <v>68</v>
          </cell>
          <cell r="I43">
            <v>-14164</v>
          </cell>
          <cell r="J43"/>
          <cell r="K43">
            <v>73987</v>
          </cell>
          <cell r="L43"/>
          <cell r="M43">
            <v>1799</v>
          </cell>
          <cell r="N43"/>
          <cell r="O43">
            <v>58366</v>
          </cell>
          <cell r="P43"/>
          <cell r="Q43">
            <v>0</v>
          </cell>
          <cell r="R43"/>
          <cell r="S43">
            <v>0</v>
          </cell>
          <cell r="T43"/>
          <cell r="U43">
            <v>374</v>
          </cell>
          <cell r="V43"/>
          <cell r="W43">
            <v>23220</v>
          </cell>
          <cell r="X43"/>
        </row>
        <row r="44">
          <cell r="B44" t="str">
            <v>Laundry &amp; Uniforms</v>
          </cell>
          <cell r="C44"/>
          <cell r="D44"/>
          <cell r="E44"/>
          <cell r="F44"/>
          <cell r="G44"/>
          <cell r="H44">
            <v>69</v>
          </cell>
          <cell r="I44">
            <v>0</v>
          </cell>
          <cell r="J44"/>
          <cell r="K44">
            <v>0</v>
          </cell>
          <cell r="L44"/>
          <cell r="M44">
            <v>633</v>
          </cell>
          <cell r="N44"/>
          <cell r="O44">
            <v>5202</v>
          </cell>
          <cell r="P44"/>
          <cell r="Q44">
            <v>0</v>
          </cell>
          <cell r="R44"/>
          <cell r="S44">
            <v>0</v>
          </cell>
          <cell r="T44"/>
          <cell r="U44">
            <v>40</v>
          </cell>
          <cell r="V44"/>
          <cell r="W44">
            <v>365</v>
          </cell>
          <cell r="X44"/>
        </row>
        <row r="45">
          <cell r="B45" t="str">
            <v>Travel &amp; Entertainment</v>
          </cell>
          <cell r="C45"/>
          <cell r="D45"/>
          <cell r="E45"/>
          <cell r="F45"/>
          <cell r="G45"/>
          <cell r="H45">
            <v>70</v>
          </cell>
          <cell r="I45">
            <v>0</v>
          </cell>
          <cell r="J45"/>
          <cell r="K45">
            <v>53</v>
          </cell>
          <cell r="L45"/>
          <cell r="M45">
            <v>60</v>
          </cell>
          <cell r="N45"/>
          <cell r="O45">
            <v>124</v>
          </cell>
          <cell r="P45"/>
          <cell r="Q45">
            <v>0</v>
          </cell>
          <cell r="R45"/>
          <cell r="S45">
            <v>0</v>
          </cell>
          <cell r="T45"/>
          <cell r="U45">
            <v>0</v>
          </cell>
          <cell r="V45"/>
          <cell r="W45">
            <v>21</v>
          </cell>
          <cell r="X45"/>
        </row>
        <row r="46">
          <cell r="B46" t="str">
            <v>Memberships,  Dues, Pblcns.</v>
          </cell>
          <cell r="C46"/>
          <cell r="D46"/>
          <cell r="E46"/>
          <cell r="F46"/>
          <cell r="G46"/>
          <cell r="H46">
            <v>71</v>
          </cell>
          <cell r="I46">
            <v>0</v>
          </cell>
          <cell r="J46"/>
          <cell r="K46">
            <v>954</v>
          </cell>
          <cell r="L46"/>
          <cell r="M46">
            <v>363</v>
          </cell>
          <cell r="N46"/>
          <cell r="O46">
            <v>3213</v>
          </cell>
          <cell r="P46"/>
          <cell r="Q46">
            <v>0</v>
          </cell>
          <cell r="R46"/>
          <cell r="S46">
            <v>0</v>
          </cell>
          <cell r="T46"/>
          <cell r="U46">
            <v>283</v>
          </cell>
          <cell r="V46"/>
          <cell r="W46">
            <v>2475</v>
          </cell>
          <cell r="X46"/>
        </row>
        <row r="47">
          <cell r="B47" t="str">
            <v>Legal &amp; Auditing</v>
          </cell>
          <cell r="C47"/>
          <cell r="D47"/>
          <cell r="E47"/>
          <cell r="F47"/>
          <cell r="G47"/>
          <cell r="H47">
            <v>72</v>
          </cell>
          <cell r="I47">
            <v>-616</v>
          </cell>
          <cell r="J47"/>
          <cell r="K47">
            <v>12429</v>
          </cell>
          <cell r="L47"/>
          <cell r="M47">
            <v>-1691</v>
          </cell>
          <cell r="N47"/>
          <cell r="O47">
            <v>13963</v>
          </cell>
          <cell r="P47"/>
          <cell r="Q47">
            <v>0</v>
          </cell>
          <cell r="R47"/>
          <cell r="S47">
            <v>0</v>
          </cell>
          <cell r="T47"/>
          <cell r="U47">
            <v>-881</v>
          </cell>
          <cell r="V47"/>
          <cell r="W47">
            <v>4337</v>
          </cell>
          <cell r="X47"/>
        </row>
        <row r="48">
          <cell r="B48" t="str">
            <v>Telephone</v>
          </cell>
          <cell r="C48"/>
          <cell r="D48"/>
          <cell r="E48"/>
          <cell r="F48"/>
          <cell r="G48"/>
          <cell r="H48">
            <v>74</v>
          </cell>
          <cell r="I48">
            <v>195</v>
          </cell>
          <cell r="J48"/>
          <cell r="K48">
            <v>2568</v>
          </cell>
          <cell r="L48"/>
          <cell r="M48">
            <v>239</v>
          </cell>
          <cell r="N48"/>
          <cell r="O48">
            <v>3475</v>
          </cell>
          <cell r="P48"/>
          <cell r="Q48">
            <v>0</v>
          </cell>
          <cell r="R48"/>
          <cell r="S48">
            <v>0</v>
          </cell>
          <cell r="T48"/>
          <cell r="U48">
            <v>81</v>
          </cell>
          <cell r="V48"/>
          <cell r="W48">
            <v>980</v>
          </cell>
          <cell r="X48"/>
        </row>
        <row r="49">
          <cell r="B49" t="str">
            <v>Postage/Express Mail/Freight</v>
          </cell>
          <cell r="C49"/>
          <cell r="D49"/>
          <cell r="E49"/>
          <cell r="F49"/>
          <cell r="G49"/>
          <cell r="H49">
            <v>75</v>
          </cell>
          <cell r="I49">
            <v>1794</v>
          </cell>
          <cell r="J49"/>
          <cell r="K49">
            <v>22891</v>
          </cell>
          <cell r="L49"/>
          <cell r="M49">
            <v>727</v>
          </cell>
          <cell r="N49"/>
          <cell r="O49">
            <v>4373</v>
          </cell>
          <cell r="P49"/>
          <cell r="Q49">
            <v>0</v>
          </cell>
          <cell r="R49"/>
          <cell r="S49">
            <v>0</v>
          </cell>
          <cell r="T49"/>
          <cell r="U49">
            <v>662</v>
          </cell>
          <cell r="V49"/>
          <cell r="W49">
            <v>4144</v>
          </cell>
          <cell r="X49"/>
        </row>
        <row r="50">
          <cell r="B50" t="str">
            <v>Training</v>
          </cell>
          <cell r="C50"/>
          <cell r="D50"/>
          <cell r="E50"/>
          <cell r="F50"/>
          <cell r="G50"/>
          <cell r="H50">
            <v>76</v>
          </cell>
          <cell r="I50">
            <v>381</v>
          </cell>
          <cell r="J50"/>
          <cell r="K50">
            <v>19625</v>
          </cell>
          <cell r="L50"/>
          <cell r="M50">
            <v>3251</v>
          </cell>
          <cell r="N50"/>
          <cell r="O50">
            <v>23780</v>
          </cell>
          <cell r="P50"/>
          <cell r="Q50">
            <v>0</v>
          </cell>
          <cell r="R50"/>
          <cell r="S50">
            <v>0</v>
          </cell>
          <cell r="T50"/>
          <cell r="U50">
            <v>330</v>
          </cell>
          <cell r="V50"/>
          <cell r="W50">
            <v>3892</v>
          </cell>
          <cell r="X50"/>
        </row>
        <row r="51">
          <cell r="B51" t="str">
            <v>Data Processing Services</v>
          </cell>
          <cell r="C51"/>
          <cell r="D51"/>
          <cell r="E51"/>
          <cell r="F51"/>
          <cell r="G51"/>
          <cell r="H51">
            <v>78</v>
          </cell>
          <cell r="I51">
            <v>5314</v>
          </cell>
          <cell r="J51"/>
          <cell r="K51">
            <v>44326</v>
          </cell>
          <cell r="L51"/>
          <cell r="M51">
            <v>11411</v>
          </cell>
          <cell r="N51"/>
          <cell r="O51">
            <v>82816</v>
          </cell>
          <cell r="P51"/>
          <cell r="Q51">
            <v>0</v>
          </cell>
          <cell r="R51"/>
          <cell r="S51">
            <v>0</v>
          </cell>
          <cell r="T51"/>
          <cell r="U51">
            <v>2054</v>
          </cell>
          <cell r="V51"/>
          <cell r="W51">
            <v>16591</v>
          </cell>
          <cell r="X51"/>
        </row>
        <row r="52">
          <cell r="B52" t="str">
            <v>Miscellaneous</v>
          </cell>
          <cell r="C52"/>
          <cell r="D52"/>
          <cell r="E52"/>
          <cell r="F52"/>
          <cell r="G52"/>
          <cell r="H52">
            <v>79</v>
          </cell>
          <cell r="I52">
            <v>432</v>
          </cell>
          <cell r="J52"/>
          <cell r="K52">
            <v>863</v>
          </cell>
          <cell r="L52"/>
          <cell r="M52">
            <v>517</v>
          </cell>
          <cell r="N52"/>
          <cell r="O52">
            <v>1035</v>
          </cell>
          <cell r="P52"/>
          <cell r="Q52">
            <v>0</v>
          </cell>
          <cell r="R52"/>
          <cell r="S52">
            <v>0</v>
          </cell>
          <cell r="T52"/>
          <cell r="U52">
            <v>172</v>
          </cell>
          <cell r="V52"/>
          <cell r="W52">
            <v>345</v>
          </cell>
          <cell r="X52"/>
        </row>
        <row r="53">
          <cell r="B53" t="str">
            <v>TOTAL SEMI-FIXED  EXPENSE                  (LINES 32 TO 48)</v>
          </cell>
          <cell r="C53"/>
          <cell r="D53"/>
          <cell r="E53"/>
          <cell r="F53"/>
          <cell r="G53"/>
          <cell r="H53"/>
          <cell r="I53">
            <v>-2705</v>
          </cell>
          <cell r="J53"/>
          <cell r="K53">
            <v>219169</v>
          </cell>
          <cell r="L53"/>
          <cell r="M53">
            <v>37856</v>
          </cell>
          <cell r="N53"/>
          <cell r="O53">
            <v>412343</v>
          </cell>
          <cell r="P53"/>
          <cell r="Q53">
            <v>0</v>
          </cell>
          <cell r="R53"/>
          <cell r="S53">
            <v>0</v>
          </cell>
          <cell r="T53"/>
          <cell r="U53">
            <v>7813</v>
          </cell>
          <cell r="V53"/>
          <cell r="W53">
            <v>100864</v>
          </cell>
          <cell r="X53"/>
        </row>
        <row r="54">
          <cell r="B54" t="str">
            <v>Rent</v>
          </cell>
          <cell r="C54"/>
          <cell r="D54"/>
          <cell r="E54"/>
          <cell r="F54"/>
          <cell r="G54"/>
          <cell r="H54">
            <v>80</v>
          </cell>
          <cell r="I54">
            <v>12561</v>
          </cell>
          <cell r="J54"/>
          <cell r="K54">
            <v>147577</v>
          </cell>
          <cell r="L54"/>
          <cell r="M54">
            <v>15224</v>
          </cell>
          <cell r="N54"/>
          <cell r="O54">
            <v>177244</v>
          </cell>
          <cell r="P54"/>
          <cell r="Q54">
            <v>0</v>
          </cell>
          <cell r="R54"/>
          <cell r="S54">
            <v>0</v>
          </cell>
          <cell r="T54"/>
          <cell r="U54">
            <v>5126</v>
          </cell>
          <cell r="V54"/>
          <cell r="W54">
            <v>59132</v>
          </cell>
          <cell r="X54"/>
        </row>
        <row r="55">
          <cell r="B55" t="str">
            <v>Amortization  - Leaseholds</v>
          </cell>
          <cell r="C55"/>
          <cell r="D55"/>
          <cell r="E55"/>
          <cell r="F55"/>
          <cell r="G55"/>
          <cell r="H55">
            <v>81</v>
          </cell>
          <cell r="I55">
            <v>0</v>
          </cell>
          <cell r="J55"/>
          <cell r="K55">
            <v>0</v>
          </cell>
          <cell r="L55"/>
          <cell r="M55">
            <v>0</v>
          </cell>
          <cell r="N55"/>
          <cell r="O55">
            <v>0</v>
          </cell>
          <cell r="P55"/>
          <cell r="Q55">
            <v>0</v>
          </cell>
          <cell r="R55"/>
          <cell r="S55">
            <v>0</v>
          </cell>
          <cell r="T55"/>
          <cell r="U55">
            <v>0</v>
          </cell>
          <cell r="V55"/>
          <cell r="W55">
            <v>0</v>
          </cell>
          <cell r="X55"/>
        </row>
        <row r="56">
          <cell r="B56" t="str">
            <v>Repairs &amp; Maint - Real Estate</v>
          </cell>
          <cell r="C56"/>
          <cell r="D56"/>
          <cell r="E56"/>
          <cell r="F56"/>
          <cell r="G56"/>
          <cell r="H56">
            <v>82</v>
          </cell>
          <cell r="I56">
            <v>0</v>
          </cell>
          <cell r="J56"/>
          <cell r="K56">
            <v>216</v>
          </cell>
          <cell r="L56"/>
          <cell r="M56">
            <v>0</v>
          </cell>
          <cell r="N56"/>
          <cell r="O56">
            <v>431</v>
          </cell>
          <cell r="P56"/>
          <cell r="Q56">
            <v>0</v>
          </cell>
          <cell r="R56"/>
          <cell r="S56">
            <v>0</v>
          </cell>
          <cell r="T56"/>
          <cell r="U56">
            <v>0</v>
          </cell>
          <cell r="V56"/>
          <cell r="W56">
            <v>258</v>
          </cell>
          <cell r="X56"/>
        </row>
        <row r="57">
          <cell r="B57" t="str">
            <v>Depreciation  - Bldg &amp; Imps</v>
          </cell>
          <cell r="C57"/>
          <cell r="D57"/>
          <cell r="E57"/>
          <cell r="F57"/>
          <cell r="G57"/>
          <cell r="H57">
            <v>83</v>
          </cell>
          <cell r="I57">
            <v>0</v>
          </cell>
          <cell r="J57"/>
          <cell r="K57">
            <v>0</v>
          </cell>
          <cell r="L57"/>
          <cell r="M57">
            <v>0</v>
          </cell>
          <cell r="N57"/>
          <cell r="O57">
            <v>0</v>
          </cell>
          <cell r="P57"/>
          <cell r="Q57">
            <v>0</v>
          </cell>
          <cell r="R57"/>
          <cell r="S57">
            <v>0</v>
          </cell>
          <cell r="T57"/>
          <cell r="U57">
            <v>0</v>
          </cell>
          <cell r="V57"/>
          <cell r="W57">
            <v>0</v>
          </cell>
          <cell r="X57"/>
        </row>
        <row r="58">
          <cell r="B58" t="str">
            <v>Taxes - Real Estate</v>
          </cell>
          <cell r="C58"/>
          <cell r="D58"/>
          <cell r="E58"/>
          <cell r="F58"/>
          <cell r="G58"/>
          <cell r="H58">
            <v>84</v>
          </cell>
          <cell r="I58">
            <v>384</v>
          </cell>
          <cell r="J58"/>
          <cell r="K58">
            <v>6695</v>
          </cell>
          <cell r="L58"/>
          <cell r="M58">
            <v>461</v>
          </cell>
          <cell r="N58"/>
          <cell r="O58">
            <v>8034</v>
          </cell>
          <cell r="P58"/>
          <cell r="Q58">
            <v>0</v>
          </cell>
          <cell r="R58"/>
          <cell r="S58">
            <v>0</v>
          </cell>
          <cell r="T58"/>
          <cell r="U58">
            <v>154</v>
          </cell>
          <cell r="V58"/>
          <cell r="W58">
            <v>2678</v>
          </cell>
          <cell r="X58"/>
        </row>
        <row r="59">
          <cell r="B59" t="str">
            <v>Insurance - Bldgs &amp; Imps</v>
          </cell>
          <cell r="C59"/>
          <cell r="D59"/>
          <cell r="E59"/>
          <cell r="F59"/>
          <cell r="G59"/>
          <cell r="H59">
            <v>85</v>
          </cell>
          <cell r="I59">
            <v>0</v>
          </cell>
          <cell r="J59"/>
          <cell r="K59">
            <v>0</v>
          </cell>
          <cell r="L59"/>
          <cell r="M59">
            <v>0</v>
          </cell>
          <cell r="N59"/>
          <cell r="O59">
            <v>0</v>
          </cell>
          <cell r="P59"/>
          <cell r="Q59">
            <v>0</v>
          </cell>
          <cell r="R59"/>
          <cell r="S59">
            <v>0</v>
          </cell>
          <cell r="T59"/>
          <cell r="U59">
            <v>0</v>
          </cell>
          <cell r="V59"/>
          <cell r="W59">
            <v>0</v>
          </cell>
          <cell r="X59"/>
        </row>
        <row r="60">
          <cell r="B60" t="str">
            <v>Mortgage Interest</v>
          </cell>
          <cell r="C60"/>
          <cell r="D60"/>
          <cell r="E60"/>
          <cell r="F60"/>
          <cell r="G60"/>
          <cell r="H60">
            <v>86</v>
          </cell>
          <cell r="I60">
            <v>0</v>
          </cell>
          <cell r="J60"/>
          <cell r="K60">
            <v>0</v>
          </cell>
          <cell r="L60"/>
          <cell r="M60">
            <v>0</v>
          </cell>
          <cell r="N60"/>
          <cell r="O60">
            <v>0</v>
          </cell>
          <cell r="P60"/>
          <cell r="Q60">
            <v>0</v>
          </cell>
          <cell r="R60"/>
          <cell r="S60">
            <v>0</v>
          </cell>
          <cell r="T60"/>
          <cell r="U60">
            <v>0</v>
          </cell>
          <cell r="V60"/>
          <cell r="W60">
            <v>0</v>
          </cell>
          <cell r="X60"/>
        </row>
        <row r="61">
          <cell r="B61" t="str">
            <v>Utilities</v>
          </cell>
          <cell r="C61"/>
          <cell r="D61"/>
          <cell r="E61"/>
          <cell r="F61"/>
          <cell r="G61"/>
          <cell r="H61">
            <v>87</v>
          </cell>
          <cell r="I61">
            <v>1940</v>
          </cell>
          <cell r="J61"/>
          <cell r="K61">
            <v>16274</v>
          </cell>
          <cell r="L61"/>
          <cell r="M61">
            <v>2328</v>
          </cell>
          <cell r="N61"/>
          <cell r="O61">
            <v>19529</v>
          </cell>
          <cell r="P61"/>
          <cell r="Q61">
            <v>0</v>
          </cell>
          <cell r="R61"/>
          <cell r="S61">
            <v>0</v>
          </cell>
          <cell r="T61"/>
          <cell r="U61">
            <v>776</v>
          </cell>
          <cell r="V61"/>
          <cell r="W61">
            <v>6510</v>
          </cell>
          <cell r="X61"/>
        </row>
        <row r="62">
          <cell r="B62" t="str">
            <v>RENT &amp; RENT EQUIVALENT                      (LINES 50 TO 57)</v>
          </cell>
          <cell r="C62"/>
          <cell r="D62"/>
          <cell r="E62"/>
          <cell r="F62"/>
          <cell r="G62"/>
          <cell r="H62"/>
          <cell r="I62">
            <v>14885</v>
          </cell>
          <cell r="J62"/>
          <cell r="K62">
            <v>170762</v>
          </cell>
          <cell r="L62"/>
          <cell r="M62">
            <v>18013</v>
          </cell>
          <cell r="N62"/>
          <cell r="O62">
            <v>205238</v>
          </cell>
          <cell r="P62"/>
          <cell r="Q62">
            <v>0</v>
          </cell>
          <cell r="R62"/>
          <cell r="S62">
            <v>0</v>
          </cell>
          <cell r="T62"/>
          <cell r="U62">
            <v>6056</v>
          </cell>
          <cell r="V62"/>
          <cell r="W62">
            <v>68578</v>
          </cell>
          <cell r="X62"/>
        </row>
        <row r="63">
          <cell r="B63" t="str">
            <v>Insurance - Other</v>
          </cell>
          <cell r="C63"/>
          <cell r="D63"/>
          <cell r="E63"/>
          <cell r="F63"/>
          <cell r="G63"/>
          <cell r="H63">
            <v>88</v>
          </cell>
          <cell r="I63">
            <v>2756</v>
          </cell>
          <cell r="J63"/>
          <cell r="K63">
            <v>29991</v>
          </cell>
          <cell r="L63"/>
          <cell r="M63">
            <v>1444</v>
          </cell>
          <cell r="N63"/>
          <cell r="O63">
            <v>17253</v>
          </cell>
          <cell r="P63"/>
          <cell r="Q63">
            <v>0</v>
          </cell>
          <cell r="R63"/>
          <cell r="S63">
            <v>0</v>
          </cell>
          <cell r="T63"/>
          <cell r="U63">
            <v>481</v>
          </cell>
          <cell r="V63"/>
          <cell r="W63">
            <v>5751</v>
          </cell>
          <cell r="X63"/>
        </row>
        <row r="64">
          <cell r="B64" t="str">
            <v>Taxes - Other</v>
          </cell>
          <cell r="C64"/>
          <cell r="D64"/>
          <cell r="E64"/>
          <cell r="F64"/>
          <cell r="G64"/>
          <cell r="H64">
            <v>89</v>
          </cell>
          <cell r="I64">
            <v>1468</v>
          </cell>
          <cell r="J64"/>
          <cell r="K64">
            <v>16834</v>
          </cell>
          <cell r="L64"/>
          <cell r="M64">
            <v>1761</v>
          </cell>
          <cell r="N64"/>
          <cell r="O64">
            <v>20107</v>
          </cell>
          <cell r="P64"/>
          <cell r="Q64">
            <v>0</v>
          </cell>
          <cell r="R64"/>
          <cell r="S64">
            <v>0</v>
          </cell>
          <cell r="T64"/>
          <cell r="U64">
            <v>587</v>
          </cell>
          <cell r="V64"/>
          <cell r="W64">
            <v>6702</v>
          </cell>
          <cell r="X64"/>
        </row>
        <row r="65">
          <cell r="B65" t="str">
            <v>Other Interest</v>
          </cell>
          <cell r="C65"/>
          <cell r="D65"/>
          <cell r="E65"/>
          <cell r="F65"/>
          <cell r="G65"/>
          <cell r="H65">
            <v>90</v>
          </cell>
          <cell r="I65">
            <v>1564</v>
          </cell>
          <cell r="J65"/>
          <cell r="K65">
            <v>22618</v>
          </cell>
          <cell r="L65"/>
          <cell r="M65">
            <v>1878</v>
          </cell>
          <cell r="N65"/>
          <cell r="O65">
            <v>27142</v>
          </cell>
          <cell r="P65"/>
          <cell r="Q65">
            <v>0</v>
          </cell>
          <cell r="R65"/>
          <cell r="S65">
            <v>0</v>
          </cell>
          <cell r="T65"/>
          <cell r="U65">
            <v>626</v>
          </cell>
          <cell r="V65"/>
          <cell r="W65">
            <v>9047</v>
          </cell>
          <cell r="X65"/>
        </row>
        <row r="66">
          <cell r="B66" t="str">
            <v>Depreciation  - Other</v>
          </cell>
          <cell r="C66"/>
          <cell r="D66"/>
          <cell r="E66"/>
          <cell r="F66"/>
          <cell r="G66"/>
          <cell r="H66">
            <v>91</v>
          </cell>
          <cell r="I66">
            <v>927</v>
          </cell>
          <cell r="J66"/>
          <cell r="K66">
            <v>10936</v>
          </cell>
          <cell r="L66"/>
          <cell r="M66">
            <v>3426</v>
          </cell>
          <cell r="N66"/>
          <cell r="O66">
            <v>40767</v>
          </cell>
          <cell r="P66"/>
          <cell r="Q66">
            <v>0</v>
          </cell>
          <cell r="R66"/>
          <cell r="S66">
            <v>0</v>
          </cell>
          <cell r="T66"/>
          <cell r="U66">
            <v>1173</v>
          </cell>
          <cell r="V66"/>
          <cell r="W66">
            <v>13302</v>
          </cell>
          <cell r="X66"/>
        </row>
        <row r="67">
          <cell r="B67" t="str">
            <v>Equipment Repairs &amp; Rentals</v>
          </cell>
          <cell r="C67"/>
          <cell r="D67"/>
          <cell r="E67"/>
          <cell r="F67"/>
          <cell r="G67"/>
          <cell r="H67">
            <v>92</v>
          </cell>
          <cell r="I67">
            <v>0</v>
          </cell>
          <cell r="J67"/>
          <cell r="K67">
            <v>0</v>
          </cell>
          <cell r="L67"/>
          <cell r="M67">
            <v>238</v>
          </cell>
          <cell r="N67"/>
          <cell r="O67">
            <v>802</v>
          </cell>
          <cell r="P67"/>
          <cell r="Q67">
            <v>0</v>
          </cell>
          <cell r="R67"/>
          <cell r="S67">
            <v>0</v>
          </cell>
          <cell r="T67"/>
          <cell r="U67">
            <v>238</v>
          </cell>
          <cell r="V67"/>
          <cell r="W67">
            <v>477</v>
          </cell>
          <cell r="X67"/>
        </row>
        <row r="68">
          <cell r="B68" t="str">
            <v>TOTAL FIXED EXPENSE                           (LINES 58 TO 63)</v>
          </cell>
          <cell r="C68"/>
          <cell r="D68"/>
          <cell r="E68"/>
          <cell r="F68"/>
          <cell r="G68"/>
          <cell r="H68"/>
          <cell r="I68">
            <v>21600</v>
          </cell>
          <cell r="J68"/>
          <cell r="K68">
            <v>251141</v>
          </cell>
          <cell r="L68"/>
          <cell r="M68">
            <v>26760</v>
          </cell>
          <cell r="N68"/>
          <cell r="O68">
            <v>311309</v>
          </cell>
          <cell r="P68"/>
          <cell r="Q68">
            <v>0</v>
          </cell>
          <cell r="R68"/>
          <cell r="S68">
            <v>0</v>
          </cell>
          <cell r="T68"/>
          <cell r="U68">
            <v>9161</v>
          </cell>
          <cell r="V68"/>
          <cell r="W68">
            <v>103857</v>
          </cell>
          <cell r="X68"/>
        </row>
        <row r="69">
          <cell r="B69" t="str">
            <v>TOTAL FIXED OVERHEAD                   (LINES 31, 49 &amp; 64)</v>
          </cell>
          <cell r="C69"/>
          <cell r="D69"/>
          <cell r="E69"/>
          <cell r="F69"/>
          <cell r="G69"/>
          <cell r="H69"/>
          <cell r="I69">
            <v>70307</v>
          </cell>
          <cell r="J69"/>
          <cell r="K69">
            <v>1119294</v>
          </cell>
          <cell r="L69"/>
          <cell r="M69">
            <v>135777</v>
          </cell>
          <cell r="N69"/>
          <cell r="O69">
            <v>1562806</v>
          </cell>
          <cell r="P69"/>
          <cell r="Q69">
            <v>0</v>
          </cell>
          <cell r="R69"/>
          <cell r="S69">
            <v>0</v>
          </cell>
          <cell r="T69"/>
          <cell r="U69">
            <v>54628</v>
          </cell>
          <cell r="V69"/>
          <cell r="W69">
            <v>599260</v>
          </cell>
          <cell r="X69"/>
        </row>
        <row r="70">
          <cell r="B70" t="str">
            <v>TOTAL EXPENSES                                      (LINES 23 &amp; 65)</v>
          </cell>
          <cell r="C70"/>
          <cell r="D70"/>
          <cell r="E70"/>
          <cell r="F70"/>
          <cell r="G70"/>
          <cell r="H70"/>
          <cell r="I70">
            <v>136874</v>
          </cell>
          <cell r="J70"/>
          <cell r="K70">
            <v>1887814</v>
          </cell>
          <cell r="L70"/>
          <cell r="M70">
            <v>135777</v>
          </cell>
          <cell r="N70"/>
          <cell r="O70">
            <v>1562806</v>
          </cell>
          <cell r="P70"/>
          <cell r="Q70">
            <v>0</v>
          </cell>
          <cell r="R70"/>
          <cell r="S70">
            <v>0</v>
          </cell>
          <cell r="T70"/>
          <cell r="U70">
            <v>54628</v>
          </cell>
          <cell r="V70"/>
          <cell r="W70">
            <v>599260</v>
          </cell>
          <cell r="X70"/>
        </row>
        <row r="71">
          <cell r="B71" t="str">
            <v>OPERATING  PROFIT (LOSS)               (LINE 13 MINUS 66)</v>
          </cell>
          <cell r="C71"/>
          <cell r="D71"/>
          <cell r="E71"/>
          <cell r="F71"/>
          <cell r="G71"/>
          <cell r="H71"/>
          <cell r="I71">
            <v>27213</v>
          </cell>
          <cell r="J71"/>
          <cell r="K71">
            <v>-19287</v>
          </cell>
          <cell r="L71"/>
          <cell r="M71">
            <v>-5483</v>
          </cell>
          <cell r="N71"/>
          <cell r="O71">
            <v>244645</v>
          </cell>
          <cell r="P71"/>
          <cell r="Q71">
            <v>0</v>
          </cell>
          <cell r="R71"/>
          <cell r="S71">
            <v>0</v>
          </cell>
          <cell r="T71"/>
          <cell r="U71">
            <v>61191</v>
          </cell>
          <cell r="V71"/>
          <cell r="W71">
            <v>566785</v>
          </cell>
          <cell r="X71"/>
        </row>
        <row r="72">
          <cell r="B72" t="str">
            <v>F &amp; I</v>
          </cell>
          <cell r="C72" t="str">
            <v>CURRENT MONTH</v>
          </cell>
          <cell r="D72" t="str">
            <v>LEASES</v>
          </cell>
          <cell r="E72"/>
          <cell r="F72" t="str">
            <v>FIN</v>
          </cell>
          <cell r="G72" t="str">
            <v>CTR</v>
          </cell>
          <cell r="H72" t="str">
            <v>GAP</v>
          </cell>
          <cell r="I72" t="str">
            <v>Ins</v>
          </cell>
          <cell r="J72" t="str">
            <v>HONDA Care</v>
          </cell>
          <cell r="K72" t="str">
            <v>CTR</v>
          </cell>
          <cell r="L72" t="str">
            <v>Other
SVC</v>
          </cell>
          <cell r="M72" t="str">
            <v>CTR</v>
          </cell>
          <cell r="N72" t="str">
            <v>YTD</v>
          </cell>
          <cell r="O72" t="str">
            <v>LEASES</v>
          </cell>
          <cell r="P72"/>
          <cell r="Q72" t="str">
            <v>FIN</v>
          </cell>
          <cell r="R72" t="str">
            <v>CTR</v>
          </cell>
          <cell r="S72" t="str">
            <v>GAP</v>
          </cell>
          <cell r="T72" t="str">
            <v>Ins.</v>
          </cell>
          <cell r="U72" t="str">
            <v>HONDA
Care</v>
          </cell>
          <cell r="V72" t="str">
            <v>CTR</v>
          </cell>
          <cell r="W72" t="str">
            <v>Other
SVC</v>
          </cell>
          <cell r="X72" t="str">
            <v>CTR</v>
          </cell>
        </row>
        <row r="73">
          <cell r="B73"/>
          <cell r="C73" t="str">
            <v>CURRENT
MONTH</v>
          </cell>
          <cell r="D73" t="str">
            <v>#</v>
          </cell>
          <cell r="E73" t="str">
            <v>%</v>
          </cell>
          <cell r="F73" t="str">
            <v>#</v>
          </cell>
          <cell r="G73" t="str">
            <v>%</v>
          </cell>
          <cell r="H73" t="str">
            <v>#</v>
          </cell>
          <cell r="I73" t="str">
            <v>%</v>
          </cell>
          <cell r="J73" t="str">
            <v>#</v>
          </cell>
          <cell r="K73" t="str">
            <v>%</v>
          </cell>
          <cell r="L73" t="str">
            <v>#</v>
          </cell>
          <cell r="M73" t="str">
            <v>%</v>
          </cell>
          <cell r="N73"/>
          <cell r="O73" t="str">
            <v>#</v>
          </cell>
          <cell r="P73" t="str">
            <v>%</v>
          </cell>
          <cell r="Q73" t="str">
            <v>#</v>
          </cell>
          <cell r="R73" t="str">
            <v>%</v>
          </cell>
          <cell r="S73" t="str">
            <v>#</v>
          </cell>
          <cell r="T73" t="str">
            <v>%</v>
          </cell>
          <cell r="U73" t="str">
            <v>#</v>
          </cell>
          <cell r="V73" t="str">
            <v>%</v>
          </cell>
          <cell r="W73" t="str">
            <v>#</v>
          </cell>
          <cell r="X73" t="str">
            <v>%</v>
          </cell>
        </row>
        <row r="74">
          <cell r="B74"/>
          <cell r="C74" t="str">
            <v>NEW</v>
          </cell>
          <cell r="D74">
            <v>2</v>
          </cell>
          <cell r="E74">
            <v>2.2222222222222223E-2</v>
          </cell>
          <cell r="F74">
            <v>78</v>
          </cell>
          <cell r="G74">
            <v>0.8666666666666667</v>
          </cell>
          <cell r="H74">
            <v>23</v>
          </cell>
          <cell r="I74">
            <v>0.25555555555555554</v>
          </cell>
          <cell r="J74">
            <v>0</v>
          </cell>
          <cell r="K74">
            <v>0</v>
          </cell>
          <cell r="L74">
            <v>44</v>
          </cell>
          <cell r="M74">
            <v>0.48888888888888887</v>
          </cell>
          <cell r="N74" t="str">
            <v>NEW</v>
          </cell>
          <cell r="O74">
            <v>26</v>
          </cell>
          <cell r="P74">
            <v>2.3657870791628753E-2</v>
          </cell>
          <cell r="Q74">
            <v>912</v>
          </cell>
          <cell r="R74">
            <v>0.8298453139217471</v>
          </cell>
          <cell r="S74">
            <v>301</v>
          </cell>
          <cell r="T74">
            <v>0.27388535031847133</v>
          </cell>
          <cell r="U74">
            <v>0</v>
          </cell>
          <cell r="V74" t="str">
            <v>-</v>
          </cell>
          <cell r="W74">
            <v>573</v>
          </cell>
          <cell r="X74">
            <v>0.52138307552320295</v>
          </cell>
        </row>
        <row r="75">
          <cell r="B75"/>
          <cell r="C75" t="str">
            <v>USED</v>
          </cell>
          <cell r="D75">
            <v>0</v>
          </cell>
          <cell r="E75" t="str">
            <v>-</v>
          </cell>
          <cell r="F75">
            <v>63</v>
          </cell>
          <cell r="G75">
            <v>0.79746835443037978</v>
          </cell>
          <cell r="H75">
            <v>27</v>
          </cell>
          <cell r="I75">
            <v>0.34177215189873417</v>
          </cell>
          <cell r="J75">
            <v>0</v>
          </cell>
          <cell r="K75">
            <v>0</v>
          </cell>
          <cell r="L75">
            <v>31</v>
          </cell>
          <cell r="M75">
            <v>0.39240506329113922</v>
          </cell>
          <cell r="N75" t="str">
            <v>USED</v>
          </cell>
          <cell r="O75">
            <v>0</v>
          </cell>
          <cell r="P75" t="str">
            <v>-</v>
          </cell>
          <cell r="Q75">
            <v>685</v>
          </cell>
          <cell r="R75">
            <v>0.78196347031963476</v>
          </cell>
          <cell r="S75">
            <v>270</v>
          </cell>
          <cell r="T75">
            <v>0.30821917808219179</v>
          </cell>
          <cell r="U75">
            <v>0</v>
          </cell>
          <cell r="V75" t="str">
            <v>-</v>
          </cell>
          <cell r="W75">
            <v>347</v>
          </cell>
          <cell r="X75">
            <v>0.39611872146118721</v>
          </cell>
        </row>
        <row r="76">
          <cell r="B76" t="str">
            <v>ADDITIONS TO INCOME</v>
          </cell>
          <cell r="C76"/>
          <cell r="D76"/>
          <cell r="E76"/>
          <cell r="F76"/>
          <cell r="G76"/>
          <cell r="H76"/>
          <cell r="I76"/>
          <cell r="J76"/>
          <cell r="K76"/>
          <cell r="L76"/>
          <cell r="M76"/>
          <cell r="N76" t="str">
            <v>DEDUCTIONS FROM INCOME</v>
          </cell>
          <cell r="O76"/>
          <cell r="P76"/>
          <cell r="Q76"/>
          <cell r="R76"/>
          <cell r="S76"/>
          <cell r="T76"/>
          <cell r="U76"/>
          <cell r="V76"/>
          <cell r="W76"/>
          <cell r="X76"/>
        </row>
        <row r="77">
          <cell r="B77" t="str">
            <v>ACCOUNT NAME</v>
          </cell>
          <cell r="C77"/>
          <cell r="D77"/>
          <cell r="E77"/>
          <cell r="F77" t="str">
            <v>ACCT NO</v>
          </cell>
          <cell r="G77"/>
          <cell r="H77" t="str">
            <v>MONTH</v>
          </cell>
          <cell r="I77"/>
          <cell r="J77" t="str">
            <v>YEAR TO DATE</v>
          </cell>
          <cell r="K77"/>
          <cell r="L77"/>
          <cell r="M77"/>
          <cell r="N77" t="str">
            <v>ACCOUNT NAME</v>
          </cell>
          <cell r="O77"/>
          <cell r="P77"/>
          <cell r="Q77"/>
          <cell r="R77"/>
          <cell r="S77" t="str">
            <v>ACCT NO</v>
          </cell>
          <cell r="T77"/>
          <cell r="U77" t="str">
            <v>MONTH</v>
          </cell>
          <cell r="V77"/>
          <cell r="W77" t="str">
            <v>YEAR TO DATE</v>
          </cell>
          <cell r="X77"/>
        </row>
        <row r="78">
          <cell r="B78" t="str">
            <v>Cash Discount Earned</v>
          </cell>
          <cell r="C78"/>
          <cell r="D78"/>
          <cell r="E78"/>
          <cell r="F78">
            <v>800</v>
          </cell>
          <cell r="G78"/>
          <cell r="H78">
            <v>0</v>
          </cell>
          <cell r="I78"/>
          <cell r="J78">
            <v>0</v>
          </cell>
          <cell r="K78"/>
          <cell r="L78"/>
          <cell r="M78"/>
          <cell r="N78" t="str">
            <v>Cash Discount Allowed</v>
          </cell>
          <cell r="O78"/>
          <cell r="P78"/>
          <cell r="Q78"/>
          <cell r="R78"/>
          <cell r="S78">
            <v>900</v>
          </cell>
          <cell r="T78"/>
          <cell r="U78">
            <v>0</v>
          </cell>
          <cell r="V78"/>
          <cell r="W78">
            <v>0</v>
          </cell>
          <cell r="X78"/>
        </row>
        <row r="79">
          <cell r="B79" t="str">
            <v>Interest Earned</v>
          </cell>
          <cell r="C79"/>
          <cell r="D79"/>
          <cell r="E79"/>
          <cell r="F79">
            <v>802</v>
          </cell>
          <cell r="G79"/>
          <cell r="H79">
            <v>801</v>
          </cell>
          <cell r="I79"/>
          <cell r="J79">
            <v>7970</v>
          </cell>
          <cell r="K79"/>
          <cell r="L79"/>
          <cell r="M79"/>
          <cell r="N79" t="str">
            <v>Lease &amp; Rental Vehicle Exp</v>
          </cell>
          <cell r="O79"/>
          <cell r="P79"/>
          <cell r="Q79"/>
          <cell r="R79"/>
          <cell r="S79">
            <v>905</v>
          </cell>
          <cell r="T79"/>
          <cell r="U79">
            <v>-277</v>
          </cell>
          <cell r="V79"/>
          <cell r="W79">
            <v>51044</v>
          </cell>
          <cell r="X79"/>
        </row>
        <row r="80">
          <cell r="B80" t="str">
            <v>Lease &amp; Rental Vehicle Income</v>
          </cell>
          <cell r="C80"/>
          <cell r="D80"/>
          <cell r="E80"/>
          <cell r="F80">
            <v>805</v>
          </cell>
          <cell r="G80"/>
          <cell r="H80">
            <v>1829</v>
          </cell>
          <cell r="I80"/>
          <cell r="J80">
            <v>12651</v>
          </cell>
          <cell r="K80"/>
          <cell r="L80"/>
          <cell r="M80"/>
          <cell r="N80" t="str">
            <v>Casualty Losses</v>
          </cell>
          <cell r="O80"/>
          <cell r="P80"/>
          <cell r="Q80"/>
          <cell r="R80"/>
          <cell r="S80">
            <v>906</v>
          </cell>
          <cell r="T80"/>
          <cell r="U80">
            <v>0</v>
          </cell>
          <cell r="V80"/>
          <cell r="W80">
            <v>0</v>
          </cell>
          <cell r="X80"/>
        </row>
        <row r="81">
          <cell r="B81" t="str">
            <v>Miscellaneous  Income</v>
          </cell>
          <cell r="C81"/>
          <cell r="D81"/>
          <cell r="E81"/>
          <cell r="F81">
            <v>809</v>
          </cell>
          <cell r="G81"/>
          <cell r="H81">
            <v>84331</v>
          </cell>
          <cell r="I81"/>
          <cell r="J81">
            <v>988821</v>
          </cell>
          <cell r="K81"/>
          <cell r="L81"/>
          <cell r="M81"/>
          <cell r="N81" t="str">
            <v>Miscellaneous  Deductions</v>
          </cell>
          <cell r="O81"/>
          <cell r="P81"/>
          <cell r="Q81"/>
          <cell r="R81"/>
          <cell r="S81">
            <v>909</v>
          </cell>
          <cell r="T81"/>
          <cell r="U81">
            <v>10942</v>
          </cell>
          <cell r="V81"/>
          <cell r="W81">
            <v>72892</v>
          </cell>
          <cell r="X81"/>
        </row>
        <row r="82">
          <cell r="B82" t="str">
            <v>L.I.F.O. Adjustment</v>
          </cell>
          <cell r="C82"/>
          <cell r="D82"/>
          <cell r="E82"/>
          <cell r="F82">
            <v>810</v>
          </cell>
          <cell r="G82"/>
          <cell r="H82">
            <v>0</v>
          </cell>
          <cell r="I82"/>
          <cell r="J82">
            <v>0</v>
          </cell>
          <cell r="K82"/>
          <cell r="L82"/>
          <cell r="M82"/>
          <cell r="N82" t="str">
            <v>L.I.F.O. Adjustment</v>
          </cell>
          <cell r="O82"/>
          <cell r="P82"/>
          <cell r="Q82"/>
          <cell r="R82"/>
          <cell r="S82">
            <v>910</v>
          </cell>
          <cell r="T82"/>
          <cell r="U82">
            <v>0</v>
          </cell>
          <cell r="V82"/>
          <cell r="W82">
            <v>0</v>
          </cell>
          <cell r="X82"/>
        </row>
        <row r="83">
          <cell r="B83"/>
          <cell r="C83"/>
          <cell r="D83"/>
          <cell r="E83"/>
          <cell r="F83"/>
          <cell r="G83"/>
          <cell r="H83"/>
          <cell r="I83"/>
          <cell r="J83"/>
          <cell r="K83"/>
          <cell r="L83"/>
          <cell r="M83"/>
          <cell r="N83"/>
          <cell r="O83"/>
          <cell r="P83"/>
          <cell r="Q83"/>
          <cell r="R83"/>
          <cell r="S83"/>
          <cell r="T83"/>
          <cell r="U83"/>
          <cell r="V83"/>
          <cell r="W83"/>
          <cell r="X83"/>
        </row>
        <row r="84">
          <cell r="B84" t="str">
            <v>TOTAL                                         (LINES 74 TO 78)</v>
          </cell>
          <cell r="C84"/>
          <cell r="D84"/>
          <cell r="E84"/>
          <cell r="F84"/>
          <cell r="G84"/>
          <cell r="H84">
            <v>86961</v>
          </cell>
          <cell r="I84"/>
          <cell r="J84">
            <v>1009442</v>
          </cell>
          <cell r="K84"/>
          <cell r="L84"/>
          <cell r="M84"/>
          <cell r="N84" t="str">
            <v>TOTAL                                                                         (LINES 74 TO 78)</v>
          </cell>
          <cell r="O84"/>
          <cell r="P84"/>
          <cell r="Q84"/>
          <cell r="R84"/>
          <cell r="S84"/>
          <cell r="T84"/>
          <cell r="U84">
            <v>10665</v>
          </cell>
          <cell r="V84"/>
          <cell r="W84">
            <v>123936</v>
          </cell>
          <cell r="X84"/>
        </row>
        <row r="85">
          <cell r="W85" t="str">
            <v>Ver</v>
          </cell>
          <cell r="X85" t="str">
            <v>1.2-5</v>
          </cell>
        </row>
      </sheetData>
      <sheetData sheetId="3" refreshError="1">
        <row r="21">
          <cell r="B21">
            <v>90</v>
          </cell>
          <cell r="L21">
            <v>1099</v>
          </cell>
        </row>
        <row r="25">
          <cell r="B25">
            <v>1</v>
          </cell>
          <cell r="C25">
            <v>18750</v>
          </cell>
          <cell r="L25">
            <v>58</v>
          </cell>
          <cell r="M25">
            <v>1164213</v>
          </cell>
        </row>
        <row r="27">
          <cell r="B27">
            <v>35</v>
          </cell>
          <cell r="C27">
            <v>556981</v>
          </cell>
          <cell r="L27">
            <v>278</v>
          </cell>
          <cell r="M27">
            <v>4394179</v>
          </cell>
        </row>
        <row r="29">
          <cell r="B29">
            <v>43</v>
          </cell>
          <cell r="C29">
            <v>704395</v>
          </cell>
          <cell r="L29">
            <v>540</v>
          </cell>
          <cell r="M29">
            <v>9256019</v>
          </cell>
        </row>
        <row r="32">
          <cell r="C32">
            <v>338708</v>
          </cell>
          <cell r="D32">
            <v>10</v>
          </cell>
          <cell r="M32">
            <v>4174226</v>
          </cell>
          <cell r="N32">
            <v>21305</v>
          </cell>
        </row>
        <row r="34">
          <cell r="D34">
            <v>105352</v>
          </cell>
          <cell r="N34">
            <v>1060010</v>
          </cell>
        </row>
        <row r="36">
          <cell r="B36">
            <v>364</v>
          </cell>
          <cell r="C36">
            <v>64281</v>
          </cell>
          <cell r="D36">
            <v>47423</v>
          </cell>
          <cell r="L36">
            <v>8860</v>
          </cell>
          <cell r="M36">
            <v>1091030</v>
          </cell>
          <cell r="N36">
            <v>829622</v>
          </cell>
        </row>
        <row r="37">
          <cell r="B37">
            <v>855</v>
          </cell>
          <cell r="C37">
            <v>40990</v>
          </cell>
          <cell r="D37">
            <v>34161</v>
          </cell>
          <cell r="L37">
            <v>7941</v>
          </cell>
          <cell r="M37">
            <v>204961</v>
          </cell>
          <cell r="N37">
            <v>162196</v>
          </cell>
        </row>
        <row r="38">
          <cell r="B38">
            <v>320</v>
          </cell>
          <cell r="C38">
            <v>25554</v>
          </cell>
          <cell r="D38">
            <v>21119</v>
          </cell>
          <cell r="L38">
            <v>4831</v>
          </cell>
          <cell r="M38">
            <v>378414</v>
          </cell>
          <cell r="N38">
            <v>313516</v>
          </cell>
        </row>
        <row r="39">
          <cell r="B39">
            <v>159</v>
          </cell>
          <cell r="C39">
            <v>37331</v>
          </cell>
          <cell r="D39">
            <v>32589</v>
          </cell>
          <cell r="L39">
            <v>2803</v>
          </cell>
          <cell r="M39">
            <v>568538</v>
          </cell>
          <cell r="N39">
            <v>485021</v>
          </cell>
        </row>
        <row r="40">
          <cell r="B40">
            <v>32</v>
          </cell>
          <cell r="C40">
            <v>5643</v>
          </cell>
          <cell r="D40">
            <v>3967</v>
          </cell>
          <cell r="L40">
            <v>496</v>
          </cell>
          <cell r="M40">
            <v>111099</v>
          </cell>
          <cell r="N40">
            <v>73997</v>
          </cell>
        </row>
        <row r="44">
          <cell r="C44">
            <v>3012</v>
          </cell>
          <cell r="D44">
            <v>43</v>
          </cell>
          <cell r="M44">
            <v>448079</v>
          </cell>
          <cell r="N44">
            <v>5221</v>
          </cell>
        </row>
        <row r="45">
          <cell r="D45">
            <v>-9008</v>
          </cell>
          <cell r="N45">
            <v>-62122</v>
          </cell>
        </row>
        <row r="46">
          <cell r="D46">
            <v>130294</v>
          </cell>
          <cell r="N46">
            <v>1807451</v>
          </cell>
        </row>
        <row r="56">
          <cell r="C56">
            <v>39160</v>
          </cell>
          <cell r="D56">
            <v>18776</v>
          </cell>
          <cell r="M56">
            <v>579328</v>
          </cell>
          <cell r="N56">
            <v>155309</v>
          </cell>
        </row>
        <row r="57">
          <cell r="C57">
            <v>21398</v>
          </cell>
          <cell r="D57">
            <v>9892</v>
          </cell>
          <cell r="M57">
            <v>163339</v>
          </cell>
          <cell r="N57">
            <v>73486</v>
          </cell>
        </row>
        <row r="59">
          <cell r="C59">
            <v>40077</v>
          </cell>
          <cell r="D59">
            <v>15153</v>
          </cell>
          <cell r="M59">
            <v>614273</v>
          </cell>
          <cell r="N59">
            <v>180116</v>
          </cell>
        </row>
        <row r="60">
          <cell r="C60">
            <v>10611</v>
          </cell>
          <cell r="D60">
            <v>5609</v>
          </cell>
          <cell r="M60">
            <v>148601</v>
          </cell>
          <cell r="N60">
            <v>73593</v>
          </cell>
        </row>
        <row r="61">
          <cell r="B61">
            <v>9</v>
          </cell>
          <cell r="C61">
            <v>584</v>
          </cell>
          <cell r="D61">
            <v>127</v>
          </cell>
          <cell r="L61">
            <v>138</v>
          </cell>
          <cell r="M61">
            <v>4056</v>
          </cell>
          <cell r="N61">
            <v>1310</v>
          </cell>
        </row>
        <row r="62">
          <cell r="B62">
            <v>447</v>
          </cell>
          <cell r="C62">
            <v>103851</v>
          </cell>
          <cell r="D62">
            <v>16779</v>
          </cell>
          <cell r="L62">
            <v>4234</v>
          </cell>
          <cell r="M62">
            <v>860875</v>
          </cell>
          <cell r="N62">
            <v>143493</v>
          </cell>
        </row>
        <row r="63">
          <cell r="B63">
            <v>19</v>
          </cell>
          <cell r="C63">
            <v>1339</v>
          </cell>
          <cell r="D63">
            <v>274</v>
          </cell>
          <cell r="L63">
            <v>312</v>
          </cell>
          <cell r="M63">
            <v>26518</v>
          </cell>
          <cell r="N63">
            <v>5632</v>
          </cell>
        </row>
        <row r="67">
          <cell r="C67">
            <v>6931</v>
          </cell>
          <cell r="D67">
            <v>2885</v>
          </cell>
          <cell r="M67">
            <v>50553</v>
          </cell>
          <cell r="N67">
            <v>19818</v>
          </cell>
        </row>
        <row r="68">
          <cell r="C68">
            <v>0</v>
          </cell>
          <cell r="D68">
            <v>0</v>
          </cell>
          <cell r="M68">
            <v>668</v>
          </cell>
          <cell r="N68">
            <v>191</v>
          </cell>
        </row>
        <row r="69">
          <cell r="C69">
            <v>16792</v>
          </cell>
          <cell r="D69">
            <v>4631</v>
          </cell>
          <cell r="M69">
            <v>348615</v>
          </cell>
          <cell r="N69">
            <v>55779</v>
          </cell>
        </row>
        <row r="70">
          <cell r="B70">
            <v>0</v>
          </cell>
          <cell r="C70">
            <v>0</v>
          </cell>
          <cell r="D70">
            <v>0</v>
          </cell>
          <cell r="L70">
            <v>3</v>
          </cell>
          <cell r="M70">
            <v>251</v>
          </cell>
          <cell r="N70">
            <v>65</v>
          </cell>
        </row>
        <row r="71">
          <cell r="B71">
            <v>14</v>
          </cell>
          <cell r="C71">
            <v>2230</v>
          </cell>
          <cell r="D71">
            <v>405</v>
          </cell>
          <cell r="L71">
            <v>85</v>
          </cell>
          <cell r="M71">
            <v>9393</v>
          </cell>
          <cell r="N71">
            <v>1775</v>
          </cell>
        </row>
        <row r="73">
          <cell r="D73">
            <v>7921</v>
          </cell>
          <cell r="N73">
            <v>77628</v>
          </cell>
        </row>
        <row r="75">
          <cell r="D75">
            <v>79581</v>
          </cell>
          <cell r="N75">
            <v>760299</v>
          </cell>
        </row>
        <row r="76">
          <cell r="C76">
            <v>38170</v>
          </cell>
          <cell r="M76">
            <v>529993</v>
          </cell>
        </row>
        <row r="77">
          <cell r="C77">
            <v>0</v>
          </cell>
          <cell r="M77">
            <v>0</v>
          </cell>
        </row>
        <row r="78">
          <cell r="C78">
            <v>16921</v>
          </cell>
          <cell r="D78">
            <v>4327</v>
          </cell>
          <cell r="M78">
            <v>246237</v>
          </cell>
          <cell r="N78">
            <v>54770</v>
          </cell>
        </row>
        <row r="79">
          <cell r="C79">
            <v>620</v>
          </cell>
          <cell r="D79">
            <v>71</v>
          </cell>
          <cell r="M79">
            <v>620</v>
          </cell>
          <cell r="N79">
            <v>71</v>
          </cell>
        </row>
        <row r="80">
          <cell r="C80">
            <v>5686</v>
          </cell>
          <cell r="D80">
            <v>3421</v>
          </cell>
          <cell r="M80">
            <v>136341</v>
          </cell>
          <cell r="N80">
            <v>75212</v>
          </cell>
        </row>
        <row r="81">
          <cell r="C81">
            <v>13090</v>
          </cell>
          <cell r="D81">
            <v>6412</v>
          </cell>
          <cell r="M81">
            <v>103413</v>
          </cell>
          <cell r="N81">
            <v>46735</v>
          </cell>
        </row>
        <row r="82">
          <cell r="D82">
            <v>115819</v>
          </cell>
          <cell r="N82">
            <v>1166045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PAGE 3"/>
      <sheetName val="PAGE 4"/>
      <sheetName val="Detail"/>
      <sheetName val="Manf COA"/>
      <sheetName val="Cross Ref"/>
      <sheetName val="WFPFFWTOT"/>
      <sheetName val="FFPENVIOR"/>
      <sheetName val="FFPXREFDTA"/>
      <sheetName val="Factory Accounts"/>
      <sheetName val="Const"/>
      <sheetName val="Change Log"/>
    </sheetNames>
    <sheetDataSet>
      <sheetData sheetId="0" refreshError="1"/>
      <sheetData sheetId="1" refreshError="1">
        <row r="1">
          <cell r="B1" t="str">
            <v>DEALERSHIP</v>
          </cell>
          <cell r="C1" t="str">
            <v>HUDSON MORRISTOWN ACQUISITION</v>
          </cell>
          <cell r="D1"/>
          <cell r="E1"/>
          <cell r="F1"/>
          <cell r="G1" t="str">
            <v>DEALER NO</v>
          </cell>
          <cell r="H1">
            <v>208628</v>
          </cell>
          <cell r="I1"/>
          <cell r="J1"/>
          <cell r="K1"/>
          <cell r="L1"/>
          <cell r="M1" t="str">
            <v>THRU</v>
          </cell>
          <cell r="N1"/>
          <cell r="O1">
            <v>42735</v>
          </cell>
          <cell r="P1"/>
        </row>
        <row r="2">
          <cell r="B2" t="str">
            <v>NAME OF ACCOUNT</v>
          </cell>
          <cell r="C2"/>
          <cell r="D2" t="str">
            <v>ACCT NO</v>
          </cell>
          <cell r="E2" t="str">
            <v>TOTAL DEALERSHIP INCOME AND EXPENSE</v>
          </cell>
          <cell r="F2"/>
          <cell r="G2"/>
          <cell r="H2" t="str">
            <v>A       New Honda Dept.</v>
          </cell>
          <cell r="I2"/>
          <cell r="J2"/>
          <cell r="K2"/>
          <cell r="L2" t="str">
            <v>B       New Other Dept.</v>
          </cell>
          <cell r="M2"/>
          <cell r="N2"/>
          <cell r="O2"/>
          <cell r="P2" t="str">
            <v>LINE NO</v>
          </cell>
        </row>
        <row r="3">
          <cell r="B3"/>
          <cell r="C3"/>
          <cell r="D3" t="str">
            <v>ACCT NO</v>
          </cell>
          <cell r="E3" t="str">
            <v>MONTH</v>
          </cell>
          <cell r="F3" t="str">
            <v>YTD</v>
          </cell>
          <cell r="G3" t="str">
            <v>GROSS
PROFIT %</v>
          </cell>
          <cell r="H3" t="str">
            <v>A       New Honda Dept.</v>
          </cell>
          <cell r="I3"/>
          <cell r="J3"/>
          <cell r="K3"/>
          <cell r="L3" t="str">
            <v>B       New Other Dept.</v>
          </cell>
          <cell r="M3"/>
          <cell r="N3"/>
          <cell r="O3"/>
          <cell r="P3" t="str">
            <v>LINE NO</v>
          </cell>
        </row>
        <row r="4">
          <cell r="B4"/>
          <cell r="C4"/>
          <cell r="D4" t="str">
            <v>ACCT NO</v>
          </cell>
          <cell r="E4" t="str">
            <v>MONTH</v>
          </cell>
          <cell r="F4" t="str">
            <v>YTD</v>
          </cell>
          <cell r="G4" t="str">
            <v>GROSS
PROFIT %</v>
          </cell>
          <cell r="H4" t="str">
            <v>MONTH</v>
          </cell>
          <cell r="I4"/>
          <cell r="J4" t="str">
            <v>YTD</v>
          </cell>
          <cell r="K4"/>
          <cell r="L4" t="str">
            <v>MONTH</v>
          </cell>
          <cell r="M4"/>
          <cell r="N4" t="str">
            <v>YTD</v>
          </cell>
          <cell r="O4"/>
          <cell r="P4" t="str">
            <v>LINE NO</v>
          </cell>
          <cell r="Q4" t="str">
            <v>Month</v>
          </cell>
        </row>
        <row r="5">
          <cell r="B5" t="str">
            <v>SALES</v>
          </cell>
          <cell r="C5"/>
          <cell r="D5"/>
          <cell r="E5">
            <v>3802071</v>
          </cell>
          <cell r="F5">
            <v>40298829</v>
          </cell>
          <cell r="G5">
            <v>1575</v>
          </cell>
          <cell r="H5">
            <v>2350129</v>
          </cell>
          <cell r="I5"/>
          <cell r="J5">
            <v>22557156</v>
          </cell>
          <cell r="K5"/>
          <cell r="L5">
            <v>0</v>
          </cell>
          <cell r="M5"/>
          <cell r="N5">
            <v>0</v>
          </cell>
          <cell r="O5"/>
          <cell r="P5">
            <v>1</v>
          </cell>
        </row>
        <row r="6">
          <cell r="B6" t="str">
            <v>GROSS</v>
          </cell>
          <cell r="C6"/>
          <cell r="D6"/>
          <cell r="E6">
            <v>245273</v>
          </cell>
          <cell r="F6">
            <v>2826536</v>
          </cell>
          <cell r="G6">
            <v>7.013940777286605E-2</v>
          </cell>
          <cell r="H6">
            <v>29298</v>
          </cell>
          <cell r="I6"/>
          <cell r="J6">
            <v>277797</v>
          </cell>
          <cell r="K6"/>
          <cell r="L6">
            <v>0</v>
          </cell>
          <cell r="M6"/>
          <cell r="N6">
            <v>0</v>
          </cell>
          <cell r="O6"/>
          <cell r="P6">
            <v>2</v>
          </cell>
        </row>
        <row r="7">
          <cell r="B7" t="str">
            <v>OTHER VARIABLE INCOME &amp; DEDUCTIONS</v>
          </cell>
          <cell r="C7"/>
          <cell r="D7"/>
          <cell r="E7"/>
          <cell r="F7"/>
          <cell r="G7" t="str">
            <v>PRVS</v>
          </cell>
          <cell r="H7"/>
          <cell r="I7"/>
          <cell r="J7"/>
          <cell r="K7"/>
          <cell r="L7"/>
          <cell r="M7"/>
          <cell r="N7"/>
          <cell r="O7"/>
          <cell r="P7">
            <v>3</v>
          </cell>
        </row>
        <row r="8">
          <cell r="B8" t="str">
            <v>Finance Income</v>
          </cell>
          <cell r="C8"/>
          <cell r="D8" t="str">
            <v>003</v>
          </cell>
          <cell r="E8">
            <v>42941</v>
          </cell>
          <cell r="F8">
            <v>522310</v>
          </cell>
          <cell r="G8">
            <v>331.62539682539682</v>
          </cell>
          <cell r="H8">
            <v>28186</v>
          </cell>
          <cell r="I8"/>
          <cell r="J8">
            <v>305337</v>
          </cell>
          <cell r="K8"/>
          <cell r="L8">
            <v>0</v>
          </cell>
          <cell r="M8"/>
          <cell r="N8">
            <v>0</v>
          </cell>
          <cell r="O8"/>
          <cell r="P8">
            <v>4</v>
          </cell>
        </row>
        <row r="9">
          <cell r="B9" t="str">
            <v>Insurance Income</v>
          </cell>
          <cell r="C9"/>
          <cell r="D9" t="str">
            <v>004</v>
          </cell>
          <cell r="E9">
            <v>0</v>
          </cell>
          <cell r="F9">
            <v>0</v>
          </cell>
          <cell r="G9" t="str">
            <v>-</v>
          </cell>
          <cell r="H9">
            <v>0</v>
          </cell>
          <cell r="I9"/>
          <cell r="J9">
            <v>0</v>
          </cell>
          <cell r="K9"/>
          <cell r="L9">
            <v>0</v>
          </cell>
          <cell r="M9"/>
          <cell r="N9">
            <v>0</v>
          </cell>
          <cell r="O9"/>
          <cell r="P9">
            <v>5</v>
          </cell>
        </row>
        <row r="10">
          <cell r="B10" t="str">
            <v>Service Contracts</v>
          </cell>
          <cell r="C10"/>
          <cell r="D10" t="str">
            <v>005</v>
          </cell>
          <cell r="E10">
            <v>113516</v>
          </cell>
          <cell r="F10">
            <v>1221007</v>
          </cell>
          <cell r="G10">
            <v>775.2425396825397</v>
          </cell>
          <cell r="H10">
            <v>70098</v>
          </cell>
          <cell r="I10"/>
          <cell r="J10">
            <v>764872</v>
          </cell>
          <cell r="K10"/>
          <cell r="L10">
            <v>0</v>
          </cell>
          <cell r="M10"/>
          <cell r="N10">
            <v>0</v>
          </cell>
          <cell r="O10"/>
          <cell r="P10">
            <v>6</v>
          </cell>
        </row>
        <row r="11">
          <cell r="B11" t="str">
            <v>GAP Insurance Income</v>
          </cell>
          <cell r="C11"/>
          <cell r="D11" t="str">
            <v>006</v>
          </cell>
          <cell r="E11">
            <v>15805</v>
          </cell>
          <cell r="F11">
            <v>202235</v>
          </cell>
          <cell r="G11">
            <v>128.40317460317459</v>
          </cell>
          <cell r="H11">
            <v>6468</v>
          </cell>
          <cell r="I11"/>
          <cell r="J11">
            <v>91887</v>
          </cell>
          <cell r="K11"/>
          <cell r="L11">
            <v>0</v>
          </cell>
          <cell r="M11"/>
          <cell r="N11">
            <v>0</v>
          </cell>
          <cell r="O11"/>
          <cell r="P11">
            <v>7</v>
          </cell>
        </row>
        <row r="12">
          <cell r="B12" t="str">
            <v>Charge Backs &amp; Repo Losses</v>
          </cell>
          <cell r="C12"/>
          <cell r="D12" t="str">
            <v>007</v>
          </cell>
          <cell r="E12">
            <v>-14186</v>
          </cell>
          <cell r="F12">
            <v>-166686</v>
          </cell>
          <cell r="G12">
            <v>-105.83238095238096</v>
          </cell>
          <cell r="H12">
            <v>-5957</v>
          </cell>
          <cell r="I12"/>
          <cell r="J12">
            <v>-97726</v>
          </cell>
          <cell r="K12"/>
          <cell r="L12">
            <v>0</v>
          </cell>
          <cell r="M12"/>
          <cell r="N12">
            <v>0</v>
          </cell>
          <cell r="O12"/>
          <cell r="P12">
            <v>8</v>
          </cell>
        </row>
        <row r="13">
          <cell r="B13" t="str">
            <v>Aftermarket Income</v>
          </cell>
          <cell r="C13"/>
          <cell r="D13" t="str">
            <v>009</v>
          </cell>
          <cell r="E13">
            <v>0</v>
          </cell>
          <cell r="F13">
            <v>0</v>
          </cell>
          <cell r="G13" t="str">
            <v>-</v>
          </cell>
          <cell r="H13">
            <v>0</v>
          </cell>
          <cell r="I13"/>
          <cell r="J13">
            <v>0</v>
          </cell>
          <cell r="K13"/>
          <cell r="L13">
            <v>0</v>
          </cell>
          <cell r="M13"/>
          <cell r="N13">
            <v>0</v>
          </cell>
          <cell r="O13"/>
          <cell r="P13">
            <v>9</v>
          </cell>
        </row>
        <row r="14">
          <cell r="B14" t="str">
            <v>FINANCE AND INSURANCE SUB-TOTAL           (LINES 4 TO 9)</v>
          </cell>
          <cell r="C14"/>
          <cell r="D14"/>
          <cell r="E14">
            <v>158076</v>
          </cell>
          <cell r="F14">
            <v>1778866</v>
          </cell>
          <cell r="G14">
            <v>1129.4387301587303</v>
          </cell>
          <cell r="H14">
            <v>98795</v>
          </cell>
          <cell r="I14"/>
          <cell r="J14">
            <v>1064370</v>
          </cell>
          <cell r="K14"/>
          <cell r="L14">
            <v>0</v>
          </cell>
          <cell r="M14"/>
          <cell r="N14">
            <v>0</v>
          </cell>
          <cell r="O14"/>
          <cell r="P14">
            <v>10</v>
          </cell>
        </row>
        <row r="15">
          <cell r="B15" t="str">
            <v>Dealer Marketing Allowance</v>
          </cell>
          <cell r="C15"/>
          <cell r="D15" t="str">
            <v>008</v>
          </cell>
          <cell r="E15">
            <v>8360</v>
          </cell>
          <cell r="F15">
            <v>117800</v>
          </cell>
          <cell r="G15">
            <v>74.793650793650798</v>
          </cell>
          <cell r="H15">
            <v>8360</v>
          </cell>
          <cell r="I15"/>
          <cell r="J15">
            <v>117800</v>
          </cell>
          <cell r="K15"/>
          <cell r="L15">
            <v>0</v>
          </cell>
          <cell r="M15"/>
          <cell r="N15">
            <v>0</v>
          </cell>
          <cell r="O15"/>
          <cell r="P15">
            <v>11</v>
          </cell>
        </row>
        <row r="16">
          <cell r="B16" t="str">
            <v>HONDA Transfer Balance</v>
          </cell>
          <cell r="C16"/>
          <cell r="D16" t="str">
            <v>010</v>
          </cell>
          <cell r="E16">
            <v>36633</v>
          </cell>
          <cell r="F16">
            <v>353615</v>
          </cell>
          <cell r="G16">
            <v>224.51746031746032</v>
          </cell>
          <cell r="H16">
            <v>36633</v>
          </cell>
          <cell r="I16"/>
          <cell r="J16">
            <v>353615</v>
          </cell>
          <cell r="K16"/>
          <cell r="L16">
            <v>0</v>
          </cell>
          <cell r="M16"/>
          <cell r="N16">
            <v>0</v>
          </cell>
          <cell r="O16"/>
          <cell r="P16">
            <v>12</v>
          </cell>
        </row>
        <row r="17">
          <cell r="B17" t="str">
            <v>TOTAL OPERATING INCOME              (LINES 2, 10, 11 &amp; 12)</v>
          </cell>
          <cell r="C17"/>
          <cell r="D17"/>
          <cell r="E17">
            <v>448342</v>
          </cell>
          <cell r="F17">
            <v>5076817</v>
          </cell>
          <cell r="G17">
            <v>3223.3758730158729</v>
          </cell>
          <cell r="H17">
            <v>173086</v>
          </cell>
          <cell r="I17"/>
          <cell r="J17">
            <v>1813582</v>
          </cell>
          <cell r="K17"/>
          <cell r="L17">
            <v>0</v>
          </cell>
          <cell r="M17"/>
          <cell r="N17">
            <v>0</v>
          </cell>
          <cell r="O17"/>
          <cell r="P17">
            <v>13</v>
          </cell>
        </row>
        <row r="18">
          <cell r="B18" t="str">
            <v>EXPENSES</v>
          </cell>
          <cell r="C18"/>
          <cell r="D18"/>
          <cell r="E18"/>
          <cell r="F18"/>
          <cell r="G18" t="str">
            <v>PRVS</v>
          </cell>
          <cell r="H18"/>
          <cell r="I18"/>
          <cell r="J18"/>
          <cell r="K18"/>
          <cell r="L18"/>
          <cell r="M18"/>
          <cell r="N18"/>
          <cell r="O18"/>
          <cell r="P18">
            <v>14</v>
          </cell>
        </row>
        <row r="19">
          <cell r="B19" t="str">
            <v>Salespeople Compensation</v>
          </cell>
          <cell r="C19"/>
          <cell r="D19" t="str">
            <v>011</v>
          </cell>
          <cell r="E19">
            <v>51430</v>
          </cell>
          <cell r="F19">
            <v>514359</v>
          </cell>
          <cell r="G19">
            <v>326.57714285714286</v>
          </cell>
          <cell r="H19">
            <v>28928</v>
          </cell>
          <cell r="I19"/>
          <cell r="J19">
            <v>263155</v>
          </cell>
          <cell r="K19"/>
          <cell r="L19">
            <v>0</v>
          </cell>
          <cell r="M19"/>
          <cell r="N19">
            <v>0</v>
          </cell>
          <cell r="O19"/>
          <cell r="P19">
            <v>15</v>
          </cell>
        </row>
        <row r="20">
          <cell r="B20" t="str">
            <v>Floor Plan Interest</v>
          </cell>
          <cell r="C20"/>
          <cell r="D20" t="str">
            <v>012</v>
          </cell>
          <cell r="E20">
            <v>880</v>
          </cell>
          <cell r="F20">
            <v>-45578</v>
          </cell>
          <cell r="G20">
            <v>-28.938412698412698</v>
          </cell>
          <cell r="H20">
            <v>-214</v>
          </cell>
          <cell r="I20"/>
          <cell r="J20">
            <v>-49390</v>
          </cell>
          <cell r="K20"/>
          <cell r="L20">
            <v>0</v>
          </cell>
          <cell r="M20"/>
          <cell r="N20">
            <v>0</v>
          </cell>
          <cell r="O20"/>
          <cell r="P20">
            <v>16</v>
          </cell>
        </row>
        <row r="21">
          <cell r="B21" t="str">
            <v>Compensation F &amp; I / Service Contracts</v>
          </cell>
          <cell r="C21"/>
          <cell r="D21" t="str">
            <v>013</v>
          </cell>
          <cell r="E21">
            <v>19732</v>
          </cell>
          <cell r="F21">
            <v>245306</v>
          </cell>
          <cell r="G21">
            <v>155.74984126984128</v>
          </cell>
          <cell r="H21">
            <v>9866</v>
          </cell>
          <cell r="I21"/>
          <cell r="J21">
            <v>122653</v>
          </cell>
          <cell r="K21"/>
          <cell r="L21">
            <v>0</v>
          </cell>
          <cell r="M21"/>
          <cell r="N21">
            <v>0</v>
          </cell>
          <cell r="O21"/>
          <cell r="P21">
            <v>17</v>
          </cell>
        </row>
        <row r="22">
          <cell r="B22" t="str">
            <v>Delivery Expense</v>
          </cell>
          <cell r="C22"/>
          <cell r="D22" t="str">
            <v>014</v>
          </cell>
          <cell r="E22">
            <v>-5489</v>
          </cell>
          <cell r="F22">
            <v>-82899</v>
          </cell>
          <cell r="G22">
            <v>-52.634285714285717</v>
          </cell>
          <cell r="H22">
            <v>-4111</v>
          </cell>
          <cell r="I22"/>
          <cell r="J22">
            <v>-50262</v>
          </cell>
          <cell r="K22"/>
          <cell r="L22">
            <v>0</v>
          </cell>
          <cell r="M22"/>
          <cell r="N22">
            <v>0</v>
          </cell>
          <cell r="O22"/>
          <cell r="P22">
            <v>18</v>
          </cell>
        </row>
        <row r="23">
          <cell r="B23" t="str">
            <v>Policy Expense - New &amp; Used</v>
          </cell>
          <cell r="C23"/>
          <cell r="D23" t="str">
            <v>015</v>
          </cell>
          <cell r="E23">
            <v>0</v>
          </cell>
          <cell r="F23">
            <v>0</v>
          </cell>
          <cell r="G23" t="str">
            <v>-</v>
          </cell>
          <cell r="H23">
            <v>0</v>
          </cell>
          <cell r="I23"/>
          <cell r="J23">
            <v>0</v>
          </cell>
          <cell r="K23"/>
          <cell r="L23">
            <v>0</v>
          </cell>
          <cell r="M23"/>
          <cell r="N23">
            <v>0</v>
          </cell>
          <cell r="O23"/>
          <cell r="P23">
            <v>19</v>
          </cell>
        </row>
        <row r="24">
          <cell r="B24" t="str">
            <v>Demo Expense</v>
          </cell>
          <cell r="C24"/>
          <cell r="D24" t="str">
            <v>016</v>
          </cell>
          <cell r="E24">
            <v>26959</v>
          </cell>
          <cell r="F24">
            <v>301495</v>
          </cell>
          <cell r="G24">
            <v>191.42539682539683</v>
          </cell>
          <cell r="H24">
            <v>13479</v>
          </cell>
          <cell r="I24"/>
          <cell r="J24">
            <v>150757</v>
          </cell>
          <cell r="K24"/>
          <cell r="L24">
            <v>0</v>
          </cell>
          <cell r="M24"/>
          <cell r="N24">
            <v>0</v>
          </cell>
          <cell r="O24"/>
          <cell r="P24">
            <v>20</v>
          </cell>
        </row>
        <row r="25">
          <cell r="B25" t="str">
            <v>Advertising - Association</v>
          </cell>
          <cell r="C25"/>
          <cell r="D25" t="str">
            <v>018</v>
          </cell>
          <cell r="E25">
            <v>0</v>
          </cell>
          <cell r="F25">
            <v>0</v>
          </cell>
          <cell r="G25" t="str">
            <v>-</v>
          </cell>
          <cell r="H25">
            <v>0</v>
          </cell>
          <cell r="I25"/>
          <cell r="J25">
            <v>0</v>
          </cell>
          <cell r="K25"/>
          <cell r="L25"/>
          <cell r="M25"/>
          <cell r="N25"/>
          <cell r="O25"/>
          <cell r="P25">
            <v>21</v>
          </cell>
        </row>
        <row r="26">
          <cell r="B26" t="str">
            <v>Advertising - New &amp; Used</v>
          </cell>
          <cell r="C26"/>
          <cell r="D26" t="str">
            <v>019</v>
          </cell>
          <cell r="E26">
            <v>11308</v>
          </cell>
          <cell r="F26">
            <v>139679</v>
          </cell>
          <cell r="G26">
            <v>88.685079365079361</v>
          </cell>
          <cell r="H26">
            <v>5858</v>
          </cell>
          <cell r="I26"/>
          <cell r="J26">
            <v>70075</v>
          </cell>
          <cell r="K26"/>
          <cell r="L26">
            <v>0</v>
          </cell>
          <cell r="M26"/>
          <cell r="N26">
            <v>0</v>
          </cell>
          <cell r="O26"/>
          <cell r="P26">
            <v>22</v>
          </cell>
        </row>
        <row r="27">
          <cell r="B27" t="str">
            <v>TOTAL VARIABLE SELLING EXP                 (LINES 15 TO 22)</v>
          </cell>
          <cell r="C27"/>
          <cell r="D27"/>
          <cell r="E27">
            <v>104820</v>
          </cell>
          <cell r="F27">
            <v>1072362</v>
          </cell>
          <cell r="G27" t="str">
            <v>% OPER. INCOME</v>
          </cell>
          <cell r="H27">
            <v>53806</v>
          </cell>
          <cell r="I27"/>
          <cell r="J27">
            <v>506988</v>
          </cell>
          <cell r="K27"/>
          <cell r="L27">
            <v>0</v>
          </cell>
          <cell r="M27"/>
          <cell r="N27">
            <v>0</v>
          </cell>
          <cell r="O27"/>
          <cell r="P27">
            <v>23</v>
          </cell>
        </row>
        <row r="28">
          <cell r="B28" t="str">
            <v>Compensation Owners</v>
          </cell>
          <cell r="C28"/>
          <cell r="D28" t="str">
            <v>020</v>
          </cell>
          <cell r="E28">
            <v>26000</v>
          </cell>
          <cell r="F28">
            <v>296251</v>
          </cell>
          <cell r="G28">
            <v>5.835368893540973E-2</v>
          </cell>
          <cell r="H28">
            <v>8680</v>
          </cell>
          <cell r="I28"/>
          <cell r="J28">
            <v>103268</v>
          </cell>
          <cell r="K28"/>
          <cell r="L28">
            <v>0</v>
          </cell>
          <cell r="M28"/>
          <cell r="N28">
            <v>0</v>
          </cell>
          <cell r="O28"/>
          <cell r="P28">
            <v>24</v>
          </cell>
        </row>
        <row r="29">
          <cell r="B29" t="str">
            <v>Compensation Supervisors</v>
          </cell>
          <cell r="C29"/>
          <cell r="D29" t="str">
            <v>021</v>
          </cell>
          <cell r="E29">
            <v>64826</v>
          </cell>
          <cell r="F29">
            <v>648419</v>
          </cell>
          <cell r="G29">
            <v>0.12772156254598108</v>
          </cell>
          <cell r="H29">
            <v>23270</v>
          </cell>
          <cell r="I29"/>
          <cell r="J29">
            <v>226473</v>
          </cell>
          <cell r="K29"/>
          <cell r="L29">
            <v>0</v>
          </cell>
          <cell r="M29"/>
          <cell r="N29">
            <v>0</v>
          </cell>
          <cell r="O29"/>
          <cell r="P29">
            <v>25</v>
          </cell>
        </row>
        <row r="30">
          <cell r="B30" t="str">
            <v>Compensation Clerical</v>
          </cell>
          <cell r="C30"/>
          <cell r="D30" t="str">
            <v>022</v>
          </cell>
          <cell r="E30">
            <v>18001</v>
          </cell>
          <cell r="F30">
            <v>160303</v>
          </cell>
          <cell r="G30">
            <v>3.1575493069771865E-2</v>
          </cell>
          <cell r="H30">
            <v>4969</v>
          </cell>
          <cell r="I30"/>
          <cell r="J30">
            <v>43178</v>
          </cell>
          <cell r="K30"/>
          <cell r="L30">
            <v>0</v>
          </cell>
          <cell r="M30"/>
          <cell r="N30">
            <v>0</v>
          </cell>
          <cell r="O30"/>
          <cell r="P30">
            <v>26</v>
          </cell>
        </row>
        <row r="31">
          <cell r="B31" t="str">
            <v>Other Salaries &amp; Wages</v>
          </cell>
          <cell r="C31"/>
          <cell r="D31" t="str">
            <v>023</v>
          </cell>
          <cell r="E31">
            <v>38054</v>
          </cell>
          <cell r="F31">
            <v>427579</v>
          </cell>
          <cell r="G31">
            <v>8.4221865787165465E-2</v>
          </cell>
          <cell r="H31">
            <v>4643</v>
          </cell>
          <cell r="I31"/>
          <cell r="J31">
            <v>45963</v>
          </cell>
          <cell r="K31"/>
          <cell r="L31">
            <v>0</v>
          </cell>
          <cell r="M31"/>
          <cell r="N31">
            <v>0</v>
          </cell>
          <cell r="O31"/>
          <cell r="P31">
            <v>27</v>
          </cell>
        </row>
        <row r="32">
          <cell r="B32" t="str">
            <v>Payroll Taxes</v>
          </cell>
          <cell r="C32"/>
          <cell r="D32" t="str">
            <v>025</v>
          </cell>
          <cell r="E32">
            <v>18931</v>
          </cell>
          <cell r="F32">
            <v>223116</v>
          </cell>
          <cell r="G32">
            <v>4.3948009156130702E-2</v>
          </cell>
          <cell r="H32">
            <v>5824</v>
          </cell>
          <cell r="I32"/>
          <cell r="J32">
            <v>69846</v>
          </cell>
          <cell r="K32"/>
          <cell r="L32">
            <v>0</v>
          </cell>
          <cell r="M32"/>
          <cell r="N32">
            <v>0</v>
          </cell>
          <cell r="O32"/>
          <cell r="P32">
            <v>28</v>
          </cell>
        </row>
        <row r="33">
          <cell r="B33" t="str">
            <v>Employee Benefits/Pension/401K/Workers' Comp</v>
          </cell>
          <cell r="C33"/>
          <cell r="D33" t="str">
            <v>026</v>
          </cell>
          <cell r="E33">
            <v>16253</v>
          </cell>
          <cell r="F33">
            <v>139433</v>
          </cell>
          <cell r="G33">
            <v>2.7464649602300023E-2</v>
          </cell>
          <cell r="H33">
            <v>6130</v>
          </cell>
          <cell r="I33"/>
          <cell r="J33">
            <v>53146</v>
          </cell>
          <cell r="K33"/>
          <cell r="L33">
            <v>0</v>
          </cell>
          <cell r="M33"/>
          <cell r="N33">
            <v>0</v>
          </cell>
          <cell r="O33"/>
          <cell r="P33">
            <v>29</v>
          </cell>
        </row>
        <row r="34">
          <cell r="B34" t="str">
            <v>Absentee Wages - Productive</v>
          </cell>
          <cell r="C34"/>
          <cell r="D34" t="str">
            <v>029</v>
          </cell>
          <cell r="E34">
            <v>-1818</v>
          </cell>
          <cell r="F34">
            <v>18182</v>
          </cell>
          <cell r="G34">
            <v>3.5813778593949712E-3</v>
          </cell>
          <cell r="H34">
            <v>-1003</v>
          </cell>
          <cell r="I34"/>
          <cell r="J34">
            <v>5997</v>
          </cell>
          <cell r="K34"/>
          <cell r="L34">
            <v>0</v>
          </cell>
          <cell r="M34"/>
          <cell r="N34">
            <v>0</v>
          </cell>
          <cell r="O34"/>
          <cell r="P34">
            <v>30</v>
          </cell>
        </row>
        <row r="35">
          <cell r="B35" t="str">
            <v>TOTAL PERSONNEL EXPENSE                    (LINES 24 TO 30)</v>
          </cell>
          <cell r="C35"/>
          <cell r="D35"/>
          <cell r="E35">
            <v>180247</v>
          </cell>
          <cell r="F35">
            <v>1913283</v>
          </cell>
          <cell r="G35">
            <v>0.37686664695615385</v>
          </cell>
          <cell r="H35">
            <v>52513</v>
          </cell>
          <cell r="I35"/>
          <cell r="J35">
            <v>547871</v>
          </cell>
          <cell r="K35"/>
          <cell r="L35">
            <v>0</v>
          </cell>
          <cell r="M35"/>
          <cell r="N35">
            <v>0</v>
          </cell>
          <cell r="O35"/>
          <cell r="P35">
            <v>31</v>
          </cell>
        </row>
        <row r="36">
          <cell r="B36" t="str">
            <v>Company Vehicle Expense</v>
          </cell>
          <cell r="C36"/>
          <cell r="D36" t="str">
            <v>051</v>
          </cell>
          <cell r="E36">
            <v>455</v>
          </cell>
          <cell r="F36">
            <v>8493</v>
          </cell>
          <cell r="G36">
            <v>1.6728985898053839E-3</v>
          </cell>
          <cell r="H36">
            <v>47</v>
          </cell>
          <cell r="I36"/>
          <cell r="J36">
            <v>918</v>
          </cell>
          <cell r="K36"/>
          <cell r="L36">
            <v>0</v>
          </cell>
          <cell r="M36"/>
          <cell r="N36">
            <v>0</v>
          </cell>
          <cell r="O36"/>
          <cell r="P36">
            <v>32</v>
          </cell>
        </row>
        <row r="37">
          <cell r="B37" t="str">
            <v>Office Supplies &amp; Stationery</v>
          </cell>
          <cell r="C37"/>
          <cell r="D37" t="str">
            <v>060</v>
          </cell>
          <cell r="E37">
            <v>2362</v>
          </cell>
          <cell r="F37">
            <v>13938</v>
          </cell>
          <cell r="G37">
            <v>2.745420999023601E-3</v>
          </cell>
          <cell r="H37">
            <v>700</v>
          </cell>
          <cell r="I37"/>
          <cell r="J37">
            <v>4776</v>
          </cell>
          <cell r="K37"/>
          <cell r="L37">
            <v>0</v>
          </cell>
          <cell r="M37"/>
          <cell r="N37">
            <v>0</v>
          </cell>
          <cell r="O37"/>
          <cell r="P37">
            <v>33</v>
          </cell>
        </row>
        <row r="38">
          <cell r="B38" t="str">
            <v>Other Supplies &amp; Tools</v>
          </cell>
          <cell r="C38"/>
          <cell r="D38" t="str">
            <v>061</v>
          </cell>
          <cell r="E38">
            <v>-3864</v>
          </cell>
          <cell r="F38">
            <v>-33371</v>
          </cell>
          <cell r="G38">
            <v>-6.5732130978918488E-3</v>
          </cell>
          <cell r="H38">
            <v>638</v>
          </cell>
          <cell r="I38"/>
          <cell r="J38">
            <v>10624</v>
          </cell>
          <cell r="K38"/>
          <cell r="L38">
            <v>0</v>
          </cell>
          <cell r="M38"/>
          <cell r="N38">
            <v>0</v>
          </cell>
          <cell r="O38"/>
          <cell r="P38">
            <v>34</v>
          </cell>
        </row>
        <row r="39">
          <cell r="B39" t="str">
            <v>Adv. - Serv, Body, P &amp; A</v>
          </cell>
          <cell r="C39"/>
          <cell r="D39" t="str">
            <v>062</v>
          </cell>
          <cell r="E39">
            <v>3887</v>
          </cell>
          <cell r="F39">
            <v>40810</v>
          </cell>
          <cell r="G39">
            <v>8.0385012892920903E-3</v>
          </cell>
          <cell r="H39"/>
          <cell r="I39"/>
          <cell r="J39"/>
          <cell r="K39"/>
          <cell r="L39"/>
          <cell r="M39"/>
          <cell r="N39"/>
          <cell r="O39"/>
          <cell r="P39">
            <v>35</v>
          </cell>
        </row>
        <row r="40">
          <cell r="B40" t="str">
            <v>Bad Debts</v>
          </cell>
          <cell r="C40"/>
          <cell r="D40" t="str">
            <v>063</v>
          </cell>
          <cell r="E40">
            <v>-501</v>
          </cell>
          <cell r="F40">
            <v>0</v>
          </cell>
          <cell r="G40" t="str">
            <v>-</v>
          </cell>
          <cell r="H40">
            <v>-100</v>
          </cell>
          <cell r="I40"/>
          <cell r="J40">
            <v>0</v>
          </cell>
          <cell r="K40"/>
          <cell r="L40">
            <v>0</v>
          </cell>
          <cell r="M40"/>
          <cell r="N40">
            <v>0</v>
          </cell>
          <cell r="O40"/>
          <cell r="P40">
            <v>36</v>
          </cell>
        </row>
        <row r="41">
          <cell r="B41" t="str">
            <v>Contributions</v>
          </cell>
          <cell r="C41"/>
          <cell r="D41" t="str">
            <v>066</v>
          </cell>
          <cell r="E41">
            <v>0</v>
          </cell>
          <cell r="F41">
            <v>5780</v>
          </cell>
          <cell r="G41">
            <v>1.1385086364152973E-3</v>
          </cell>
          <cell r="H41">
            <v>0</v>
          </cell>
          <cell r="I41"/>
          <cell r="J41">
            <v>2023</v>
          </cell>
          <cell r="K41"/>
          <cell r="L41">
            <v>0</v>
          </cell>
          <cell r="M41"/>
          <cell r="N41">
            <v>0</v>
          </cell>
          <cell r="O41"/>
          <cell r="P41">
            <v>37</v>
          </cell>
        </row>
        <row r="42">
          <cell r="B42" t="str">
            <v>Policy Expense - Serv, Body, P &amp; A</v>
          </cell>
          <cell r="C42"/>
          <cell r="D42" t="str">
            <v>067</v>
          </cell>
          <cell r="E42">
            <v>1274</v>
          </cell>
          <cell r="F42">
            <v>33576</v>
          </cell>
          <cell r="G42">
            <v>6.6135927294602107E-3</v>
          </cell>
          <cell r="H42"/>
          <cell r="I42"/>
          <cell r="J42"/>
          <cell r="K42"/>
          <cell r="L42"/>
          <cell r="M42"/>
          <cell r="N42"/>
          <cell r="O42"/>
          <cell r="P42">
            <v>38</v>
          </cell>
        </row>
        <row r="43">
          <cell r="B43" t="str">
            <v>Outside Services</v>
          </cell>
          <cell r="C43"/>
          <cell r="D43" t="str">
            <v>068</v>
          </cell>
          <cell r="E43">
            <v>20473</v>
          </cell>
          <cell r="F43">
            <v>292497</v>
          </cell>
          <cell r="G43">
            <v>5.7614249243177366E-2</v>
          </cell>
          <cell r="H43">
            <v>7499</v>
          </cell>
          <cell r="I43"/>
          <cell r="J43">
            <v>118234</v>
          </cell>
          <cell r="K43"/>
          <cell r="L43">
            <v>0</v>
          </cell>
          <cell r="M43"/>
          <cell r="N43">
            <v>0</v>
          </cell>
          <cell r="O43"/>
          <cell r="P43">
            <v>39</v>
          </cell>
        </row>
        <row r="44">
          <cell r="B44" t="str">
            <v>Laundry &amp; Uniforms</v>
          </cell>
          <cell r="C44"/>
          <cell r="D44" t="str">
            <v>069</v>
          </cell>
          <cell r="E44">
            <v>424</v>
          </cell>
          <cell r="F44">
            <v>4817</v>
          </cell>
          <cell r="G44">
            <v>9.4882285495025717E-4</v>
          </cell>
          <cell r="H44">
            <v>0</v>
          </cell>
          <cell r="I44"/>
          <cell r="J44">
            <v>0</v>
          </cell>
          <cell r="K44"/>
          <cell r="L44">
            <v>0</v>
          </cell>
          <cell r="M44"/>
          <cell r="N44">
            <v>0</v>
          </cell>
          <cell r="O44"/>
          <cell r="P44">
            <v>40</v>
          </cell>
        </row>
        <row r="45">
          <cell r="B45" t="str">
            <v>Travel &amp; Entertainment</v>
          </cell>
          <cell r="C45"/>
          <cell r="D45" t="str">
            <v>070</v>
          </cell>
          <cell r="E45">
            <v>0</v>
          </cell>
          <cell r="F45">
            <v>20</v>
          </cell>
          <cell r="G45">
            <v>3.9394762505719626E-6</v>
          </cell>
          <cell r="H45">
            <v>0</v>
          </cell>
          <cell r="I45"/>
          <cell r="J45">
            <v>7</v>
          </cell>
          <cell r="K45"/>
          <cell r="L45">
            <v>0</v>
          </cell>
          <cell r="M45"/>
          <cell r="N45">
            <v>0</v>
          </cell>
          <cell r="O45"/>
          <cell r="P45">
            <v>41</v>
          </cell>
        </row>
        <row r="46">
          <cell r="B46" t="str">
            <v>Memberships, Dues, Pblcns.</v>
          </cell>
          <cell r="C46"/>
          <cell r="D46" t="str">
            <v>071</v>
          </cell>
          <cell r="E46">
            <v>1460</v>
          </cell>
          <cell r="F46">
            <v>14039</v>
          </cell>
          <cell r="G46">
            <v>2.7653153540889894E-3</v>
          </cell>
          <cell r="H46">
            <v>788</v>
          </cell>
          <cell r="I46"/>
          <cell r="J46">
            <v>4390</v>
          </cell>
          <cell r="K46"/>
          <cell r="L46">
            <v>0</v>
          </cell>
          <cell r="M46"/>
          <cell r="N46">
            <v>0</v>
          </cell>
          <cell r="O46"/>
          <cell r="P46">
            <v>42</v>
          </cell>
        </row>
        <row r="47">
          <cell r="B47" t="str">
            <v>Legal &amp; Auditing</v>
          </cell>
          <cell r="C47"/>
          <cell r="D47" t="str">
            <v>072</v>
          </cell>
          <cell r="E47">
            <v>11613</v>
          </cell>
          <cell r="F47">
            <v>56440</v>
          </cell>
          <cell r="G47">
            <v>1.1117201979114078E-2</v>
          </cell>
          <cell r="H47">
            <v>3953</v>
          </cell>
          <cell r="I47"/>
          <cell r="J47">
            <v>19642</v>
          </cell>
          <cell r="K47"/>
          <cell r="L47">
            <v>0</v>
          </cell>
          <cell r="M47"/>
          <cell r="N47">
            <v>0</v>
          </cell>
          <cell r="O47"/>
          <cell r="P47">
            <v>43</v>
          </cell>
        </row>
        <row r="48">
          <cell r="B48" t="str">
            <v>Telephone</v>
          </cell>
          <cell r="C48"/>
          <cell r="D48" t="str">
            <v>074</v>
          </cell>
          <cell r="E48">
            <v>1087</v>
          </cell>
          <cell r="F48">
            <v>17956</v>
          </cell>
          <cell r="G48">
            <v>3.5368617777635082E-3</v>
          </cell>
          <cell r="H48">
            <v>379</v>
          </cell>
          <cell r="I48"/>
          <cell r="J48">
            <v>6128</v>
          </cell>
          <cell r="K48"/>
          <cell r="L48">
            <v>0</v>
          </cell>
          <cell r="M48"/>
          <cell r="N48">
            <v>0</v>
          </cell>
          <cell r="O48"/>
          <cell r="P48">
            <v>44</v>
          </cell>
        </row>
        <row r="49">
          <cell r="B49" t="str">
            <v>Postage/Express Mail/Freight</v>
          </cell>
          <cell r="C49"/>
          <cell r="D49" t="str">
            <v>075</v>
          </cell>
          <cell r="E49">
            <v>2960</v>
          </cell>
          <cell r="F49">
            <v>40482</v>
          </cell>
          <cell r="G49">
            <v>7.9738938787827091E-3</v>
          </cell>
          <cell r="H49">
            <v>1276</v>
          </cell>
          <cell r="I49"/>
          <cell r="J49">
            <v>17630</v>
          </cell>
          <cell r="K49"/>
          <cell r="L49">
            <v>0</v>
          </cell>
          <cell r="M49"/>
          <cell r="N49">
            <v>0</v>
          </cell>
          <cell r="O49"/>
          <cell r="P49">
            <v>45</v>
          </cell>
        </row>
        <row r="50">
          <cell r="B50" t="str">
            <v>Training</v>
          </cell>
          <cell r="C50"/>
          <cell r="D50" t="str">
            <v>076</v>
          </cell>
          <cell r="E50">
            <v>6430</v>
          </cell>
          <cell r="F50">
            <v>81095</v>
          </cell>
          <cell r="G50">
            <v>1.5973591327006667E-2</v>
          </cell>
          <cell r="H50">
            <v>471</v>
          </cell>
          <cell r="I50"/>
          <cell r="J50">
            <v>23904</v>
          </cell>
          <cell r="K50"/>
          <cell r="L50">
            <v>0</v>
          </cell>
          <cell r="M50"/>
          <cell r="N50">
            <v>0</v>
          </cell>
          <cell r="O50"/>
          <cell r="P50">
            <v>46</v>
          </cell>
        </row>
        <row r="51">
          <cell r="B51" t="str">
            <v>Data Processing Services</v>
          </cell>
          <cell r="C51"/>
          <cell r="D51" t="str">
            <v>078</v>
          </cell>
          <cell r="E51">
            <v>15326</v>
          </cell>
          <cell r="F51">
            <v>189299</v>
          </cell>
          <cell r="G51">
            <v>3.7286945737851102E-2</v>
          </cell>
          <cell r="H51">
            <v>3834</v>
          </cell>
          <cell r="I51"/>
          <cell r="J51">
            <v>57455</v>
          </cell>
          <cell r="K51"/>
          <cell r="L51">
            <v>0</v>
          </cell>
          <cell r="M51"/>
          <cell r="N51">
            <v>0</v>
          </cell>
          <cell r="O51"/>
          <cell r="P51">
            <v>47</v>
          </cell>
        </row>
        <row r="52">
          <cell r="B52" t="str">
            <v>Miscellaneous</v>
          </cell>
          <cell r="C52"/>
          <cell r="D52" t="str">
            <v>079</v>
          </cell>
          <cell r="E52">
            <v>0</v>
          </cell>
          <cell r="F52">
            <v>0</v>
          </cell>
          <cell r="G52" t="str">
            <v>-</v>
          </cell>
          <cell r="H52">
            <v>0</v>
          </cell>
          <cell r="I52"/>
          <cell r="J52">
            <v>0</v>
          </cell>
          <cell r="K52"/>
          <cell r="L52">
            <v>0</v>
          </cell>
          <cell r="M52"/>
          <cell r="N52">
            <v>0</v>
          </cell>
          <cell r="O52"/>
          <cell r="P52">
            <v>48</v>
          </cell>
        </row>
        <row r="53">
          <cell r="B53" t="str">
            <v>TOTAL SEMI-FIXED EXPENSE                     (LINES 32 TO 48)</v>
          </cell>
          <cell r="C53"/>
          <cell r="D53"/>
          <cell r="E53">
            <v>63386</v>
          </cell>
          <cell r="F53">
            <v>765871</v>
          </cell>
          <cell r="G53">
            <v>0.15085653077508998</v>
          </cell>
          <cell r="H53">
            <v>19485</v>
          </cell>
          <cell r="I53"/>
          <cell r="J53">
            <v>265731</v>
          </cell>
          <cell r="K53"/>
          <cell r="L53">
            <v>0</v>
          </cell>
          <cell r="M53"/>
          <cell r="N53">
            <v>0</v>
          </cell>
          <cell r="O53"/>
          <cell r="P53">
            <v>49</v>
          </cell>
        </row>
        <row r="54">
          <cell r="B54" t="str">
            <v>Rent</v>
          </cell>
          <cell r="C54"/>
          <cell r="D54" t="str">
            <v>080</v>
          </cell>
          <cell r="E54">
            <v>49391</v>
          </cell>
          <cell r="F54">
            <v>549443</v>
          </cell>
          <cell r="G54">
            <v>0.10822588247715055</v>
          </cell>
          <cell r="H54">
            <v>17259</v>
          </cell>
          <cell r="I54"/>
          <cell r="J54">
            <v>192277</v>
          </cell>
          <cell r="K54"/>
          <cell r="L54">
            <v>0</v>
          </cell>
          <cell r="M54"/>
          <cell r="N54">
            <v>0</v>
          </cell>
          <cell r="O54"/>
          <cell r="P54">
            <v>50</v>
          </cell>
        </row>
        <row r="55">
          <cell r="B55" t="str">
            <v>Amortization - Leaseholds</v>
          </cell>
          <cell r="C55"/>
          <cell r="D55" t="str">
            <v>081</v>
          </cell>
          <cell r="E55">
            <v>0</v>
          </cell>
          <cell r="F55">
            <v>0</v>
          </cell>
          <cell r="G55" t="str">
            <v>-</v>
          </cell>
          <cell r="H55">
            <v>0</v>
          </cell>
          <cell r="I55"/>
          <cell r="J55">
            <v>0</v>
          </cell>
          <cell r="K55"/>
          <cell r="L55">
            <v>0</v>
          </cell>
          <cell r="M55"/>
          <cell r="N55">
            <v>0</v>
          </cell>
          <cell r="O55"/>
          <cell r="P55">
            <v>51</v>
          </cell>
        </row>
        <row r="56">
          <cell r="B56" t="str">
            <v>Repairs &amp; Maint - Real Estate</v>
          </cell>
          <cell r="C56"/>
          <cell r="D56" t="str">
            <v>082</v>
          </cell>
          <cell r="E56">
            <v>389</v>
          </cell>
          <cell r="F56">
            <v>621</v>
          </cell>
          <cell r="G56">
            <v>1.2232073758025944E-4</v>
          </cell>
          <cell r="H56">
            <v>137</v>
          </cell>
          <cell r="I56"/>
          <cell r="J56">
            <v>218</v>
          </cell>
          <cell r="K56"/>
          <cell r="L56">
            <v>0</v>
          </cell>
          <cell r="M56"/>
          <cell r="N56">
            <v>0</v>
          </cell>
          <cell r="O56"/>
          <cell r="P56">
            <v>52</v>
          </cell>
        </row>
        <row r="57">
          <cell r="B57" t="str">
            <v>Depreciation - Bldg &amp; Imps</v>
          </cell>
          <cell r="C57"/>
          <cell r="D57" t="str">
            <v>083</v>
          </cell>
          <cell r="E57">
            <v>0</v>
          </cell>
          <cell r="F57">
            <v>0</v>
          </cell>
          <cell r="G57" t="str">
            <v>-</v>
          </cell>
          <cell r="H57">
            <v>0</v>
          </cell>
          <cell r="I57"/>
          <cell r="J57">
            <v>0</v>
          </cell>
          <cell r="K57"/>
          <cell r="L57">
            <v>0</v>
          </cell>
          <cell r="M57"/>
          <cell r="N57">
            <v>0</v>
          </cell>
          <cell r="O57"/>
          <cell r="P57">
            <v>53</v>
          </cell>
        </row>
        <row r="58">
          <cell r="B58" t="str">
            <v>Taxes - Real Estate</v>
          </cell>
          <cell r="C58"/>
          <cell r="D58" t="str">
            <v>084</v>
          </cell>
          <cell r="E58">
            <v>253</v>
          </cell>
          <cell r="F58">
            <v>18226</v>
          </cell>
          <cell r="G58">
            <v>3.5900447071462297E-3</v>
          </cell>
          <cell r="H58">
            <v>88</v>
          </cell>
          <cell r="I58"/>
          <cell r="J58">
            <v>6379</v>
          </cell>
          <cell r="K58"/>
          <cell r="L58">
            <v>0</v>
          </cell>
          <cell r="M58"/>
          <cell r="N58">
            <v>0</v>
          </cell>
          <cell r="O58"/>
          <cell r="P58">
            <v>54</v>
          </cell>
        </row>
        <row r="59">
          <cell r="B59" t="str">
            <v>Insurance - Bldgs &amp; Imps</v>
          </cell>
          <cell r="C59"/>
          <cell r="D59" t="str">
            <v>085</v>
          </cell>
          <cell r="E59">
            <v>0</v>
          </cell>
          <cell r="F59">
            <v>0</v>
          </cell>
          <cell r="G59" t="str">
            <v>-</v>
          </cell>
          <cell r="H59">
            <v>0</v>
          </cell>
          <cell r="I59"/>
          <cell r="J59">
            <v>0</v>
          </cell>
          <cell r="K59"/>
          <cell r="L59">
            <v>0</v>
          </cell>
          <cell r="M59"/>
          <cell r="N59">
            <v>0</v>
          </cell>
          <cell r="O59"/>
          <cell r="P59">
            <v>55</v>
          </cell>
        </row>
        <row r="60">
          <cell r="B60" t="str">
            <v>Mortgage Interest</v>
          </cell>
          <cell r="C60"/>
          <cell r="D60" t="str">
            <v>086</v>
          </cell>
          <cell r="E60">
            <v>0</v>
          </cell>
          <cell r="F60">
            <v>0</v>
          </cell>
          <cell r="G60" t="str">
            <v>-</v>
          </cell>
          <cell r="H60">
            <v>0</v>
          </cell>
          <cell r="I60"/>
          <cell r="J60">
            <v>0</v>
          </cell>
          <cell r="K60"/>
          <cell r="L60">
            <v>0</v>
          </cell>
          <cell r="M60"/>
          <cell r="N60">
            <v>0</v>
          </cell>
          <cell r="O60"/>
          <cell r="P60">
            <v>56</v>
          </cell>
        </row>
        <row r="61">
          <cell r="B61" t="str">
            <v>Utilities</v>
          </cell>
          <cell r="C61"/>
          <cell r="D61" t="str">
            <v>087</v>
          </cell>
          <cell r="E61">
            <v>3347</v>
          </cell>
          <cell r="F61">
            <v>63814</v>
          </cell>
          <cell r="G61">
            <v>1.2569686872699961E-2</v>
          </cell>
          <cell r="H61">
            <v>1172</v>
          </cell>
          <cell r="I61"/>
          <cell r="J61">
            <v>22335</v>
          </cell>
          <cell r="K61"/>
          <cell r="L61">
            <v>0</v>
          </cell>
          <cell r="M61"/>
          <cell r="N61">
            <v>0</v>
          </cell>
          <cell r="O61"/>
          <cell r="P61">
            <v>57</v>
          </cell>
        </row>
        <row r="62">
          <cell r="B62" t="str">
            <v>RENT &amp; RENT EQUIVALENT                        (LINES 50 TO 57)</v>
          </cell>
          <cell r="C62"/>
          <cell r="D62"/>
          <cell r="E62">
            <v>53380</v>
          </cell>
          <cell r="F62">
            <v>632104</v>
          </cell>
          <cell r="G62">
            <v>0.124507934794577</v>
          </cell>
          <cell r="H62">
            <v>18656</v>
          </cell>
          <cell r="I62"/>
          <cell r="J62">
            <v>221209</v>
          </cell>
          <cell r="K62"/>
          <cell r="L62">
            <v>0</v>
          </cell>
          <cell r="M62"/>
          <cell r="N62">
            <v>0</v>
          </cell>
          <cell r="O62"/>
          <cell r="P62">
            <v>58</v>
          </cell>
        </row>
        <row r="63">
          <cell r="B63" t="str">
            <v>Insurance - Other</v>
          </cell>
          <cell r="C63"/>
          <cell r="D63" t="str">
            <v>088</v>
          </cell>
          <cell r="E63">
            <v>6993</v>
          </cell>
          <cell r="F63">
            <v>81089</v>
          </cell>
          <cell r="G63">
            <v>1.5972409484131495E-2</v>
          </cell>
          <cell r="H63">
            <v>2847</v>
          </cell>
          <cell r="I63"/>
          <cell r="J63">
            <v>30836</v>
          </cell>
          <cell r="K63"/>
          <cell r="L63">
            <v>0</v>
          </cell>
          <cell r="M63"/>
          <cell r="N63">
            <v>0</v>
          </cell>
          <cell r="O63"/>
          <cell r="P63">
            <v>59</v>
          </cell>
        </row>
        <row r="64">
          <cell r="B64" t="str">
            <v>Taxes - Other</v>
          </cell>
          <cell r="C64"/>
          <cell r="D64" t="str">
            <v>089</v>
          </cell>
          <cell r="E64">
            <v>8406</v>
          </cell>
          <cell r="F64">
            <v>49047</v>
          </cell>
          <cell r="G64">
            <v>9.6609745830901535E-3</v>
          </cell>
          <cell r="H64">
            <v>2951</v>
          </cell>
          <cell r="I64"/>
          <cell r="J64">
            <v>17165</v>
          </cell>
          <cell r="K64"/>
          <cell r="L64">
            <v>0</v>
          </cell>
          <cell r="M64"/>
          <cell r="N64">
            <v>0</v>
          </cell>
          <cell r="O64"/>
          <cell r="P64">
            <v>60</v>
          </cell>
        </row>
        <row r="65">
          <cell r="B65" t="str">
            <v>Other Interest</v>
          </cell>
          <cell r="C65"/>
          <cell r="D65" t="str">
            <v>090</v>
          </cell>
          <cell r="E65">
            <v>6258</v>
          </cell>
          <cell r="F65">
            <v>90472</v>
          </cell>
          <cell r="G65">
            <v>1.782061476708733E-2</v>
          </cell>
          <cell r="H65">
            <v>2190</v>
          </cell>
          <cell r="I65"/>
          <cell r="J65">
            <v>31665</v>
          </cell>
          <cell r="K65"/>
          <cell r="L65">
            <v>0</v>
          </cell>
          <cell r="M65"/>
          <cell r="N65">
            <v>0</v>
          </cell>
          <cell r="O65"/>
          <cell r="P65">
            <v>61</v>
          </cell>
        </row>
        <row r="66">
          <cell r="B66" t="str">
            <v>Depreciation - Other</v>
          </cell>
          <cell r="C66"/>
          <cell r="D66" t="str">
            <v>091</v>
          </cell>
          <cell r="E66">
            <v>4370</v>
          </cell>
          <cell r="F66">
            <v>49495</v>
          </cell>
          <cell r="G66">
            <v>9.7492188511029646E-3</v>
          </cell>
          <cell r="H66">
            <v>489</v>
          </cell>
          <cell r="I66"/>
          <cell r="J66">
            <v>5689</v>
          </cell>
          <cell r="K66"/>
          <cell r="L66">
            <v>0</v>
          </cell>
          <cell r="M66"/>
          <cell r="N66">
            <v>0</v>
          </cell>
          <cell r="O66"/>
          <cell r="P66">
            <v>62</v>
          </cell>
        </row>
        <row r="67">
          <cell r="B67" t="str">
            <v>Equipment Repairs &amp; Rentals</v>
          </cell>
          <cell r="C67"/>
          <cell r="D67" t="str">
            <v>092</v>
          </cell>
          <cell r="E67">
            <v>4816</v>
          </cell>
          <cell r="F67">
            <v>43448</v>
          </cell>
          <cell r="G67">
            <v>8.5581182067425311E-3</v>
          </cell>
          <cell r="H67">
            <v>1327</v>
          </cell>
          <cell r="I67"/>
          <cell r="J67">
            <v>9841</v>
          </cell>
          <cell r="K67"/>
          <cell r="L67">
            <v>0</v>
          </cell>
          <cell r="M67"/>
          <cell r="N67">
            <v>0</v>
          </cell>
          <cell r="O67"/>
          <cell r="P67">
            <v>63</v>
          </cell>
        </row>
        <row r="68">
          <cell r="B68" t="str">
            <v>TOTAL FIXED EXPENSE                             (LINES 58 TO 63)</v>
          </cell>
          <cell r="C68"/>
          <cell r="D68"/>
          <cell r="E68">
            <v>84223</v>
          </cell>
          <cell r="F68">
            <v>945655</v>
          </cell>
          <cell r="G68">
            <v>0.18626927068673146</v>
          </cell>
          <cell r="H68">
            <v>28460</v>
          </cell>
          <cell r="I68"/>
          <cell r="J68">
            <v>316405</v>
          </cell>
          <cell r="K68"/>
          <cell r="L68">
            <v>0</v>
          </cell>
          <cell r="M68"/>
          <cell r="N68">
            <v>0</v>
          </cell>
          <cell r="O68"/>
          <cell r="P68">
            <v>64</v>
          </cell>
        </row>
        <row r="69">
          <cell r="B69" t="str">
            <v>TOTAL FIXED OVERHEAD                    (LINES 31, 49 &amp; 64)</v>
          </cell>
          <cell r="C69"/>
          <cell r="D69"/>
          <cell r="E69">
            <v>327856</v>
          </cell>
          <cell r="F69">
            <v>3624809</v>
          </cell>
          <cell r="G69">
            <v>0.71399244841797527</v>
          </cell>
          <cell r="H69">
            <v>100458</v>
          </cell>
          <cell r="I69"/>
          <cell r="J69">
            <v>1130007</v>
          </cell>
          <cell r="K69"/>
          <cell r="L69">
            <v>0</v>
          </cell>
          <cell r="M69"/>
          <cell r="N69">
            <v>0</v>
          </cell>
          <cell r="O69"/>
          <cell r="P69">
            <v>65</v>
          </cell>
        </row>
        <row r="70">
          <cell r="B70" t="str">
            <v>TOTAL EXPENSES                                       (LINES 23 &amp; 65)</v>
          </cell>
          <cell r="C70"/>
          <cell r="D70"/>
          <cell r="E70">
            <v>432676</v>
          </cell>
          <cell r="F70">
            <v>4697171</v>
          </cell>
          <cell r="G70">
            <v>0.92521967996876786</v>
          </cell>
          <cell r="H70">
            <v>154264</v>
          </cell>
          <cell r="I70"/>
          <cell r="J70">
            <v>1636995</v>
          </cell>
          <cell r="K70"/>
          <cell r="L70">
            <v>0</v>
          </cell>
          <cell r="M70"/>
          <cell r="N70">
            <v>0</v>
          </cell>
          <cell r="O70"/>
          <cell r="P70">
            <v>66</v>
          </cell>
        </row>
        <row r="71">
          <cell r="B71" t="str">
            <v>OPERATING PROFIT (LOSS)                  (LINE 13 MINUS 66)</v>
          </cell>
          <cell r="C71"/>
          <cell r="D71"/>
          <cell r="E71">
            <v>15666</v>
          </cell>
          <cell r="F71">
            <v>379646</v>
          </cell>
          <cell r="G71">
            <v>7.4780320031232167E-2</v>
          </cell>
          <cell r="H71">
            <v>18822</v>
          </cell>
          <cell r="I71"/>
          <cell r="J71">
            <v>176587</v>
          </cell>
          <cell r="K71"/>
          <cell r="L71">
            <v>0</v>
          </cell>
          <cell r="M71"/>
          <cell r="N71">
            <v>0</v>
          </cell>
          <cell r="O71"/>
          <cell r="P71">
            <v>67</v>
          </cell>
        </row>
        <row r="72">
          <cell r="B72" t="str">
            <v>NET ADDITIONS &amp; DEDUCTIONS</v>
          </cell>
          <cell r="C72"/>
          <cell r="D72"/>
          <cell r="E72">
            <v>63679</v>
          </cell>
          <cell r="F72">
            <v>730132</v>
          </cell>
          <cell r="G72"/>
          <cell r="H72"/>
          <cell r="I72"/>
          <cell r="J72"/>
          <cell r="K72"/>
          <cell r="L72"/>
          <cell r="M72"/>
          <cell r="N72"/>
          <cell r="O72"/>
          <cell r="P72">
            <v>68</v>
          </cell>
        </row>
        <row r="73">
          <cell r="B73" t="str">
            <v>NET PROFIT (LOSS) BEFORE
BONUSES OR INCOME TAX                         (LINES 67 &amp; 68)</v>
          </cell>
          <cell r="C73"/>
          <cell r="D73"/>
          <cell r="E73">
            <v>79345</v>
          </cell>
          <cell r="F73">
            <v>1109778</v>
          </cell>
          <cell r="G73" t="str">
            <v>PERSONNEL SUMMARY</v>
          </cell>
          <cell r="H73"/>
          <cell r="I73"/>
          <cell r="J73"/>
          <cell r="K73"/>
          <cell r="L73"/>
          <cell r="M73"/>
          <cell r="N73"/>
          <cell r="O73"/>
          <cell r="P73">
            <v>69</v>
          </cell>
        </row>
        <row r="74">
          <cell r="B74"/>
          <cell r="C74"/>
          <cell r="D74"/>
          <cell r="E74"/>
          <cell r="F74"/>
          <cell r="G74" t="str">
            <v>POSITION</v>
          </cell>
          <cell r="H74"/>
          <cell r="I74" t="str">
            <v>A</v>
          </cell>
          <cell r="J74" t="str">
            <v>B</v>
          </cell>
          <cell r="K74" t="str">
            <v>C</v>
          </cell>
          <cell r="L74" t="str">
            <v>D</v>
          </cell>
          <cell r="M74" t="str">
            <v>E</v>
          </cell>
          <cell r="N74" t="str">
            <v>F</v>
          </cell>
          <cell r="O74" t="str">
            <v>TOTAL</v>
          </cell>
          <cell r="P74">
            <v>70</v>
          </cell>
        </row>
        <row r="75">
          <cell r="B75" t="str">
            <v>Bonuses - Employees</v>
          </cell>
          <cell r="C75"/>
          <cell r="D75" t="str">
            <v>096</v>
          </cell>
          <cell r="E75">
            <v>18321</v>
          </cell>
          <cell r="F75">
            <v>234779</v>
          </cell>
          <cell r="G75" t="str">
            <v>Owners</v>
          </cell>
          <cell r="H75"/>
          <cell r="I75">
            <v>0</v>
          </cell>
          <cell r="J75">
            <v>0</v>
          </cell>
          <cell r="K75">
            <v>0</v>
          </cell>
          <cell r="L75">
            <v>0</v>
          </cell>
          <cell r="M75">
            <v>0</v>
          </cell>
          <cell r="N75">
            <v>0</v>
          </cell>
          <cell r="O75">
            <v>0</v>
          </cell>
          <cell r="P75">
            <v>71</v>
          </cell>
        </row>
        <row r="76">
          <cell r="B76" t="str">
            <v>Bonuses - Owners</v>
          </cell>
          <cell r="C76"/>
          <cell r="D76" t="str">
            <v>097</v>
          </cell>
          <cell r="E76">
            <v>0</v>
          </cell>
          <cell r="F76">
            <v>0</v>
          </cell>
          <cell r="G76" t="str">
            <v>Supervisors</v>
          </cell>
          <cell r="H76"/>
          <cell r="I76">
            <v>5</v>
          </cell>
          <cell r="J76">
            <v>0</v>
          </cell>
          <cell r="K76">
            <v>2</v>
          </cell>
          <cell r="L76">
            <v>2</v>
          </cell>
          <cell r="M76">
            <v>0</v>
          </cell>
          <cell r="N76">
            <v>1</v>
          </cell>
          <cell r="O76">
            <v>10</v>
          </cell>
          <cell r="P76">
            <v>72</v>
          </cell>
        </row>
        <row r="77">
          <cell r="B77" t="str">
            <v>NET PROFIT (LOSS)
BEFORE INCOME TAX                                 (LINES 70 to 72)</v>
          </cell>
          <cell r="C77"/>
          <cell r="D77"/>
          <cell r="E77">
            <v>61024</v>
          </cell>
          <cell r="F77">
            <v>874999</v>
          </cell>
          <cell r="G77" t="str">
            <v>Salespeople / Pts Ctr / Srv Adv</v>
          </cell>
          <cell r="H77"/>
          <cell r="I77">
            <v>7.75</v>
          </cell>
          <cell r="J77">
            <v>0</v>
          </cell>
          <cell r="K77">
            <v>7.75</v>
          </cell>
          <cell r="L77">
            <v>4</v>
          </cell>
          <cell r="M77">
            <v>0</v>
          </cell>
          <cell r="N77">
            <v>2</v>
          </cell>
          <cell r="O77">
            <v>21.5</v>
          </cell>
          <cell r="P77">
            <v>73</v>
          </cell>
        </row>
        <row r="78">
          <cell r="B78"/>
          <cell r="C78"/>
          <cell r="D78"/>
          <cell r="E78"/>
          <cell r="F78"/>
          <cell r="G78" t="str">
            <v>Technicians</v>
          </cell>
          <cell r="H78"/>
          <cell r="I78"/>
          <cell r="J78"/>
          <cell r="K78"/>
          <cell r="L78">
            <v>8</v>
          </cell>
          <cell r="M78">
            <v>0</v>
          </cell>
          <cell r="N78"/>
          <cell r="O78">
            <v>8</v>
          </cell>
          <cell r="P78">
            <v>74</v>
          </cell>
        </row>
        <row r="79">
          <cell r="B79"/>
          <cell r="C79"/>
          <cell r="D79"/>
          <cell r="E79"/>
          <cell r="F79"/>
          <cell r="G79" t="str">
            <v>Clerical</v>
          </cell>
          <cell r="H79"/>
          <cell r="I79">
            <v>1.5</v>
          </cell>
          <cell r="J79">
            <v>0</v>
          </cell>
          <cell r="K79">
            <v>1.5</v>
          </cell>
          <cell r="L79">
            <v>1.25</v>
          </cell>
          <cell r="M79">
            <v>0</v>
          </cell>
          <cell r="N79">
            <v>0.25</v>
          </cell>
          <cell r="O79">
            <v>4.5</v>
          </cell>
          <cell r="P79">
            <v>75</v>
          </cell>
        </row>
        <row r="80">
          <cell r="B80"/>
          <cell r="C80"/>
          <cell r="D80"/>
          <cell r="E80"/>
          <cell r="F80"/>
          <cell r="G80" t="str">
            <v>Other</v>
          </cell>
          <cell r="H80"/>
          <cell r="I80">
            <v>2.25</v>
          </cell>
          <cell r="J80">
            <v>0</v>
          </cell>
          <cell r="K80">
            <v>8.75</v>
          </cell>
          <cell r="L80">
            <v>1</v>
          </cell>
          <cell r="M80">
            <v>0</v>
          </cell>
          <cell r="N80">
            <v>1</v>
          </cell>
          <cell r="O80">
            <v>13</v>
          </cell>
          <cell r="P80">
            <v>76</v>
          </cell>
        </row>
        <row r="81">
          <cell r="B81"/>
          <cell r="C81"/>
          <cell r="D81"/>
          <cell r="E81"/>
          <cell r="F81"/>
          <cell r="G81" t="str">
            <v>TOTAL</v>
          </cell>
          <cell r="H81"/>
          <cell r="I81">
            <v>16.5</v>
          </cell>
          <cell r="J81">
            <v>0</v>
          </cell>
          <cell r="K81">
            <v>20</v>
          </cell>
          <cell r="L81">
            <v>16.25</v>
          </cell>
          <cell r="M81">
            <v>0</v>
          </cell>
          <cell r="N81">
            <v>4.25</v>
          </cell>
          <cell r="O81">
            <v>57</v>
          </cell>
          <cell r="P81">
            <v>77</v>
          </cell>
        </row>
        <row r="82">
          <cell r="B82"/>
          <cell r="C82"/>
          <cell r="D82"/>
          <cell r="E82"/>
          <cell r="F82"/>
          <cell r="G82" t="str">
            <v>Hired Y.T.D.</v>
          </cell>
          <cell r="H82"/>
          <cell r="I82">
            <v>0</v>
          </cell>
          <cell r="J82">
            <v>0</v>
          </cell>
          <cell r="K82">
            <v>0</v>
          </cell>
          <cell r="L82">
            <v>0</v>
          </cell>
          <cell r="M82">
            <v>0</v>
          </cell>
          <cell r="N82">
            <v>0</v>
          </cell>
          <cell r="O82">
            <v>0</v>
          </cell>
          <cell r="P82">
            <v>78</v>
          </cell>
        </row>
        <row r="83">
          <cell r="B83"/>
          <cell r="C83"/>
          <cell r="D83"/>
          <cell r="E83"/>
          <cell r="F83"/>
          <cell r="G83" t="str">
            <v>Term Y.T.D.</v>
          </cell>
          <cell r="H83"/>
          <cell r="I83">
            <v>0</v>
          </cell>
          <cell r="J83">
            <v>0</v>
          </cell>
          <cell r="K83">
            <v>0</v>
          </cell>
          <cell r="L83">
            <v>0</v>
          </cell>
          <cell r="M83">
            <v>0</v>
          </cell>
          <cell r="N83">
            <v>0</v>
          </cell>
          <cell r="O83">
            <v>0</v>
          </cell>
          <cell r="P83">
            <v>79</v>
          </cell>
        </row>
        <row r="84">
          <cell r="B84"/>
          <cell r="C84"/>
          <cell r="D84"/>
          <cell r="E84"/>
          <cell r="F84"/>
          <cell r="G84"/>
          <cell r="H84"/>
          <cell r="I84"/>
          <cell r="J84"/>
          <cell r="K84"/>
          <cell r="L84"/>
          <cell r="M84"/>
          <cell r="N84" t="str">
            <v>Ver</v>
          </cell>
          <cell r="O84" t="str">
            <v>1.2-5</v>
          </cell>
          <cell r="P84"/>
        </row>
      </sheetData>
      <sheetData sheetId="2" refreshError="1">
        <row r="1">
          <cell r="B1"/>
          <cell r="C1"/>
          <cell r="D1" t="str">
            <v>Dealer</v>
          </cell>
          <cell r="E1"/>
          <cell r="F1"/>
          <cell r="G1" t="str">
            <v>HUDSON MORRISTOWN ACQUISITION</v>
          </cell>
          <cell r="H1"/>
          <cell r="I1"/>
          <cell r="J1"/>
          <cell r="K1"/>
          <cell r="L1"/>
          <cell r="M1"/>
          <cell r="N1" t="str">
            <v>DEALER NO</v>
          </cell>
          <cell r="O1"/>
          <cell r="P1"/>
          <cell r="Q1">
            <v>208628</v>
          </cell>
          <cell r="R1"/>
          <cell r="S1"/>
          <cell r="T1"/>
          <cell r="U1" t="str">
            <v>THRU</v>
          </cell>
          <cell r="V1"/>
          <cell r="W1">
            <v>42735</v>
          </cell>
          <cell r="X1"/>
        </row>
        <row r="2">
          <cell r="B2" t="str">
            <v>NAME OF ACCOUNT</v>
          </cell>
          <cell r="C2"/>
          <cell r="D2"/>
          <cell r="E2"/>
          <cell r="F2"/>
          <cell r="G2"/>
          <cell r="H2" t="str">
            <v>ACCT NO</v>
          </cell>
          <cell r="I2" t="str">
            <v>C   Used Vehicle Dept.</v>
          </cell>
          <cell r="J2"/>
          <cell r="K2"/>
          <cell r="L2"/>
          <cell r="M2" t="str">
            <v>D      Service Dept.</v>
          </cell>
          <cell r="N2"/>
          <cell r="O2"/>
          <cell r="P2"/>
          <cell r="Q2" t="str">
            <v>E    Body Shop Dept.</v>
          </cell>
          <cell r="R2"/>
          <cell r="S2"/>
          <cell r="T2"/>
          <cell r="U2" t="str">
            <v>F       P &amp; A Dept.</v>
          </cell>
          <cell r="V2"/>
          <cell r="W2"/>
          <cell r="X2"/>
        </row>
        <row r="3">
          <cell r="B3" t="str">
            <v>NAME OF ACCOUNT</v>
          </cell>
          <cell r="C3"/>
          <cell r="D3"/>
          <cell r="E3"/>
          <cell r="F3"/>
          <cell r="G3"/>
          <cell r="H3" t="str">
            <v>ACCT NO</v>
          </cell>
          <cell r="I3" t="str">
            <v>C   Used Vehicle Dept.</v>
          </cell>
          <cell r="J3"/>
          <cell r="K3"/>
          <cell r="L3"/>
          <cell r="M3" t="str">
            <v>D      Service Dept.</v>
          </cell>
          <cell r="N3"/>
          <cell r="O3"/>
          <cell r="P3"/>
          <cell r="Q3" t="str">
            <v>E    Body Shop Dept.</v>
          </cell>
          <cell r="R3"/>
          <cell r="S3"/>
          <cell r="T3"/>
          <cell r="U3" t="str">
            <v>F       P &amp; A Dept.</v>
          </cell>
          <cell r="V3"/>
          <cell r="W3"/>
          <cell r="X3"/>
        </row>
        <row r="4">
          <cell r="B4" t="str">
            <v>NAME OF ACCOUNT</v>
          </cell>
          <cell r="C4"/>
          <cell r="D4"/>
          <cell r="E4"/>
          <cell r="F4"/>
          <cell r="G4"/>
          <cell r="H4" t="str">
            <v>ACCT NO</v>
          </cell>
          <cell r="I4" t="str">
            <v>MONTH</v>
          </cell>
          <cell r="J4"/>
          <cell r="K4" t="str">
            <v xml:space="preserve"> YEAR TO DATE</v>
          </cell>
          <cell r="L4"/>
          <cell r="M4" t="str">
            <v>MONTH</v>
          </cell>
          <cell r="N4"/>
          <cell r="O4" t="str">
            <v>YEAR TO DATE</v>
          </cell>
          <cell r="P4"/>
          <cell r="Q4" t="str">
            <v>MONTH</v>
          </cell>
          <cell r="R4"/>
          <cell r="S4" t="str">
            <v>YEAR TO DATE</v>
          </cell>
          <cell r="T4"/>
          <cell r="U4" t="str">
            <v>MONTH</v>
          </cell>
          <cell r="V4"/>
          <cell r="W4" t="str">
            <v>YEAR TO DATE</v>
          </cell>
          <cell r="X4"/>
        </row>
        <row r="5">
          <cell r="B5" t="str">
            <v>SALES</v>
          </cell>
          <cell r="C5"/>
          <cell r="D5"/>
          <cell r="E5"/>
          <cell r="F5"/>
          <cell r="G5"/>
          <cell r="H5"/>
          <cell r="I5">
            <v>1167700</v>
          </cell>
          <cell r="J5"/>
          <cell r="K5">
            <v>14000441</v>
          </cell>
          <cell r="L5"/>
          <cell r="M5">
            <v>133294</v>
          </cell>
          <cell r="N5"/>
          <cell r="O5">
            <v>1960428</v>
          </cell>
          <cell r="P5"/>
          <cell r="Q5">
            <v>0</v>
          </cell>
          <cell r="R5"/>
          <cell r="S5">
            <v>0</v>
          </cell>
          <cell r="T5"/>
          <cell r="U5">
            <v>150948</v>
          </cell>
          <cell r="V5"/>
          <cell r="W5">
            <v>1780804</v>
          </cell>
          <cell r="X5"/>
        </row>
        <row r="6">
          <cell r="B6" t="str">
            <v>GROSS</v>
          </cell>
          <cell r="C6"/>
          <cell r="D6"/>
          <cell r="E6"/>
          <cell r="F6"/>
          <cell r="G6"/>
          <cell r="H6"/>
          <cell r="I6">
            <v>71329</v>
          </cell>
          <cell r="J6"/>
          <cell r="K6">
            <v>865279</v>
          </cell>
          <cell r="L6"/>
          <cell r="M6">
            <v>97560</v>
          </cell>
          <cell r="N6"/>
          <cell r="O6">
            <v>1157654</v>
          </cell>
          <cell r="P6"/>
          <cell r="Q6">
            <v>0</v>
          </cell>
          <cell r="R6"/>
          <cell r="S6">
            <v>0</v>
          </cell>
          <cell r="T6"/>
          <cell r="U6">
            <v>47086</v>
          </cell>
          <cell r="V6"/>
          <cell r="W6">
            <v>525806</v>
          </cell>
          <cell r="X6"/>
        </row>
        <row r="7">
          <cell r="B7" t="str">
            <v>OTHER VARIABLE INCOME &amp; DEDUCTIONS</v>
          </cell>
          <cell r="C7"/>
          <cell r="D7"/>
          <cell r="E7"/>
          <cell r="F7"/>
          <cell r="G7"/>
          <cell r="H7"/>
          <cell r="I7"/>
          <cell r="J7"/>
          <cell r="K7"/>
          <cell r="L7"/>
          <cell r="M7"/>
          <cell r="N7"/>
          <cell r="O7"/>
          <cell r="P7"/>
          <cell r="Q7"/>
          <cell r="R7"/>
          <cell r="S7"/>
          <cell r="T7"/>
          <cell r="U7"/>
          <cell r="V7"/>
          <cell r="W7"/>
          <cell r="X7"/>
        </row>
        <row r="8">
          <cell r="B8" t="str">
            <v>Finance Income</v>
          </cell>
          <cell r="C8"/>
          <cell r="D8"/>
          <cell r="E8"/>
          <cell r="F8"/>
          <cell r="G8"/>
          <cell r="H8">
            <v>3</v>
          </cell>
          <cell r="I8">
            <v>14755</v>
          </cell>
          <cell r="J8"/>
          <cell r="K8">
            <v>216973</v>
          </cell>
          <cell r="L8"/>
          <cell r="M8" t="str">
            <v>SERVICE / BODY DEPARTMENT DATA</v>
          </cell>
          <cell r="N8"/>
          <cell r="O8"/>
          <cell r="P8"/>
          <cell r="Q8"/>
          <cell r="R8"/>
          <cell r="S8"/>
          <cell r="T8"/>
          <cell r="U8"/>
          <cell r="V8"/>
          <cell r="W8"/>
          <cell r="X8"/>
        </row>
        <row r="9">
          <cell r="B9" t="str">
            <v>Insurance Income</v>
          </cell>
          <cell r="C9"/>
          <cell r="D9"/>
          <cell r="E9"/>
          <cell r="F9"/>
          <cell r="G9"/>
          <cell r="H9">
            <v>4</v>
          </cell>
          <cell r="I9">
            <v>0</v>
          </cell>
          <cell r="J9"/>
          <cell r="K9">
            <v>0</v>
          </cell>
          <cell r="L9"/>
          <cell r="M9"/>
          <cell r="N9"/>
          <cell r="O9"/>
          <cell r="P9"/>
          <cell r="Q9"/>
          <cell r="R9"/>
          <cell r="S9"/>
          <cell r="T9"/>
          <cell r="U9"/>
          <cell r="V9"/>
          <cell r="W9"/>
          <cell r="X9"/>
        </row>
        <row r="10">
          <cell r="B10" t="str">
            <v>Service Contracts</v>
          </cell>
          <cell r="C10"/>
          <cell r="D10"/>
          <cell r="E10"/>
          <cell r="F10"/>
          <cell r="G10"/>
          <cell r="H10">
            <v>5</v>
          </cell>
          <cell r="I10">
            <v>43418</v>
          </cell>
          <cell r="J10"/>
          <cell r="K10">
            <v>456135</v>
          </cell>
          <cell r="L10"/>
          <cell r="M10">
            <v>0</v>
          </cell>
          <cell r="N10"/>
          <cell r="O10">
            <v>0</v>
          </cell>
          <cell r="P10"/>
          <cell r="Q10"/>
          <cell r="R10"/>
          <cell r="S10"/>
          <cell r="T10"/>
          <cell r="U10" t="str">
            <v>SERVICE</v>
          </cell>
          <cell r="V10"/>
          <cell r="W10" t="str">
            <v>BODY SHOP</v>
          </cell>
          <cell r="X10"/>
        </row>
        <row r="11">
          <cell r="B11" t="str">
            <v>GAP Insurance Income</v>
          </cell>
          <cell r="C11"/>
          <cell r="D11"/>
          <cell r="E11"/>
          <cell r="F11"/>
          <cell r="G11"/>
          <cell r="H11">
            <v>6</v>
          </cell>
          <cell r="I11">
            <v>9337</v>
          </cell>
          <cell r="J11"/>
          <cell r="K11">
            <v>110348</v>
          </cell>
          <cell r="L11"/>
          <cell r="M11"/>
          <cell r="N11"/>
          <cell r="O11"/>
          <cell r="P11"/>
          <cell r="Q11"/>
          <cell r="R11" t="str">
            <v>Ttl Weekly Operating Hrs.</v>
          </cell>
          <cell r="S11"/>
          <cell r="T11"/>
          <cell r="U11">
            <v>52</v>
          </cell>
          <cell r="V11"/>
          <cell r="W11">
            <v>0</v>
          </cell>
          <cell r="X11"/>
        </row>
        <row r="12">
          <cell r="B12" t="str">
            <v>Charge Backs &amp; Repo Losses</v>
          </cell>
          <cell r="C12"/>
          <cell r="D12"/>
          <cell r="E12"/>
          <cell r="F12"/>
          <cell r="G12"/>
          <cell r="H12">
            <v>7</v>
          </cell>
          <cell r="I12">
            <v>-8229</v>
          </cell>
          <cell r="J12"/>
          <cell r="K12">
            <v>-68960</v>
          </cell>
          <cell r="L12"/>
          <cell r="M12">
            <v>0</v>
          </cell>
          <cell r="N12"/>
          <cell r="O12">
            <v>0</v>
          </cell>
          <cell r="P12"/>
          <cell r="Q12"/>
          <cell r="R12" t="str">
            <v>Ttl Hours Billed (Month)</v>
          </cell>
          <cell r="S12"/>
          <cell r="T12"/>
          <cell r="U12">
            <v>0</v>
          </cell>
          <cell r="V12"/>
          <cell r="W12"/>
          <cell r="X12"/>
        </row>
        <row r="13">
          <cell r="B13" t="str">
            <v>Aftermarket Income</v>
          </cell>
          <cell r="C13"/>
          <cell r="D13"/>
          <cell r="E13"/>
          <cell r="F13"/>
          <cell r="G13"/>
          <cell r="H13">
            <v>9</v>
          </cell>
          <cell r="I13">
            <v>0</v>
          </cell>
          <cell r="J13"/>
          <cell r="K13">
            <v>0</v>
          </cell>
          <cell r="L13"/>
          <cell r="M13"/>
          <cell r="N13"/>
          <cell r="O13"/>
          <cell r="P13"/>
          <cell r="Q13"/>
          <cell r="R13"/>
          <cell r="S13"/>
          <cell r="T13"/>
          <cell r="U13"/>
          <cell r="V13"/>
          <cell r="W13"/>
          <cell r="X13"/>
        </row>
        <row r="14">
          <cell r="B14" t="str">
            <v>Finance and Insurance Sub-Total                 (LINES 4 TO 9)</v>
          </cell>
          <cell r="C14"/>
          <cell r="D14"/>
          <cell r="E14"/>
          <cell r="F14"/>
          <cell r="G14"/>
          <cell r="H14"/>
          <cell r="I14">
            <v>59281</v>
          </cell>
          <cell r="J14"/>
          <cell r="K14">
            <v>714496</v>
          </cell>
          <cell r="L14"/>
          <cell r="M14">
            <v>0</v>
          </cell>
          <cell r="N14"/>
          <cell r="O14">
            <v>0</v>
          </cell>
          <cell r="P14"/>
          <cell r="Q14"/>
          <cell r="R14"/>
          <cell r="S14" t="str">
            <v>CUSTOMER</v>
          </cell>
          <cell r="T14"/>
          <cell r="U14" t="str">
            <v>WARRANTY</v>
          </cell>
          <cell r="V14"/>
          <cell r="W14" t="str">
            <v>INTERNAL</v>
          </cell>
          <cell r="X14"/>
        </row>
        <row r="15">
          <cell r="B15"/>
          <cell r="C15"/>
          <cell r="D15"/>
          <cell r="E15"/>
          <cell r="F15"/>
          <cell r="G15"/>
          <cell r="H15"/>
          <cell r="I15"/>
          <cell r="J15"/>
          <cell r="K15"/>
          <cell r="L15"/>
          <cell r="M15"/>
          <cell r="N15"/>
          <cell r="O15"/>
          <cell r="P15"/>
          <cell r="Q15" t="str">
            <v>Hourly Labor Rate Charge</v>
          </cell>
          <cell r="R15" t="str">
            <v>MECH</v>
          </cell>
          <cell r="S15">
            <v>100</v>
          </cell>
          <cell r="T15"/>
          <cell r="U15">
            <v>100</v>
          </cell>
          <cell r="V15"/>
          <cell r="W15">
            <v>100</v>
          </cell>
          <cell r="X15"/>
        </row>
        <row r="16">
          <cell r="B16"/>
          <cell r="C16"/>
          <cell r="D16"/>
          <cell r="E16"/>
          <cell r="F16"/>
          <cell r="G16"/>
          <cell r="H16"/>
          <cell r="I16"/>
          <cell r="J16"/>
          <cell r="K16"/>
          <cell r="L16"/>
          <cell r="M16"/>
          <cell r="N16"/>
          <cell r="O16"/>
          <cell r="P16"/>
          <cell r="Q16" t="str">
            <v>Hourly Labor
Rate Charge</v>
          </cell>
          <cell r="R16" t="str">
            <v>BODY</v>
          </cell>
          <cell r="S16">
            <v>0</v>
          </cell>
          <cell r="T16"/>
          <cell r="U16">
            <v>0</v>
          </cell>
          <cell r="V16"/>
          <cell r="W16">
            <v>0</v>
          </cell>
          <cell r="X16"/>
        </row>
        <row r="17">
          <cell r="B17" t="str">
            <v>TOTAL OPERATING  INCOME           (LINES 2, 10, 11 &amp; 12)</v>
          </cell>
          <cell r="C17"/>
          <cell r="D17"/>
          <cell r="E17"/>
          <cell r="F17"/>
          <cell r="G17"/>
          <cell r="H17"/>
          <cell r="I17">
            <v>130610</v>
          </cell>
          <cell r="J17"/>
          <cell r="K17">
            <v>1579775</v>
          </cell>
          <cell r="L17"/>
          <cell r="M17">
            <v>97560</v>
          </cell>
          <cell r="N17"/>
          <cell r="O17">
            <v>1157654</v>
          </cell>
          <cell r="P17"/>
          <cell r="Q17">
            <v>0</v>
          </cell>
          <cell r="R17"/>
          <cell r="S17">
            <v>0</v>
          </cell>
          <cell r="T17"/>
          <cell r="U17">
            <v>47086</v>
          </cell>
          <cell r="V17"/>
          <cell r="W17">
            <v>525806</v>
          </cell>
          <cell r="X17"/>
        </row>
        <row r="18">
          <cell r="B18" t="str">
            <v>EXPENSES</v>
          </cell>
          <cell r="C18"/>
          <cell r="D18"/>
          <cell r="E18"/>
          <cell r="F18"/>
          <cell r="G18"/>
          <cell r="H18"/>
          <cell r="I18"/>
          <cell r="J18"/>
          <cell r="K18"/>
          <cell r="L18"/>
          <cell r="M18"/>
          <cell r="N18"/>
          <cell r="O18"/>
          <cell r="P18"/>
          <cell r="Q18"/>
          <cell r="R18"/>
          <cell r="S18"/>
          <cell r="T18"/>
          <cell r="U18"/>
          <cell r="V18"/>
          <cell r="W18"/>
          <cell r="X18"/>
        </row>
        <row r="19">
          <cell r="B19" t="str">
            <v>Salespeople Compensation</v>
          </cell>
          <cell r="C19"/>
          <cell r="D19"/>
          <cell r="E19"/>
          <cell r="F19"/>
          <cell r="G19"/>
          <cell r="H19">
            <v>11</v>
          </cell>
          <cell r="I19">
            <v>22502</v>
          </cell>
          <cell r="J19"/>
          <cell r="K19">
            <v>251204</v>
          </cell>
          <cell r="L19"/>
          <cell r="M19" t="str">
            <v>Monthly Memo Data</v>
          </cell>
          <cell r="N19"/>
          <cell r="O19"/>
          <cell r="P19"/>
          <cell r="Q19"/>
          <cell r="R19"/>
          <cell r="S19"/>
          <cell r="T19"/>
          <cell r="U19"/>
          <cell r="V19"/>
          <cell r="W19"/>
          <cell r="X19"/>
        </row>
        <row r="20">
          <cell r="B20" t="str">
            <v>Floor Plan Interest</v>
          </cell>
          <cell r="C20"/>
          <cell r="D20"/>
          <cell r="E20"/>
          <cell r="F20"/>
          <cell r="G20"/>
          <cell r="H20">
            <v>12</v>
          </cell>
          <cell r="I20">
            <v>1094</v>
          </cell>
          <cell r="J20"/>
          <cell r="K20">
            <v>3812</v>
          </cell>
          <cell r="L20"/>
          <cell r="M20"/>
          <cell r="N20"/>
          <cell r="O20"/>
          <cell r="P20"/>
          <cell r="Q20"/>
          <cell r="R20"/>
          <cell r="S20"/>
          <cell r="T20"/>
          <cell r="U20" t="str">
            <v>PARTS / ACCESSORIES DEPARTMENT</v>
          </cell>
          <cell r="V20"/>
          <cell r="W20"/>
          <cell r="X20"/>
        </row>
        <row r="21">
          <cell r="B21" t="str">
            <v>Compensation  F &amp; I / Service Contracts</v>
          </cell>
          <cell r="C21"/>
          <cell r="D21"/>
          <cell r="E21"/>
          <cell r="F21"/>
          <cell r="G21"/>
          <cell r="H21">
            <v>13</v>
          </cell>
          <cell r="I21">
            <v>9866</v>
          </cell>
          <cell r="J21"/>
          <cell r="K21">
            <v>122653</v>
          </cell>
          <cell r="L21"/>
          <cell r="M21">
            <v>0</v>
          </cell>
          <cell r="N21"/>
          <cell r="O21">
            <v>0</v>
          </cell>
          <cell r="P21"/>
          <cell r="Q21"/>
          <cell r="R21"/>
          <cell r="S21"/>
          <cell r="T21"/>
          <cell r="U21"/>
          <cell r="V21"/>
          <cell r="W21"/>
          <cell r="X21"/>
        </row>
        <row r="22">
          <cell r="B22" t="str">
            <v>Delivery Expense</v>
          </cell>
          <cell r="C22"/>
          <cell r="D22"/>
          <cell r="E22"/>
          <cell r="F22"/>
          <cell r="G22"/>
          <cell r="H22">
            <v>14</v>
          </cell>
          <cell r="I22">
            <v>-1378</v>
          </cell>
          <cell r="J22"/>
          <cell r="K22">
            <v>-32637</v>
          </cell>
          <cell r="L22"/>
          <cell r="M22"/>
          <cell r="N22"/>
          <cell r="O22"/>
          <cell r="P22"/>
          <cell r="Q22" t="str">
            <v>HONDA  FLOOR  PLAN ASSISTANCE</v>
          </cell>
          <cell r="R22"/>
          <cell r="S22"/>
          <cell r="T22"/>
          <cell r="U22" t="str">
            <v>LOST SALES</v>
          </cell>
          <cell r="V22"/>
          <cell r="W22"/>
          <cell r="X22"/>
        </row>
        <row r="23">
          <cell r="B23" t="str">
            <v>Policy Expense - New &amp; Used</v>
          </cell>
          <cell r="C23"/>
          <cell r="D23"/>
          <cell r="E23"/>
          <cell r="F23"/>
          <cell r="G23"/>
          <cell r="H23">
            <v>15</v>
          </cell>
          <cell r="I23">
            <v>0</v>
          </cell>
          <cell r="J23"/>
          <cell r="K23">
            <v>0</v>
          </cell>
          <cell r="L23"/>
          <cell r="M23"/>
          <cell r="N23"/>
          <cell r="O23"/>
          <cell r="P23"/>
          <cell r="Q23">
            <v>9931</v>
          </cell>
          <cell r="R23"/>
          <cell r="S23"/>
          <cell r="T23"/>
          <cell r="U23">
            <v>308</v>
          </cell>
          <cell r="V23"/>
          <cell r="W23"/>
          <cell r="X23"/>
        </row>
        <row r="24">
          <cell r="B24" t="str">
            <v>Demo Expense</v>
          </cell>
          <cell r="C24"/>
          <cell r="D24"/>
          <cell r="E24"/>
          <cell r="F24"/>
          <cell r="G24"/>
          <cell r="H24">
            <v>16</v>
          </cell>
          <cell r="I24">
            <v>13480</v>
          </cell>
          <cell r="J24"/>
          <cell r="K24">
            <v>150738</v>
          </cell>
          <cell r="L24"/>
          <cell r="M24"/>
          <cell r="N24"/>
          <cell r="O24"/>
          <cell r="P24"/>
          <cell r="Q24"/>
          <cell r="R24"/>
          <cell r="S24"/>
          <cell r="T24"/>
          <cell r="U24"/>
          <cell r="V24"/>
          <cell r="W24"/>
          <cell r="X24"/>
        </row>
        <row r="25">
          <cell r="B25" t="str">
            <v>Advertising - Association</v>
          </cell>
          <cell r="C25"/>
          <cell r="D25"/>
          <cell r="E25"/>
          <cell r="F25"/>
          <cell r="G25"/>
          <cell r="H25">
            <v>18</v>
          </cell>
          <cell r="I25"/>
          <cell r="J25"/>
          <cell r="K25"/>
          <cell r="L25"/>
          <cell r="M25"/>
          <cell r="N25"/>
          <cell r="O25"/>
          <cell r="P25"/>
          <cell r="Q25" t="str">
            <v>OTHER  FLOOR  PLAN ASSISTANCE</v>
          </cell>
          <cell r="R25"/>
          <cell r="S25"/>
          <cell r="T25"/>
          <cell r="U25" t="str">
            <v>EMERGENCY PURCHASES</v>
          </cell>
          <cell r="V25"/>
          <cell r="W25"/>
          <cell r="X25"/>
        </row>
        <row r="26">
          <cell r="B26" t="str">
            <v>Advertising - New &amp; Used</v>
          </cell>
          <cell r="C26"/>
          <cell r="D26"/>
          <cell r="E26"/>
          <cell r="F26"/>
          <cell r="G26"/>
          <cell r="H26">
            <v>19</v>
          </cell>
          <cell r="I26">
            <v>5450</v>
          </cell>
          <cell r="J26"/>
          <cell r="K26">
            <v>69604</v>
          </cell>
          <cell r="L26"/>
          <cell r="M26"/>
          <cell r="N26"/>
          <cell r="O26"/>
          <cell r="P26"/>
          <cell r="Q26">
            <v>0</v>
          </cell>
          <cell r="R26"/>
          <cell r="S26"/>
          <cell r="T26"/>
          <cell r="U26">
            <v>34493</v>
          </cell>
          <cell r="V26"/>
          <cell r="W26"/>
          <cell r="X26"/>
        </row>
        <row r="27">
          <cell r="B27" t="str">
            <v>TOTAL VARIABLE SELLING EXP                 (LINES 15 TO 22)</v>
          </cell>
          <cell r="C27"/>
          <cell r="D27"/>
          <cell r="E27"/>
          <cell r="F27"/>
          <cell r="G27"/>
          <cell r="H27"/>
          <cell r="I27">
            <v>51014</v>
          </cell>
          <cell r="J27"/>
          <cell r="K27">
            <v>565374</v>
          </cell>
          <cell r="L27"/>
          <cell r="M27">
            <v>0</v>
          </cell>
          <cell r="N27"/>
          <cell r="O27">
            <v>0</v>
          </cell>
          <cell r="P27"/>
          <cell r="Q27"/>
          <cell r="R27"/>
          <cell r="S27"/>
          <cell r="T27"/>
          <cell r="U27"/>
          <cell r="V27"/>
          <cell r="W27"/>
          <cell r="X27"/>
        </row>
        <row r="28">
          <cell r="B28" t="str">
            <v>Compensation  Owners</v>
          </cell>
          <cell r="C28"/>
          <cell r="D28"/>
          <cell r="E28"/>
          <cell r="F28"/>
          <cell r="G28"/>
          <cell r="H28">
            <v>20</v>
          </cell>
          <cell r="I28">
            <v>5450</v>
          </cell>
          <cell r="J28"/>
          <cell r="K28">
            <v>73013</v>
          </cell>
          <cell r="L28"/>
          <cell r="M28">
            <v>8430</v>
          </cell>
          <cell r="N28"/>
          <cell r="O28">
            <v>89505</v>
          </cell>
          <cell r="P28"/>
          <cell r="Q28">
            <v>0</v>
          </cell>
          <cell r="R28"/>
          <cell r="S28">
            <v>0</v>
          </cell>
          <cell r="T28"/>
          <cell r="U28">
            <v>3440</v>
          </cell>
          <cell r="V28"/>
          <cell r="W28">
            <v>30465</v>
          </cell>
          <cell r="X28"/>
        </row>
        <row r="29">
          <cell r="B29" t="str">
            <v>Compensation  Supervisors</v>
          </cell>
          <cell r="C29"/>
          <cell r="D29"/>
          <cell r="E29"/>
          <cell r="F29"/>
          <cell r="G29"/>
          <cell r="H29">
            <v>21</v>
          </cell>
          <cell r="I29">
            <v>23270</v>
          </cell>
          <cell r="J29"/>
          <cell r="K29">
            <v>223973</v>
          </cell>
          <cell r="L29"/>
          <cell r="M29">
            <v>12167</v>
          </cell>
          <cell r="N29"/>
          <cell r="O29">
            <v>141221</v>
          </cell>
          <cell r="P29"/>
          <cell r="Q29">
            <v>0</v>
          </cell>
          <cell r="R29"/>
          <cell r="S29">
            <v>0</v>
          </cell>
          <cell r="T29"/>
          <cell r="U29">
            <v>6119</v>
          </cell>
          <cell r="V29"/>
          <cell r="W29">
            <v>56752</v>
          </cell>
          <cell r="X29"/>
        </row>
        <row r="30">
          <cell r="B30" t="str">
            <v>Compensation  Clerical</v>
          </cell>
          <cell r="C30"/>
          <cell r="D30"/>
          <cell r="E30"/>
          <cell r="F30"/>
          <cell r="G30"/>
          <cell r="H30">
            <v>22</v>
          </cell>
          <cell r="I30">
            <v>4161</v>
          </cell>
          <cell r="J30"/>
          <cell r="K30">
            <v>39737</v>
          </cell>
          <cell r="L30"/>
          <cell r="M30">
            <v>4998</v>
          </cell>
          <cell r="N30"/>
          <cell r="O30">
            <v>41891</v>
          </cell>
          <cell r="P30"/>
          <cell r="Q30">
            <v>0</v>
          </cell>
          <cell r="R30"/>
          <cell r="S30">
            <v>0</v>
          </cell>
          <cell r="T30"/>
          <cell r="U30">
            <v>3873</v>
          </cell>
          <cell r="V30"/>
          <cell r="W30">
            <v>35497</v>
          </cell>
          <cell r="X30"/>
        </row>
        <row r="31">
          <cell r="B31" t="str">
            <v>Other Salaries &amp; Wages</v>
          </cell>
          <cell r="C31"/>
          <cell r="D31"/>
          <cell r="E31"/>
          <cell r="F31"/>
          <cell r="G31"/>
          <cell r="H31">
            <v>23</v>
          </cell>
          <cell r="I31">
            <v>4068</v>
          </cell>
          <cell r="J31"/>
          <cell r="K31">
            <v>53788</v>
          </cell>
          <cell r="L31"/>
          <cell r="M31">
            <v>19893</v>
          </cell>
          <cell r="N31"/>
          <cell r="O31">
            <v>245819</v>
          </cell>
          <cell r="P31"/>
          <cell r="Q31">
            <v>0</v>
          </cell>
          <cell r="R31"/>
          <cell r="S31">
            <v>0</v>
          </cell>
          <cell r="T31"/>
          <cell r="U31">
            <v>9450</v>
          </cell>
          <cell r="V31"/>
          <cell r="W31">
            <v>82009</v>
          </cell>
          <cell r="X31"/>
        </row>
        <row r="32">
          <cell r="B32" t="str">
            <v>Payroll Taxes</v>
          </cell>
          <cell r="C32"/>
          <cell r="D32"/>
          <cell r="E32"/>
          <cell r="F32"/>
          <cell r="G32"/>
          <cell r="H32">
            <v>25</v>
          </cell>
          <cell r="I32">
            <v>5577</v>
          </cell>
          <cell r="J32"/>
          <cell r="K32">
            <v>67642</v>
          </cell>
          <cell r="L32"/>
          <cell r="M32">
            <v>5801</v>
          </cell>
          <cell r="N32"/>
          <cell r="O32">
            <v>67126</v>
          </cell>
          <cell r="P32"/>
          <cell r="Q32">
            <v>0</v>
          </cell>
          <cell r="R32"/>
          <cell r="S32">
            <v>0</v>
          </cell>
          <cell r="T32"/>
          <cell r="U32">
            <v>1729</v>
          </cell>
          <cell r="V32"/>
          <cell r="W32">
            <v>18502</v>
          </cell>
          <cell r="X32"/>
        </row>
        <row r="33">
          <cell r="B33" t="str">
            <v>Employee Benefits/Pension/401K/Workers' Comp</v>
          </cell>
          <cell r="C33"/>
          <cell r="D33"/>
          <cell r="E33"/>
          <cell r="F33"/>
          <cell r="G33"/>
          <cell r="H33">
            <v>26</v>
          </cell>
          <cell r="I33">
            <v>4387</v>
          </cell>
          <cell r="J33"/>
          <cell r="K33">
            <v>36437</v>
          </cell>
          <cell r="L33"/>
          <cell r="M33">
            <v>4453</v>
          </cell>
          <cell r="N33"/>
          <cell r="O33">
            <v>37576</v>
          </cell>
          <cell r="P33"/>
          <cell r="Q33">
            <v>0</v>
          </cell>
          <cell r="R33"/>
          <cell r="S33">
            <v>0</v>
          </cell>
          <cell r="T33"/>
          <cell r="U33">
            <v>1283</v>
          </cell>
          <cell r="V33"/>
          <cell r="W33">
            <v>12274</v>
          </cell>
          <cell r="X33"/>
        </row>
        <row r="34">
          <cell r="B34" t="str">
            <v>Absentee Wages - Productive</v>
          </cell>
          <cell r="C34"/>
          <cell r="D34"/>
          <cell r="E34"/>
          <cell r="F34"/>
          <cell r="G34"/>
          <cell r="H34">
            <v>29</v>
          </cell>
          <cell r="I34">
            <v>-532</v>
          </cell>
          <cell r="J34"/>
          <cell r="K34">
            <v>4468</v>
          </cell>
          <cell r="L34"/>
          <cell r="M34">
            <v>240</v>
          </cell>
          <cell r="N34"/>
          <cell r="O34">
            <v>6240</v>
          </cell>
          <cell r="P34"/>
          <cell r="Q34">
            <v>0</v>
          </cell>
          <cell r="R34"/>
          <cell r="S34">
            <v>0</v>
          </cell>
          <cell r="T34"/>
          <cell r="U34">
            <v>-523</v>
          </cell>
          <cell r="V34"/>
          <cell r="W34">
            <v>1477</v>
          </cell>
          <cell r="X34"/>
        </row>
        <row r="35">
          <cell r="B35" t="str">
            <v>TOTAL PERSONNEL  EXPENSE                 (LINES 24 TO 30)</v>
          </cell>
          <cell r="C35"/>
          <cell r="D35"/>
          <cell r="E35"/>
          <cell r="F35"/>
          <cell r="G35"/>
          <cell r="H35"/>
          <cell r="I35">
            <v>46381</v>
          </cell>
          <cell r="J35"/>
          <cell r="K35">
            <v>499058</v>
          </cell>
          <cell r="L35"/>
          <cell r="M35">
            <v>55982</v>
          </cell>
          <cell r="N35"/>
          <cell r="O35">
            <v>629378</v>
          </cell>
          <cell r="P35"/>
          <cell r="Q35">
            <v>0</v>
          </cell>
          <cell r="R35"/>
          <cell r="S35">
            <v>0</v>
          </cell>
          <cell r="T35"/>
          <cell r="U35">
            <v>25371</v>
          </cell>
          <cell r="V35"/>
          <cell r="W35">
            <v>236976</v>
          </cell>
          <cell r="X35"/>
        </row>
        <row r="36">
          <cell r="B36" t="str">
            <v>Company Vehicle Expense</v>
          </cell>
          <cell r="C36"/>
          <cell r="D36"/>
          <cell r="E36"/>
          <cell r="F36"/>
          <cell r="G36"/>
          <cell r="H36">
            <v>51</v>
          </cell>
          <cell r="I36">
            <v>7</v>
          </cell>
          <cell r="J36"/>
          <cell r="K36">
            <v>584</v>
          </cell>
          <cell r="L36"/>
          <cell r="M36">
            <v>173</v>
          </cell>
          <cell r="N36"/>
          <cell r="O36">
            <v>2837</v>
          </cell>
          <cell r="P36"/>
          <cell r="Q36">
            <v>0</v>
          </cell>
          <cell r="R36"/>
          <cell r="S36">
            <v>0</v>
          </cell>
          <cell r="T36"/>
          <cell r="U36">
            <v>228</v>
          </cell>
          <cell r="V36"/>
          <cell r="W36">
            <v>4154</v>
          </cell>
          <cell r="X36"/>
        </row>
        <row r="37">
          <cell r="B37" t="str">
            <v>Office Supplies &amp; Stationery</v>
          </cell>
          <cell r="C37"/>
          <cell r="D37"/>
          <cell r="E37"/>
          <cell r="F37"/>
          <cell r="G37"/>
          <cell r="H37">
            <v>60</v>
          </cell>
          <cell r="I37">
            <v>525</v>
          </cell>
          <cell r="J37"/>
          <cell r="K37">
            <v>3609</v>
          </cell>
          <cell r="L37"/>
          <cell r="M37">
            <v>958</v>
          </cell>
          <cell r="N37"/>
          <cell r="O37">
            <v>4237</v>
          </cell>
          <cell r="P37"/>
          <cell r="Q37">
            <v>0</v>
          </cell>
          <cell r="R37"/>
          <cell r="S37">
            <v>0</v>
          </cell>
          <cell r="T37"/>
          <cell r="U37">
            <v>179</v>
          </cell>
          <cell r="V37"/>
          <cell r="W37">
            <v>1316</v>
          </cell>
          <cell r="X37"/>
        </row>
        <row r="38">
          <cell r="B38" t="str">
            <v>Other Supplies &amp; Tools</v>
          </cell>
          <cell r="C38"/>
          <cell r="D38"/>
          <cell r="E38"/>
          <cell r="F38"/>
          <cell r="G38"/>
          <cell r="H38">
            <v>61</v>
          </cell>
          <cell r="I38">
            <v>461</v>
          </cell>
          <cell r="J38"/>
          <cell r="K38">
            <v>8989</v>
          </cell>
          <cell r="L38"/>
          <cell r="M38">
            <v>-5144</v>
          </cell>
          <cell r="N38"/>
          <cell r="O38">
            <v>-54785</v>
          </cell>
          <cell r="P38"/>
          <cell r="Q38">
            <v>0</v>
          </cell>
          <cell r="R38"/>
          <cell r="S38">
            <v>0</v>
          </cell>
          <cell r="T38"/>
          <cell r="U38">
            <v>181</v>
          </cell>
          <cell r="V38"/>
          <cell r="W38">
            <v>1801</v>
          </cell>
          <cell r="X38"/>
        </row>
        <row r="39">
          <cell r="B39" t="str">
            <v>Adv. - Serv, Body, P &amp; A</v>
          </cell>
          <cell r="C39"/>
          <cell r="D39"/>
          <cell r="E39"/>
          <cell r="F39"/>
          <cell r="G39"/>
          <cell r="H39">
            <v>62</v>
          </cell>
          <cell r="I39"/>
          <cell r="J39"/>
          <cell r="K39"/>
          <cell r="L39"/>
          <cell r="M39">
            <v>1968</v>
          </cell>
          <cell r="N39"/>
          <cell r="O39">
            <v>20621</v>
          </cell>
          <cell r="P39"/>
          <cell r="Q39">
            <v>0</v>
          </cell>
          <cell r="R39"/>
          <cell r="S39">
            <v>0</v>
          </cell>
          <cell r="T39"/>
          <cell r="U39">
            <v>1919</v>
          </cell>
          <cell r="V39"/>
          <cell r="W39">
            <v>20189</v>
          </cell>
          <cell r="X39"/>
        </row>
        <row r="40">
          <cell r="B40" t="str">
            <v>Bad Debts</v>
          </cell>
          <cell r="C40"/>
          <cell r="D40"/>
          <cell r="E40"/>
          <cell r="F40"/>
          <cell r="G40"/>
          <cell r="H40">
            <v>63</v>
          </cell>
          <cell r="I40">
            <v>-150</v>
          </cell>
          <cell r="J40"/>
          <cell r="K40">
            <v>0</v>
          </cell>
          <cell r="L40"/>
          <cell r="M40">
            <v>-251</v>
          </cell>
          <cell r="N40"/>
          <cell r="O40">
            <v>0</v>
          </cell>
          <cell r="P40"/>
          <cell r="Q40">
            <v>0</v>
          </cell>
          <cell r="R40"/>
          <cell r="S40">
            <v>0</v>
          </cell>
          <cell r="T40"/>
          <cell r="U40">
            <v>0</v>
          </cell>
          <cell r="V40"/>
          <cell r="W40">
            <v>0</v>
          </cell>
          <cell r="X40"/>
        </row>
        <row r="41">
          <cell r="B41" t="str">
            <v>Contributions</v>
          </cell>
          <cell r="C41"/>
          <cell r="D41"/>
          <cell r="E41"/>
          <cell r="F41"/>
          <cell r="G41"/>
          <cell r="H41">
            <v>66</v>
          </cell>
          <cell r="I41">
            <v>0</v>
          </cell>
          <cell r="J41"/>
          <cell r="K41">
            <v>1445</v>
          </cell>
          <cell r="L41"/>
          <cell r="M41">
            <v>0</v>
          </cell>
          <cell r="N41"/>
          <cell r="O41">
            <v>1734</v>
          </cell>
          <cell r="P41"/>
          <cell r="Q41">
            <v>0</v>
          </cell>
          <cell r="R41"/>
          <cell r="S41">
            <v>0</v>
          </cell>
          <cell r="T41"/>
          <cell r="U41">
            <v>0</v>
          </cell>
          <cell r="V41"/>
          <cell r="W41">
            <v>578</v>
          </cell>
          <cell r="X41"/>
        </row>
        <row r="42">
          <cell r="B42" t="str">
            <v>Policy Expense - Serv, Body, P &amp; A</v>
          </cell>
          <cell r="C42"/>
          <cell r="D42"/>
          <cell r="E42"/>
          <cell r="F42"/>
          <cell r="G42"/>
          <cell r="H42">
            <v>67</v>
          </cell>
          <cell r="I42"/>
          <cell r="J42"/>
          <cell r="K42"/>
          <cell r="L42"/>
          <cell r="M42">
            <v>1188</v>
          </cell>
          <cell r="N42"/>
          <cell r="O42">
            <v>17305</v>
          </cell>
          <cell r="P42"/>
          <cell r="Q42">
            <v>0</v>
          </cell>
          <cell r="R42"/>
          <cell r="S42">
            <v>0</v>
          </cell>
          <cell r="T42"/>
          <cell r="U42">
            <v>86</v>
          </cell>
          <cell r="V42"/>
          <cell r="W42">
            <v>16271</v>
          </cell>
          <cell r="X42"/>
        </row>
        <row r="43">
          <cell r="B43" t="str">
            <v>Outside Services</v>
          </cell>
          <cell r="C43"/>
          <cell r="D43"/>
          <cell r="E43"/>
          <cell r="F43"/>
          <cell r="G43"/>
          <cell r="H43">
            <v>68</v>
          </cell>
          <cell r="I43">
            <v>7615</v>
          </cell>
          <cell r="J43"/>
          <cell r="K43">
            <v>107512</v>
          </cell>
          <cell r="L43"/>
          <cell r="M43">
            <v>4992</v>
          </cell>
          <cell r="N43"/>
          <cell r="O43">
            <v>48810</v>
          </cell>
          <cell r="P43"/>
          <cell r="Q43">
            <v>0</v>
          </cell>
          <cell r="R43"/>
          <cell r="S43">
            <v>0</v>
          </cell>
          <cell r="T43"/>
          <cell r="U43">
            <v>367</v>
          </cell>
          <cell r="V43"/>
          <cell r="W43">
            <v>17941</v>
          </cell>
          <cell r="X43"/>
        </row>
        <row r="44">
          <cell r="B44" t="str">
            <v>Laundry &amp; Uniforms</v>
          </cell>
          <cell r="C44"/>
          <cell r="D44"/>
          <cell r="E44"/>
          <cell r="F44"/>
          <cell r="G44"/>
          <cell r="H44">
            <v>69</v>
          </cell>
          <cell r="I44">
            <v>0</v>
          </cell>
          <cell r="J44"/>
          <cell r="K44">
            <v>0</v>
          </cell>
          <cell r="L44"/>
          <cell r="M44">
            <v>424</v>
          </cell>
          <cell r="N44"/>
          <cell r="O44">
            <v>4817</v>
          </cell>
          <cell r="P44"/>
          <cell r="Q44">
            <v>0</v>
          </cell>
          <cell r="R44"/>
          <cell r="S44">
            <v>0</v>
          </cell>
          <cell r="T44"/>
          <cell r="U44">
            <v>0</v>
          </cell>
          <cell r="V44"/>
          <cell r="W44">
            <v>0</v>
          </cell>
          <cell r="X44"/>
        </row>
        <row r="45">
          <cell r="B45" t="str">
            <v>Travel &amp; Entertainment</v>
          </cell>
          <cell r="C45"/>
          <cell r="D45"/>
          <cell r="E45"/>
          <cell r="F45"/>
          <cell r="G45"/>
          <cell r="H45">
            <v>70</v>
          </cell>
          <cell r="I45">
            <v>0</v>
          </cell>
          <cell r="J45"/>
          <cell r="K45">
            <v>5</v>
          </cell>
          <cell r="L45"/>
          <cell r="M45">
            <v>0</v>
          </cell>
          <cell r="N45"/>
          <cell r="O45">
            <v>6</v>
          </cell>
          <cell r="P45"/>
          <cell r="Q45">
            <v>0</v>
          </cell>
          <cell r="R45"/>
          <cell r="S45">
            <v>0</v>
          </cell>
          <cell r="T45"/>
          <cell r="U45">
            <v>0</v>
          </cell>
          <cell r="V45"/>
          <cell r="W45">
            <v>2</v>
          </cell>
          <cell r="X45"/>
        </row>
        <row r="46">
          <cell r="B46" t="str">
            <v>Memberships,  Dues, Pblcns.</v>
          </cell>
          <cell r="C46"/>
          <cell r="D46"/>
          <cell r="E46"/>
          <cell r="F46"/>
          <cell r="G46"/>
          <cell r="H46">
            <v>71</v>
          </cell>
          <cell r="I46">
            <v>119</v>
          </cell>
          <cell r="J46"/>
          <cell r="K46">
            <v>1085</v>
          </cell>
          <cell r="L46"/>
          <cell r="M46">
            <v>506</v>
          </cell>
          <cell r="N46"/>
          <cell r="O46">
            <v>8291</v>
          </cell>
          <cell r="P46"/>
          <cell r="Q46">
            <v>0</v>
          </cell>
          <cell r="R46"/>
          <cell r="S46">
            <v>0</v>
          </cell>
          <cell r="T46"/>
          <cell r="U46">
            <v>47</v>
          </cell>
          <cell r="V46"/>
          <cell r="W46">
            <v>273</v>
          </cell>
          <cell r="X46"/>
        </row>
        <row r="47">
          <cell r="B47" t="str">
            <v>Legal &amp; Auditing</v>
          </cell>
          <cell r="C47"/>
          <cell r="D47"/>
          <cell r="E47"/>
          <cell r="F47"/>
          <cell r="G47"/>
          <cell r="H47">
            <v>72</v>
          </cell>
          <cell r="I47">
            <v>2622</v>
          </cell>
          <cell r="J47"/>
          <cell r="K47">
            <v>13829</v>
          </cell>
          <cell r="L47"/>
          <cell r="M47">
            <v>3652</v>
          </cell>
          <cell r="N47"/>
          <cell r="O47">
            <v>17100</v>
          </cell>
          <cell r="P47"/>
          <cell r="Q47">
            <v>0</v>
          </cell>
          <cell r="R47"/>
          <cell r="S47">
            <v>0</v>
          </cell>
          <cell r="T47"/>
          <cell r="U47">
            <v>1386</v>
          </cell>
          <cell r="V47"/>
          <cell r="W47">
            <v>5869</v>
          </cell>
          <cell r="X47"/>
        </row>
        <row r="48">
          <cell r="B48" t="str">
            <v>Telephone</v>
          </cell>
          <cell r="C48"/>
          <cell r="D48"/>
          <cell r="E48"/>
          <cell r="F48"/>
          <cell r="G48"/>
          <cell r="H48">
            <v>74</v>
          </cell>
          <cell r="I48">
            <v>269</v>
          </cell>
          <cell r="J48"/>
          <cell r="K48">
            <v>4397</v>
          </cell>
          <cell r="L48"/>
          <cell r="M48">
            <v>328</v>
          </cell>
          <cell r="N48"/>
          <cell r="O48">
            <v>5700</v>
          </cell>
          <cell r="P48"/>
          <cell r="Q48">
            <v>0</v>
          </cell>
          <cell r="R48"/>
          <cell r="S48">
            <v>0</v>
          </cell>
          <cell r="T48"/>
          <cell r="U48">
            <v>111</v>
          </cell>
          <cell r="V48"/>
          <cell r="W48">
            <v>1731</v>
          </cell>
          <cell r="X48"/>
        </row>
        <row r="49">
          <cell r="B49" t="str">
            <v>Postage/Express Mail/Freight</v>
          </cell>
          <cell r="C49"/>
          <cell r="D49"/>
          <cell r="E49"/>
          <cell r="F49"/>
          <cell r="G49"/>
          <cell r="H49">
            <v>75</v>
          </cell>
          <cell r="I49">
            <v>1286</v>
          </cell>
          <cell r="J49"/>
          <cell r="K49">
            <v>17519</v>
          </cell>
          <cell r="L49"/>
          <cell r="M49">
            <v>93</v>
          </cell>
          <cell r="N49"/>
          <cell r="O49">
            <v>483</v>
          </cell>
          <cell r="P49"/>
          <cell r="Q49">
            <v>0</v>
          </cell>
          <cell r="R49"/>
          <cell r="S49">
            <v>0</v>
          </cell>
          <cell r="T49"/>
          <cell r="U49">
            <v>305</v>
          </cell>
          <cell r="V49"/>
          <cell r="W49">
            <v>4850</v>
          </cell>
          <cell r="X49"/>
        </row>
        <row r="50">
          <cell r="B50" t="str">
            <v>Training</v>
          </cell>
          <cell r="C50"/>
          <cell r="D50"/>
          <cell r="E50"/>
          <cell r="F50"/>
          <cell r="G50"/>
          <cell r="H50">
            <v>76</v>
          </cell>
          <cell r="I50">
            <v>439</v>
          </cell>
          <cell r="J50"/>
          <cell r="K50">
            <v>19407</v>
          </cell>
          <cell r="L50"/>
          <cell r="M50">
            <v>5323</v>
          </cell>
          <cell r="N50"/>
          <cell r="O50">
            <v>32130</v>
          </cell>
          <cell r="P50"/>
          <cell r="Q50">
            <v>0</v>
          </cell>
          <cell r="R50"/>
          <cell r="S50">
            <v>0</v>
          </cell>
          <cell r="T50"/>
          <cell r="U50">
            <v>197</v>
          </cell>
          <cell r="V50"/>
          <cell r="W50">
            <v>5654</v>
          </cell>
          <cell r="X50"/>
        </row>
        <row r="51">
          <cell r="B51" t="str">
            <v>Data Processing Services</v>
          </cell>
          <cell r="C51"/>
          <cell r="D51"/>
          <cell r="E51"/>
          <cell r="F51"/>
          <cell r="G51"/>
          <cell r="H51">
            <v>78</v>
          </cell>
          <cell r="I51">
            <v>3249</v>
          </cell>
          <cell r="J51"/>
          <cell r="K51">
            <v>44681</v>
          </cell>
          <cell r="L51"/>
          <cell r="M51">
            <v>7698</v>
          </cell>
          <cell r="N51"/>
          <cell r="O51">
            <v>73417</v>
          </cell>
          <cell r="P51"/>
          <cell r="Q51">
            <v>0</v>
          </cell>
          <cell r="R51"/>
          <cell r="S51">
            <v>0</v>
          </cell>
          <cell r="T51"/>
          <cell r="U51">
            <v>545</v>
          </cell>
          <cell r="V51"/>
          <cell r="W51">
            <v>13746</v>
          </cell>
          <cell r="X51"/>
        </row>
        <row r="52">
          <cell r="B52" t="str">
            <v>Miscellaneous</v>
          </cell>
          <cell r="C52"/>
          <cell r="D52"/>
          <cell r="E52"/>
          <cell r="F52"/>
          <cell r="G52"/>
          <cell r="H52">
            <v>79</v>
          </cell>
          <cell r="I52">
            <v>0</v>
          </cell>
          <cell r="J52"/>
          <cell r="K52">
            <v>0</v>
          </cell>
          <cell r="L52"/>
          <cell r="M52">
            <v>0</v>
          </cell>
          <cell r="N52"/>
          <cell r="O52">
            <v>0</v>
          </cell>
          <cell r="P52"/>
          <cell r="Q52">
            <v>0</v>
          </cell>
          <cell r="R52"/>
          <cell r="S52">
            <v>0</v>
          </cell>
          <cell r="T52"/>
          <cell r="U52">
            <v>0</v>
          </cell>
          <cell r="V52"/>
          <cell r="W52">
            <v>0</v>
          </cell>
          <cell r="X52"/>
        </row>
        <row r="53">
          <cell r="B53" t="str">
            <v>TOTAL SEMI-FIXED  EXPENSE                  (LINES 32 TO 48)</v>
          </cell>
          <cell r="C53"/>
          <cell r="D53"/>
          <cell r="E53"/>
          <cell r="F53"/>
          <cell r="G53"/>
          <cell r="H53"/>
          <cell r="I53">
            <v>16442</v>
          </cell>
          <cell r="J53"/>
          <cell r="K53">
            <v>223062</v>
          </cell>
          <cell r="L53"/>
          <cell r="M53">
            <v>21908</v>
          </cell>
          <cell r="N53"/>
          <cell r="O53">
            <v>182703</v>
          </cell>
          <cell r="P53"/>
          <cell r="Q53">
            <v>0</v>
          </cell>
          <cell r="R53"/>
          <cell r="S53">
            <v>0</v>
          </cell>
          <cell r="T53"/>
          <cell r="U53">
            <v>5551</v>
          </cell>
          <cell r="V53"/>
          <cell r="W53">
            <v>94375</v>
          </cell>
          <cell r="X53"/>
        </row>
        <row r="54">
          <cell r="B54" t="str">
            <v>Rent</v>
          </cell>
          <cell r="C54"/>
          <cell r="D54"/>
          <cell r="E54"/>
          <cell r="F54"/>
          <cell r="G54"/>
          <cell r="H54">
            <v>80</v>
          </cell>
          <cell r="I54">
            <v>12278</v>
          </cell>
          <cell r="J54"/>
          <cell r="K54">
            <v>137291</v>
          </cell>
          <cell r="L54"/>
          <cell r="M54">
            <v>14859</v>
          </cell>
          <cell r="N54"/>
          <cell r="O54">
            <v>164875</v>
          </cell>
          <cell r="P54"/>
          <cell r="Q54">
            <v>0</v>
          </cell>
          <cell r="R54"/>
          <cell r="S54">
            <v>0</v>
          </cell>
          <cell r="T54"/>
          <cell r="U54">
            <v>4995</v>
          </cell>
          <cell r="V54"/>
          <cell r="W54">
            <v>55000</v>
          </cell>
          <cell r="X54"/>
        </row>
        <row r="55">
          <cell r="B55" t="str">
            <v>Amortization  - Leaseholds</v>
          </cell>
          <cell r="C55"/>
          <cell r="D55"/>
          <cell r="E55"/>
          <cell r="F55"/>
          <cell r="G55"/>
          <cell r="H55">
            <v>81</v>
          </cell>
          <cell r="I55">
            <v>0</v>
          </cell>
          <cell r="J55"/>
          <cell r="K55">
            <v>0</v>
          </cell>
          <cell r="L55"/>
          <cell r="M55">
            <v>0</v>
          </cell>
          <cell r="N55"/>
          <cell r="O55">
            <v>0</v>
          </cell>
          <cell r="P55"/>
          <cell r="Q55">
            <v>0</v>
          </cell>
          <cell r="R55"/>
          <cell r="S55">
            <v>0</v>
          </cell>
          <cell r="T55"/>
          <cell r="U55">
            <v>0</v>
          </cell>
          <cell r="V55"/>
          <cell r="W55">
            <v>0</v>
          </cell>
          <cell r="X55"/>
        </row>
        <row r="56">
          <cell r="B56" t="str">
            <v>Repairs &amp; Maint - Real Estate</v>
          </cell>
          <cell r="C56"/>
          <cell r="D56"/>
          <cell r="E56"/>
          <cell r="F56"/>
          <cell r="G56"/>
          <cell r="H56">
            <v>82</v>
          </cell>
          <cell r="I56">
            <v>97</v>
          </cell>
          <cell r="J56"/>
          <cell r="K56">
            <v>155</v>
          </cell>
          <cell r="L56"/>
          <cell r="M56">
            <v>116</v>
          </cell>
          <cell r="N56"/>
          <cell r="O56">
            <v>186</v>
          </cell>
          <cell r="P56"/>
          <cell r="Q56">
            <v>0</v>
          </cell>
          <cell r="R56"/>
          <cell r="S56">
            <v>0</v>
          </cell>
          <cell r="T56"/>
          <cell r="U56">
            <v>39</v>
          </cell>
          <cell r="V56"/>
          <cell r="W56">
            <v>62</v>
          </cell>
          <cell r="X56"/>
        </row>
        <row r="57">
          <cell r="B57" t="str">
            <v>Depreciation  - Bldg &amp; Imps</v>
          </cell>
          <cell r="C57"/>
          <cell r="D57"/>
          <cell r="E57"/>
          <cell r="F57"/>
          <cell r="G57"/>
          <cell r="H57">
            <v>83</v>
          </cell>
          <cell r="I57">
            <v>0</v>
          </cell>
          <cell r="J57"/>
          <cell r="K57">
            <v>0</v>
          </cell>
          <cell r="L57"/>
          <cell r="M57">
            <v>0</v>
          </cell>
          <cell r="N57"/>
          <cell r="O57">
            <v>0</v>
          </cell>
          <cell r="P57"/>
          <cell r="Q57">
            <v>0</v>
          </cell>
          <cell r="R57"/>
          <cell r="S57">
            <v>0</v>
          </cell>
          <cell r="T57"/>
          <cell r="U57">
            <v>0</v>
          </cell>
          <cell r="V57"/>
          <cell r="W57">
            <v>0</v>
          </cell>
          <cell r="X57"/>
        </row>
        <row r="58">
          <cell r="B58" t="str">
            <v>Taxes - Real Estate</v>
          </cell>
          <cell r="C58"/>
          <cell r="D58"/>
          <cell r="E58"/>
          <cell r="F58"/>
          <cell r="G58"/>
          <cell r="H58">
            <v>84</v>
          </cell>
          <cell r="I58">
            <v>63</v>
          </cell>
          <cell r="J58"/>
          <cell r="K58">
            <v>4556</v>
          </cell>
          <cell r="L58"/>
          <cell r="M58">
            <v>76</v>
          </cell>
          <cell r="N58"/>
          <cell r="O58">
            <v>5468</v>
          </cell>
          <cell r="P58"/>
          <cell r="Q58">
            <v>0</v>
          </cell>
          <cell r="R58"/>
          <cell r="S58">
            <v>0</v>
          </cell>
          <cell r="T58"/>
          <cell r="U58">
            <v>26</v>
          </cell>
          <cell r="V58"/>
          <cell r="W58">
            <v>1823</v>
          </cell>
          <cell r="X58"/>
        </row>
        <row r="59">
          <cell r="B59" t="str">
            <v>Insurance - Bldgs &amp; Imps</v>
          </cell>
          <cell r="C59"/>
          <cell r="D59"/>
          <cell r="E59"/>
          <cell r="F59"/>
          <cell r="G59"/>
          <cell r="H59">
            <v>85</v>
          </cell>
          <cell r="I59">
            <v>0</v>
          </cell>
          <cell r="J59"/>
          <cell r="K59">
            <v>0</v>
          </cell>
          <cell r="L59"/>
          <cell r="M59">
            <v>0</v>
          </cell>
          <cell r="N59"/>
          <cell r="O59">
            <v>0</v>
          </cell>
          <cell r="P59"/>
          <cell r="Q59">
            <v>0</v>
          </cell>
          <cell r="R59"/>
          <cell r="S59">
            <v>0</v>
          </cell>
          <cell r="T59"/>
          <cell r="U59">
            <v>0</v>
          </cell>
          <cell r="V59"/>
          <cell r="W59">
            <v>0</v>
          </cell>
          <cell r="X59"/>
        </row>
        <row r="60">
          <cell r="B60" t="str">
            <v>Mortgage Interest</v>
          </cell>
          <cell r="C60"/>
          <cell r="D60"/>
          <cell r="E60"/>
          <cell r="F60"/>
          <cell r="G60"/>
          <cell r="H60">
            <v>86</v>
          </cell>
          <cell r="I60">
            <v>0</v>
          </cell>
          <cell r="J60"/>
          <cell r="K60">
            <v>0</v>
          </cell>
          <cell r="L60"/>
          <cell r="M60">
            <v>0</v>
          </cell>
          <cell r="N60"/>
          <cell r="O60">
            <v>0</v>
          </cell>
          <cell r="P60"/>
          <cell r="Q60">
            <v>0</v>
          </cell>
          <cell r="R60"/>
          <cell r="S60">
            <v>0</v>
          </cell>
          <cell r="T60"/>
          <cell r="U60">
            <v>0</v>
          </cell>
          <cell r="V60"/>
          <cell r="W60">
            <v>0</v>
          </cell>
          <cell r="X60"/>
        </row>
        <row r="61">
          <cell r="B61" t="str">
            <v>Utilities</v>
          </cell>
          <cell r="C61"/>
          <cell r="D61"/>
          <cell r="E61"/>
          <cell r="F61"/>
          <cell r="G61"/>
          <cell r="H61">
            <v>87</v>
          </cell>
          <cell r="I61">
            <v>837</v>
          </cell>
          <cell r="J61"/>
          <cell r="K61">
            <v>15954</v>
          </cell>
          <cell r="L61"/>
          <cell r="M61">
            <v>1004</v>
          </cell>
          <cell r="N61"/>
          <cell r="O61">
            <v>19144</v>
          </cell>
          <cell r="P61"/>
          <cell r="Q61">
            <v>0</v>
          </cell>
          <cell r="R61"/>
          <cell r="S61">
            <v>0</v>
          </cell>
          <cell r="T61"/>
          <cell r="U61">
            <v>334</v>
          </cell>
          <cell r="V61"/>
          <cell r="W61">
            <v>6381</v>
          </cell>
          <cell r="X61"/>
        </row>
        <row r="62">
          <cell r="B62" t="str">
            <v>RENT &amp; RENT EQUIVALENT                      (LINES 50 TO 57)</v>
          </cell>
          <cell r="C62"/>
          <cell r="D62"/>
          <cell r="E62"/>
          <cell r="F62"/>
          <cell r="G62"/>
          <cell r="H62"/>
          <cell r="I62">
            <v>13275</v>
          </cell>
          <cell r="J62"/>
          <cell r="K62">
            <v>157956</v>
          </cell>
          <cell r="L62"/>
          <cell r="M62">
            <v>16055</v>
          </cell>
          <cell r="N62"/>
          <cell r="O62">
            <v>189673</v>
          </cell>
          <cell r="P62"/>
          <cell r="Q62">
            <v>0</v>
          </cell>
          <cell r="R62"/>
          <cell r="S62">
            <v>0</v>
          </cell>
          <cell r="T62"/>
          <cell r="U62">
            <v>5394</v>
          </cell>
          <cell r="V62"/>
          <cell r="W62">
            <v>63266</v>
          </cell>
          <cell r="X62"/>
        </row>
        <row r="63">
          <cell r="B63" t="str">
            <v>Insurance - Other</v>
          </cell>
          <cell r="C63"/>
          <cell r="D63"/>
          <cell r="E63"/>
          <cell r="F63"/>
          <cell r="G63"/>
          <cell r="H63">
            <v>88</v>
          </cell>
          <cell r="I63">
            <v>2414</v>
          </cell>
          <cell r="J63"/>
          <cell r="K63">
            <v>25492</v>
          </cell>
          <cell r="L63"/>
          <cell r="M63">
            <v>1299</v>
          </cell>
          <cell r="N63"/>
          <cell r="O63">
            <v>19416</v>
          </cell>
          <cell r="P63"/>
          <cell r="Q63">
            <v>0</v>
          </cell>
          <cell r="R63"/>
          <cell r="S63">
            <v>0</v>
          </cell>
          <cell r="T63"/>
          <cell r="U63">
            <v>433</v>
          </cell>
          <cell r="V63"/>
          <cell r="W63">
            <v>5345</v>
          </cell>
          <cell r="X63"/>
        </row>
        <row r="64">
          <cell r="B64" t="str">
            <v>Taxes - Other</v>
          </cell>
          <cell r="C64"/>
          <cell r="D64"/>
          <cell r="E64"/>
          <cell r="F64"/>
          <cell r="G64"/>
          <cell r="H64">
            <v>89</v>
          </cell>
          <cell r="I64">
            <v>2098</v>
          </cell>
          <cell r="J64"/>
          <cell r="K64">
            <v>12262</v>
          </cell>
          <cell r="L64"/>
          <cell r="M64">
            <v>2518</v>
          </cell>
          <cell r="N64"/>
          <cell r="O64">
            <v>14701</v>
          </cell>
          <cell r="P64"/>
          <cell r="Q64">
            <v>0</v>
          </cell>
          <cell r="R64"/>
          <cell r="S64">
            <v>0</v>
          </cell>
          <cell r="T64"/>
          <cell r="U64">
            <v>839</v>
          </cell>
          <cell r="V64"/>
          <cell r="W64">
            <v>4919</v>
          </cell>
          <cell r="X64"/>
        </row>
        <row r="65">
          <cell r="B65" t="str">
            <v>Other Interest</v>
          </cell>
          <cell r="C65"/>
          <cell r="D65"/>
          <cell r="E65"/>
          <cell r="F65"/>
          <cell r="G65"/>
          <cell r="H65">
            <v>90</v>
          </cell>
          <cell r="I65">
            <v>1564</v>
          </cell>
          <cell r="J65"/>
          <cell r="K65">
            <v>22618</v>
          </cell>
          <cell r="L65"/>
          <cell r="M65">
            <v>1878</v>
          </cell>
          <cell r="N65"/>
          <cell r="O65">
            <v>27142</v>
          </cell>
          <cell r="P65"/>
          <cell r="Q65">
            <v>0</v>
          </cell>
          <cell r="R65"/>
          <cell r="S65">
            <v>0</v>
          </cell>
          <cell r="T65"/>
          <cell r="U65">
            <v>626</v>
          </cell>
          <cell r="V65"/>
          <cell r="W65">
            <v>9047</v>
          </cell>
          <cell r="X65"/>
        </row>
        <row r="66">
          <cell r="B66" t="str">
            <v>Depreciation  - Other</v>
          </cell>
          <cell r="C66"/>
          <cell r="D66"/>
          <cell r="E66"/>
          <cell r="F66"/>
          <cell r="G66"/>
          <cell r="H66">
            <v>91</v>
          </cell>
          <cell r="I66">
            <v>350</v>
          </cell>
          <cell r="J66"/>
          <cell r="K66">
            <v>4064</v>
          </cell>
          <cell r="L66"/>
          <cell r="M66">
            <v>2489</v>
          </cell>
          <cell r="N66"/>
          <cell r="O66">
            <v>28306</v>
          </cell>
          <cell r="P66"/>
          <cell r="Q66">
            <v>0</v>
          </cell>
          <cell r="R66"/>
          <cell r="S66">
            <v>0</v>
          </cell>
          <cell r="T66"/>
          <cell r="U66">
            <v>1042</v>
          </cell>
          <cell r="V66"/>
          <cell r="W66">
            <v>11436</v>
          </cell>
          <cell r="X66"/>
        </row>
        <row r="67">
          <cell r="B67" t="str">
            <v>Equipment Repairs &amp; Rentals</v>
          </cell>
          <cell r="C67"/>
          <cell r="D67"/>
          <cell r="E67"/>
          <cell r="F67"/>
          <cell r="G67"/>
          <cell r="H67">
            <v>92</v>
          </cell>
          <cell r="I67">
            <v>83</v>
          </cell>
          <cell r="J67"/>
          <cell r="K67">
            <v>1146</v>
          </cell>
          <cell r="L67"/>
          <cell r="M67">
            <v>2743</v>
          </cell>
          <cell r="N67"/>
          <cell r="O67">
            <v>28790</v>
          </cell>
          <cell r="P67"/>
          <cell r="Q67">
            <v>0</v>
          </cell>
          <cell r="R67"/>
          <cell r="S67">
            <v>0</v>
          </cell>
          <cell r="T67"/>
          <cell r="U67">
            <v>663</v>
          </cell>
          <cell r="V67"/>
          <cell r="W67">
            <v>3671</v>
          </cell>
          <cell r="X67"/>
        </row>
        <row r="68">
          <cell r="B68" t="str">
            <v>TOTAL FIXED EXPENSE                           (LINES 58 TO 63)</v>
          </cell>
          <cell r="C68"/>
          <cell r="D68"/>
          <cell r="E68"/>
          <cell r="F68"/>
          <cell r="G68"/>
          <cell r="H68"/>
          <cell r="I68">
            <v>19784</v>
          </cell>
          <cell r="J68"/>
          <cell r="K68">
            <v>223538</v>
          </cell>
          <cell r="L68"/>
          <cell r="M68">
            <v>26982</v>
          </cell>
          <cell r="N68"/>
          <cell r="O68">
            <v>308028</v>
          </cell>
          <cell r="P68"/>
          <cell r="Q68">
            <v>0</v>
          </cell>
          <cell r="R68"/>
          <cell r="S68">
            <v>0</v>
          </cell>
          <cell r="T68"/>
          <cell r="U68">
            <v>8997</v>
          </cell>
          <cell r="V68"/>
          <cell r="W68">
            <v>97684</v>
          </cell>
          <cell r="X68"/>
        </row>
        <row r="69">
          <cell r="B69" t="str">
            <v>TOTAL FIXED OVERHEAD                   (LINES 31, 49 &amp; 64)</v>
          </cell>
          <cell r="C69"/>
          <cell r="D69"/>
          <cell r="E69"/>
          <cell r="F69"/>
          <cell r="G69"/>
          <cell r="H69"/>
          <cell r="I69">
            <v>82607</v>
          </cell>
          <cell r="J69"/>
          <cell r="K69">
            <v>945658</v>
          </cell>
          <cell r="L69"/>
          <cell r="M69">
            <v>104872</v>
          </cell>
          <cell r="N69"/>
          <cell r="O69">
            <v>1120109</v>
          </cell>
          <cell r="P69"/>
          <cell r="Q69">
            <v>0</v>
          </cell>
          <cell r="R69"/>
          <cell r="S69">
            <v>0</v>
          </cell>
          <cell r="T69"/>
          <cell r="U69">
            <v>39919</v>
          </cell>
          <cell r="V69"/>
          <cell r="W69">
            <v>429035</v>
          </cell>
          <cell r="X69"/>
        </row>
        <row r="70">
          <cell r="B70" t="str">
            <v>TOTAL EXPENSES                                      (LINES 23 &amp; 65)</v>
          </cell>
          <cell r="C70"/>
          <cell r="D70"/>
          <cell r="E70"/>
          <cell r="F70"/>
          <cell r="G70"/>
          <cell r="H70"/>
          <cell r="I70">
            <v>133621</v>
          </cell>
          <cell r="J70"/>
          <cell r="K70">
            <v>1511032</v>
          </cell>
          <cell r="L70"/>
          <cell r="M70">
            <v>104872</v>
          </cell>
          <cell r="N70"/>
          <cell r="O70">
            <v>1120109</v>
          </cell>
          <cell r="P70"/>
          <cell r="Q70">
            <v>0</v>
          </cell>
          <cell r="R70"/>
          <cell r="S70">
            <v>0</v>
          </cell>
          <cell r="T70"/>
          <cell r="U70">
            <v>39919</v>
          </cell>
          <cell r="V70"/>
          <cell r="W70">
            <v>429035</v>
          </cell>
          <cell r="X70"/>
        </row>
        <row r="71">
          <cell r="B71" t="str">
            <v>OPERATING  PROFIT (LOSS)               (LINE 13 MINUS 66)</v>
          </cell>
          <cell r="C71"/>
          <cell r="D71"/>
          <cell r="E71"/>
          <cell r="F71"/>
          <cell r="G71"/>
          <cell r="H71"/>
          <cell r="I71">
            <v>-3011</v>
          </cell>
          <cell r="J71"/>
          <cell r="K71">
            <v>68743</v>
          </cell>
          <cell r="L71"/>
          <cell r="M71">
            <v>-7312</v>
          </cell>
          <cell r="N71"/>
          <cell r="O71">
            <v>37545</v>
          </cell>
          <cell r="P71"/>
          <cell r="Q71">
            <v>0</v>
          </cell>
          <cell r="R71"/>
          <cell r="S71">
            <v>0</v>
          </cell>
          <cell r="T71"/>
          <cell r="U71">
            <v>7167</v>
          </cell>
          <cell r="V71"/>
          <cell r="W71">
            <v>96771</v>
          </cell>
          <cell r="X71"/>
        </row>
        <row r="72">
          <cell r="B72" t="str">
            <v>F &amp; I</v>
          </cell>
          <cell r="C72" t="str">
            <v>CURRENT MONTH</v>
          </cell>
          <cell r="D72" t="str">
            <v>LEASES</v>
          </cell>
          <cell r="E72"/>
          <cell r="F72" t="str">
            <v>FIN</v>
          </cell>
          <cell r="G72" t="str">
            <v>CTR</v>
          </cell>
          <cell r="H72" t="str">
            <v>GAP</v>
          </cell>
          <cell r="I72" t="str">
            <v>Ins</v>
          </cell>
          <cell r="J72" t="str">
            <v>HONDA Care</v>
          </cell>
          <cell r="K72" t="str">
            <v>CTR</v>
          </cell>
          <cell r="L72" t="str">
            <v>Other
SVC</v>
          </cell>
          <cell r="M72" t="str">
            <v>CTR</v>
          </cell>
          <cell r="N72" t="str">
            <v>YTD</v>
          </cell>
          <cell r="O72" t="str">
            <v>LEASES</v>
          </cell>
          <cell r="P72"/>
          <cell r="Q72" t="str">
            <v>FIN</v>
          </cell>
          <cell r="R72" t="str">
            <v>CTR</v>
          </cell>
          <cell r="S72" t="str">
            <v>GAP</v>
          </cell>
          <cell r="T72" t="str">
            <v>Ins.</v>
          </cell>
          <cell r="U72" t="str">
            <v>HONDA
Care</v>
          </cell>
          <cell r="V72" t="str">
            <v>CTR</v>
          </cell>
          <cell r="W72" t="str">
            <v>Other
SVC</v>
          </cell>
          <cell r="X72" t="str">
            <v>CTR</v>
          </cell>
        </row>
        <row r="73">
          <cell r="B73"/>
          <cell r="C73" t="str">
            <v>CURRENT
MONTH</v>
          </cell>
          <cell r="D73" t="str">
            <v>#</v>
          </cell>
          <cell r="E73" t="str">
            <v>%</v>
          </cell>
          <cell r="F73" t="str">
            <v>#</v>
          </cell>
          <cell r="G73" t="str">
            <v>%</v>
          </cell>
          <cell r="H73" t="str">
            <v>#</v>
          </cell>
          <cell r="I73" t="str">
            <v>%</v>
          </cell>
          <cell r="J73" t="str">
            <v>#</v>
          </cell>
          <cell r="K73" t="str">
            <v>%</v>
          </cell>
          <cell r="L73" t="str">
            <v>#</v>
          </cell>
          <cell r="M73" t="str">
            <v>%</v>
          </cell>
          <cell r="N73"/>
          <cell r="O73" t="str">
            <v>#</v>
          </cell>
          <cell r="P73" t="str">
            <v>%</v>
          </cell>
          <cell r="Q73" t="str">
            <v>#</v>
          </cell>
          <cell r="R73" t="str">
            <v>%</v>
          </cell>
          <cell r="S73" t="str">
            <v>#</v>
          </cell>
          <cell r="T73" t="str">
            <v>%</v>
          </cell>
          <cell r="U73" t="str">
            <v>#</v>
          </cell>
          <cell r="V73" t="str">
            <v>%</v>
          </cell>
          <cell r="W73" t="str">
            <v>#</v>
          </cell>
          <cell r="X73" t="str">
            <v>%</v>
          </cell>
        </row>
        <row r="74">
          <cell r="B74"/>
          <cell r="C74" t="str">
            <v>NEW</v>
          </cell>
          <cell r="D74">
            <v>10</v>
          </cell>
          <cell r="E74">
            <v>0.11904761904761904</v>
          </cell>
          <cell r="F74">
            <v>53</v>
          </cell>
          <cell r="G74">
            <v>0.63095238095238093</v>
          </cell>
          <cell r="H74">
            <v>18</v>
          </cell>
          <cell r="I74">
            <v>0.21428571428571427</v>
          </cell>
          <cell r="J74">
            <v>0</v>
          </cell>
          <cell r="K74">
            <v>0</v>
          </cell>
          <cell r="L74">
            <v>31</v>
          </cell>
          <cell r="M74">
            <v>0.36904761904761907</v>
          </cell>
          <cell r="N74" t="str">
            <v>NEW</v>
          </cell>
          <cell r="O74">
            <v>40</v>
          </cell>
          <cell r="P74">
            <v>4.6620046620046623E-2</v>
          </cell>
          <cell r="Q74">
            <v>617</v>
          </cell>
          <cell r="R74">
            <v>0.71911421911421913</v>
          </cell>
          <cell r="S74">
            <v>273</v>
          </cell>
          <cell r="T74">
            <v>0.31818181818181818</v>
          </cell>
          <cell r="U74">
            <v>0</v>
          </cell>
          <cell r="V74" t="str">
            <v>-</v>
          </cell>
          <cell r="W74">
            <v>404</v>
          </cell>
          <cell r="X74">
            <v>0.47086247086247085</v>
          </cell>
        </row>
        <row r="75">
          <cell r="B75"/>
          <cell r="C75" t="str">
            <v>USED</v>
          </cell>
          <cell r="D75">
            <v>0</v>
          </cell>
          <cell r="E75" t="str">
            <v>-</v>
          </cell>
          <cell r="F75">
            <v>41</v>
          </cell>
          <cell r="G75">
            <v>0.7321428571428571</v>
          </cell>
          <cell r="H75">
            <v>29</v>
          </cell>
          <cell r="I75">
            <v>0.5178571428571429</v>
          </cell>
          <cell r="J75">
            <v>0</v>
          </cell>
          <cell r="K75">
            <v>0</v>
          </cell>
          <cell r="L75">
            <v>26</v>
          </cell>
          <cell r="M75">
            <v>0.4642857142857143</v>
          </cell>
          <cell r="N75" t="str">
            <v>USED</v>
          </cell>
          <cell r="O75">
            <v>0</v>
          </cell>
          <cell r="P75" t="str">
            <v>-</v>
          </cell>
          <cell r="Q75">
            <v>548</v>
          </cell>
          <cell r="R75">
            <v>0.76429567642956764</v>
          </cell>
          <cell r="S75">
            <v>352</v>
          </cell>
          <cell r="T75">
            <v>0.49093444909344491</v>
          </cell>
          <cell r="U75">
            <v>0</v>
          </cell>
          <cell r="V75" t="str">
            <v>-</v>
          </cell>
          <cell r="W75">
            <v>349</v>
          </cell>
          <cell r="X75">
            <v>0.48675034867503486</v>
          </cell>
        </row>
        <row r="76">
          <cell r="B76" t="str">
            <v>ADDITIONS TO INCOME</v>
          </cell>
          <cell r="C76"/>
          <cell r="D76"/>
          <cell r="E76"/>
          <cell r="F76"/>
          <cell r="G76"/>
          <cell r="H76"/>
          <cell r="I76"/>
          <cell r="J76"/>
          <cell r="K76"/>
          <cell r="L76"/>
          <cell r="M76"/>
          <cell r="N76" t="str">
            <v>DEDUCTIONS FROM INCOME</v>
          </cell>
          <cell r="O76"/>
          <cell r="P76"/>
          <cell r="Q76"/>
          <cell r="R76"/>
          <cell r="S76"/>
          <cell r="T76"/>
          <cell r="U76"/>
          <cell r="V76"/>
          <cell r="W76"/>
          <cell r="X76"/>
        </row>
        <row r="77">
          <cell r="B77" t="str">
            <v>ACCOUNT NAME</v>
          </cell>
          <cell r="C77"/>
          <cell r="D77"/>
          <cell r="E77"/>
          <cell r="F77" t="str">
            <v>ACCT NO</v>
          </cell>
          <cell r="G77"/>
          <cell r="H77" t="str">
            <v>MONTH</v>
          </cell>
          <cell r="I77"/>
          <cell r="J77" t="str">
            <v>YEAR TO DATE</v>
          </cell>
          <cell r="K77"/>
          <cell r="L77"/>
          <cell r="M77"/>
          <cell r="N77" t="str">
            <v>ACCOUNT NAME</v>
          </cell>
          <cell r="O77"/>
          <cell r="P77"/>
          <cell r="Q77"/>
          <cell r="R77"/>
          <cell r="S77" t="str">
            <v>ACCT NO</v>
          </cell>
          <cell r="T77"/>
          <cell r="U77" t="str">
            <v>MONTH</v>
          </cell>
          <cell r="V77"/>
          <cell r="W77" t="str">
            <v>YEAR TO DATE</v>
          </cell>
          <cell r="X77"/>
        </row>
        <row r="78">
          <cell r="B78" t="str">
            <v>Cash Discount Earned</v>
          </cell>
          <cell r="C78"/>
          <cell r="D78"/>
          <cell r="E78"/>
          <cell r="F78">
            <v>800</v>
          </cell>
          <cell r="G78"/>
          <cell r="H78">
            <v>0</v>
          </cell>
          <cell r="I78"/>
          <cell r="J78">
            <v>0</v>
          </cell>
          <cell r="K78"/>
          <cell r="L78"/>
          <cell r="M78"/>
          <cell r="N78" t="str">
            <v>Cash Discount Allowed</v>
          </cell>
          <cell r="O78"/>
          <cell r="P78"/>
          <cell r="Q78"/>
          <cell r="R78"/>
          <cell r="S78">
            <v>900</v>
          </cell>
          <cell r="T78"/>
          <cell r="U78">
            <v>0</v>
          </cell>
          <cell r="V78"/>
          <cell r="W78">
            <v>0</v>
          </cell>
          <cell r="X78"/>
        </row>
        <row r="79">
          <cell r="B79" t="str">
            <v>Interest Earned</v>
          </cell>
          <cell r="C79"/>
          <cell r="D79"/>
          <cell r="E79"/>
          <cell r="F79">
            <v>802</v>
          </cell>
          <cell r="G79"/>
          <cell r="H79">
            <v>534</v>
          </cell>
          <cell r="I79"/>
          <cell r="J79">
            <v>5215</v>
          </cell>
          <cell r="K79"/>
          <cell r="L79"/>
          <cell r="M79"/>
          <cell r="N79" t="str">
            <v>Lease &amp; Rental Vehicle Exp</v>
          </cell>
          <cell r="O79"/>
          <cell r="P79"/>
          <cell r="Q79"/>
          <cell r="R79"/>
          <cell r="S79">
            <v>905</v>
          </cell>
          <cell r="T79"/>
          <cell r="U79">
            <v>4206</v>
          </cell>
          <cell r="V79"/>
          <cell r="W79">
            <v>38416</v>
          </cell>
          <cell r="X79"/>
        </row>
        <row r="80">
          <cell r="B80" t="str">
            <v>Lease &amp; Rental Vehicle Income</v>
          </cell>
          <cell r="C80"/>
          <cell r="D80"/>
          <cell r="E80"/>
          <cell r="F80">
            <v>805</v>
          </cell>
          <cell r="G80"/>
          <cell r="H80">
            <v>520</v>
          </cell>
          <cell r="I80"/>
          <cell r="J80">
            <v>9616</v>
          </cell>
          <cell r="K80"/>
          <cell r="L80"/>
          <cell r="M80"/>
          <cell r="N80" t="str">
            <v>Casualty Losses</v>
          </cell>
          <cell r="O80"/>
          <cell r="P80"/>
          <cell r="Q80"/>
          <cell r="R80"/>
          <cell r="S80">
            <v>906</v>
          </cell>
          <cell r="T80"/>
          <cell r="U80">
            <v>0</v>
          </cell>
          <cell r="V80"/>
          <cell r="W80">
            <v>0</v>
          </cell>
          <cell r="X80"/>
        </row>
        <row r="81">
          <cell r="B81" t="str">
            <v>Miscellaneous  Income</v>
          </cell>
          <cell r="C81"/>
          <cell r="D81"/>
          <cell r="E81"/>
          <cell r="F81">
            <v>809</v>
          </cell>
          <cell r="G81"/>
          <cell r="H81">
            <v>69860</v>
          </cell>
          <cell r="I81"/>
          <cell r="J81">
            <v>787729</v>
          </cell>
          <cell r="K81"/>
          <cell r="L81"/>
          <cell r="M81"/>
          <cell r="N81" t="str">
            <v>Miscellaneous  Deductions</v>
          </cell>
          <cell r="O81"/>
          <cell r="P81"/>
          <cell r="Q81"/>
          <cell r="R81"/>
          <cell r="S81">
            <v>909</v>
          </cell>
          <cell r="T81"/>
          <cell r="U81">
            <v>3029</v>
          </cell>
          <cell r="V81"/>
          <cell r="W81">
            <v>34012</v>
          </cell>
          <cell r="X81"/>
        </row>
        <row r="82">
          <cell r="B82" t="str">
            <v>L.I.F.O. Adjustment</v>
          </cell>
          <cell r="C82"/>
          <cell r="D82"/>
          <cell r="E82"/>
          <cell r="F82">
            <v>810</v>
          </cell>
          <cell r="G82"/>
          <cell r="H82">
            <v>0</v>
          </cell>
          <cell r="I82"/>
          <cell r="J82">
            <v>0</v>
          </cell>
          <cell r="K82"/>
          <cell r="L82"/>
          <cell r="M82"/>
          <cell r="N82" t="str">
            <v>L.I.F.O. Adjustment</v>
          </cell>
          <cell r="O82"/>
          <cell r="P82"/>
          <cell r="Q82"/>
          <cell r="R82"/>
          <cell r="S82">
            <v>910</v>
          </cell>
          <cell r="T82"/>
          <cell r="U82">
            <v>0</v>
          </cell>
          <cell r="V82"/>
          <cell r="W82">
            <v>0</v>
          </cell>
          <cell r="X82"/>
        </row>
        <row r="83">
          <cell r="B83"/>
          <cell r="C83"/>
          <cell r="D83"/>
          <cell r="E83"/>
          <cell r="F83"/>
          <cell r="G83"/>
          <cell r="H83"/>
          <cell r="I83"/>
          <cell r="J83"/>
          <cell r="K83"/>
          <cell r="L83"/>
          <cell r="M83"/>
          <cell r="N83"/>
          <cell r="O83"/>
          <cell r="P83"/>
          <cell r="Q83"/>
          <cell r="R83"/>
          <cell r="S83"/>
          <cell r="T83"/>
          <cell r="U83"/>
          <cell r="V83"/>
          <cell r="W83"/>
          <cell r="X83"/>
        </row>
        <row r="84">
          <cell r="B84" t="str">
            <v>TOTAL                                         (LINES 74 TO 78)</v>
          </cell>
          <cell r="C84"/>
          <cell r="D84"/>
          <cell r="E84"/>
          <cell r="F84"/>
          <cell r="G84"/>
          <cell r="H84">
            <v>70914</v>
          </cell>
          <cell r="I84"/>
          <cell r="J84">
            <v>802560</v>
          </cell>
          <cell r="K84"/>
          <cell r="L84"/>
          <cell r="M84"/>
          <cell r="N84" t="str">
            <v>TOTAL                                                                         (LINES 74 TO 78)</v>
          </cell>
          <cell r="O84"/>
          <cell r="P84"/>
          <cell r="Q84"/>
          <cell r="R84"/>
          <cell r="S84"/>
          <cell r="T84"/>
          <cell r="U84">
            <v>7235</v>
          </cell>
          <cell r="V84"/>
          <cell r="W84">
            <v>72428</v>
          </cell>
          <cell r="X84"/>
        </row>
        <row r="85">
          <cell r="W85" t="str">
            <v>Ver</v>
          </cell>
          <cell r="X85" t="str">
            <v>1.2-5</v>
          </cell>
        </row>
      </sheetData>
      <sheetData sheetId="3" refreshError="1">
        <row r="21">
          <cell r="B21">
            <v>84</v>
          </cell>
          <cell r="L21">
            <v>858</v>
          </cell>
        </row>
        <row r="25">
          <cell r="B25">
            <v>0</v>
          </cell>
          <cell r="C25">
            <v>0</v>
          </cell>
          <cell r="L25">
            <v>34</v>
          </cell>
          <cell r="M25">
            <v>636214</v>
          </cell>
        </row>
        <row r="27">
          <cell r="B27">
            <v>20</v>
          </cell>
          <cell r="C27">
            <v>334982</v>
          </cell>
          <cell r="L27">
            <v>255</v>
          </cell>
          <cell r="M27">
            <v>4088829</v>
          </cell>
        </row>
        <row r="29">
          <cell r="B29">
            <v>36</v>
          </cell>
          <cell r="C29">
            <v>598030</v>
          </cell>
          <cell r="L29">
            <v>428</v>
          </cell>
          <cell r="M29">
            <v>6654841</v>
          </cell>
        </row>
        <row r="32">
          <cell r="C32">
            <v>234688</v>
          </cell>
          <cell r="D32">
            <v>25</v>
          </cell>
          <cell r="M32">
            <v>2620557</v>
          </cell>
          <cell r="N32">
            <v>-1540</v>
          </cell>
        </row>
        <row r="34">
          <cell r="D34">
            <v>71329</v>
          </cell>
          <cell r="N34">
            <v>865279</v>
          </cell>
        </row>
        <row r="36">
          <cell r="B36">
            <v>514</v>
          </cell>
          <cell r="C36">
            <v>76734</v>
          </cell>
          <cell r="D36">
            <v>58669</v>
          </cell>
          <cell r="L36">
            <v>8115</v>
          </cell>
          <cell r="M36">
            <v>812969</v>
          </cell>
          <cell r="N36">
            <v>624556</v>
          </cell>
        </row>
        <row r="37">
          <cell r="B37">
            <v>516</v>
          </cell>
          <cell r="C37">
            <v>10107</v>
          </cell>
          <cell r="D37">
            <v>7718</v>
          </cell>
          <cell r="L37">
            <v>2749</v>
          </cell>
          <cell r="M37">
            <v>50078</v>
          </cell>
          <cell r="N37">
            <v>37798</v>
          </cell>
        </row>
        <row r="38">
          <cell r="B38">
            <v>205</v>
          </cell>
          <cell r="C38">
            <v>16088</v>
          </cell>
          <cell r="D38">
            <v>13017</v>
          </cell>
          <cell r="L38">
            <v>3524</v>
          </cell>
          <cell r="M38">
            <v>242519</v>
          </cell>
          <cell r="N38">
            <v>191409</v>
          </cell>
        </row>
        <row r="39">
          <cell r="B39">
            <v>194</v>
          </cell>
          <cell r="C39">
            <v>28638</v>
          </cell>
          <cell r="D39">
            <v>23737</v>
          </cell>
          <cell r="L39">
            <v>2678</v>
          </cell>
          <cell r="M39">
            <v>440253</v>
          </cell>
          <cell r="N39">
            <v>352997</v>
          </cell>
        </row>
        <row r="40">
          <cell r="B40">
            <v>0</v>
          </cell>
          <cell r="C40">
            <v>0</v>
          </cell>
          <cell r="D40">
            <v>0</v>
          </cell>
          <cell r="L40">
            <v>0</v>
          </cell>
          <cell r="M40">
            <v>0</v>
          </cell>
          <cell r="N40">
            <v>0</v>
          </cell>
        </row>
        <row r="44">
          <cell r="C44">
            <v>1727</v>
          </cell>
          <cell r="D44">
            <v>0</v>
          </cell>
          <cell r="M44">
            <v>414609</v>
          </cell>
          <cell r="N44">
            <v>1612</v>
          </cell>
        </row>
        <row r="45">
          <cell r="D45">
            <v>-5581</v>
          </cell>
          <cell r="N45">
            <v>-50718</v>
          </cell>
        </row>
        <row r="46">
          <cell r="D46">
            <v>97560</v>
          </cell>
          <cell r="N46">
            <v>1157654</v>
          </cell>
        </row>
        <row r="56">
          <cell r="C56">
            <v>32495</v>
          </cell>
          <cell r="D56">
            <v>12428</v>
          </cell>
          <cell r="M56">
            <v>338301</v>
          </cell>
          <cell r="N56">
            <v>122014</v>
          </cell>
        </row>
        <row r="57">
          <cell r="C57">
            <v>1535</v>
          </cell>
          <cell r="D57">
            <v>622</v>
          </cell>
          <cell r="M57">
            <v>20831</v>
          </cell>
          <cell r="N57">
            <v>9230</v>
          </cell>
        </row>
        <row r="59">
          <cell r="C59">
            <v>27381</v>
          </cell>
          <cell r="D59">
            <v>7827</v>
          </cell>
          <cell r="M59">
            <v>424517</v>
          </cell>
          <cell r="N59">
            <v>121011</v>
          </cell>
        </row>
        <row r="60">
          <cell r="C60">
            <v>25555</v>
          </cell>
          <cell r="D60">
            <v>7820</v>
          </cell>
          <cell r="M60">
            <v>262476</v>
          </cell>
          <cell r="N60">
            <v>50366</v>
          </cell>
        </row>
        <row r="61">
          <cell r="B61">
            <v>218</v>
          </cell>
          <cell r="C61">
            <v>7903</v>
          </cell>
          <cell r="D61">
            <v>3196</v>
          </cell>
          <cell r="L61">
            <v>2382</v>
          </cell>
          <cell r="M61">
            <v>81533</v>
          </cell>
          <cell r="N61">
            <v>27978</v>
          </cell>
        </row>
        <row r="62">
          <cell r="B62">
            <v>98</v>
          </cell>
          <cell r="C62">
            <v>7361</v>
          </cell>
          <cell r="D62">
            <v>1950</v>
          </cell>
          <cell r="L62">
            <v>815</v>
          </cell>
          <cell r="M62">
            <v>117810</v>
          </cell>
          <cell r="N62">
            <v>28843</v>
          </cell>
        </row>
        <row r="63">
          <cell r="B63">
            <v>0</v>
          </cell>
          <cell r="C63">
            <v>0</v>
          </cell>
          <cell r="D63">
            <v>0</v>
          </cell>
          <cell r="L63">
            <v>0</v>
          </cell>
          <cell r="M63">
            <v>0</v>
          </cell>
          <cell r="N63">
            <v>0</v>
          </cell>
        </row>
        <row r="67">
          <cell r="C67">
            <v>1016</v>
          </cell>
          <cell r="D67">
            <v>401</v>
          </cell>
          <cell r="M67">
            <v>13273</v>
          </cell>
          <cell r="N67">
            <v>5109</v>
          </cell>
        </row>
        <row r="68">
          <cell r="C68">
            <v>0</v>
          </cell>
          <cell r="D68">
            <v>0</v>
          </cell>
          <cell r="M68">
            <v>658</v>
          </cell>
          <cell r="N68">
            <v>162</v>
          </cell>
        </row>
        <row r="69">
          <cell r="C69">
            <v>3343</v>
          </cell>
          <cell r="D69">
            <v>1335</v>
          </cell>
          <cell r="M69">
            <v>87668</v>
          </cell>
          <cell r="N69">
            <v>38980</v>
          </cell>
        </row>
        <row r="70">
          <cell r="B70">
            <v>0</v>
          </cell>
          <cell r="C70">
            <v>0</v>
          </cell>
          <cell r="D70">
            <v>0</v>
          </cell>
          <cell r="L70">
            <v>65</v>
          </cell>
          <cell r="M70">
            <v>11382</v>
          </cell>
          <cell r="N70">
            <v>4729</v>
          </cell>
        </row>
        <row r="71">
          <cell r="B71">
            <v>0</v>
          </cell>
          <cell r="C71">
            <v>0</v>
          </cell>
          <cell r="D71">
            <v>0</v>
          </cell>
          <cell r="L71">
            <v>3</v>
          </cell>
          <cell r="M71">
            <v>26</v>
          </cell>
          <cell r="N71">
            <v>77</v>
          </cell>
        </row>
        <row r="73">
          <cell r="D73">
            <v>1736</v>
          </cell>
          <cell r="N73">
            <v>49057</v>
          </cell>
        </row>
        <row r="75">
          <cell r="D75">
            <v>31869</v>
          </cell>
          <cell r="N75">
            <v>394695</v>
          </cell>
        </row>
        <row r="76">
          <cell r="C76">
            <v>31230</v>
          </cell>
          <cell r="M76">
            <v>244042</v>
          </cell>
        </row>
        <row r="77">
          <cell r="C77">
            <v>0</v>
          </cell>
          <cell r="M77">
            <v>0</v>
          </cell>
        </row>
        <row r="78">
          <cell r="C78">
            <v>3083</v>
          </cell>
          <cell r="D78">
            <v>428</v>
          </cell>
          <cell r="M78">
            <v>62813</v>
          </cell>
          <cell r="N78">
            <v>7419</v>
          </cell>
        </row>
        <row r="79">
          <cell r="C79">
            <v>0</v>
          </cell>
          <cell r="D79">
            <v>0</v>
          </cell>
          <cell r="M79">
            <v>520</v>
          </cell>
          <cell r="N79">
            <v>-38</v>
          </cell>
        </row>
        <row r="80">
          <cell r="C80">
            <v>10046</v>
          </cell>
          <cell r="D80">
            <v>3960</v>
          </cell>
          <cell r="M80">
            <v>92058</v>
          </cell>
          <cell r="N80">
            <v>32649</v>
          </cell>
        </row>
        <row r="81">
          <cell r="C81">
            <v>0</v>
          </cell>
          <cell r="D81">
            <v>0</v>
          </cell>
          <cell r="M81">
            <v>22896</v>
          </cell>
          <cell r="N81">
            <v>8108</v>
          </cell>
        </row>
        <row r="82">
          <cell r="D82">
            <v>47086</v>
          </cell>
          <cell r="N82">
            <v>525806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GE 1"/>
      <sheetName val="PAGE 2"/>
      <sheetName val="PAGE 3"/>
      <sheetName val="Page 4"/>
      <sheetName val="Page 5"/>
      <sheetName val="Page 6"/>
      <sheetName val="Detail"/>
      <sheetName val="Manf COA"/>
      <sheetName val="Cross Ref"/>
      <sheetName val="WFPFFWTOT"/>
      <sheetName val="FFPXREFDTA"/>
      <sheetName val="FFPENVIOR"/>
      <sheetName val="Const"/>
      <sheetName val="Language"/>
      <sheetName val="Factory Accounts "/>
      <sheetName val="Change Log"/>
    </sheetNames>
    <sheetDataSet>
      <sheetData sheetId="0" refreshError="1"/>
      <sheetData sheetId="1" refreshError="1">
        <row r="1">
          <cell r="B1"/>
          <cell r="C1"/>
          <cell r="D1"/>
          <cell r="E1"/>
          <cell r="F1"/>
          <cell r="G1">
            <v>2016</v>
          </cell>
          <cell r="H1" t="str">
            <v>TOTAL INCOME AND EXPENSE</v>
          </cell>
          <cell r="I1"/>
          <cell r="J1"/>
          <cell r="K1"/>
          <cell r="L1"/>
          <cell r="M1"/>
          <cell r="N1"/>
          <cell r="O1"/>
          <cell r="P1"/>
          <cell r="Q1"/>
          <cell r="R1" t="str">
            <v>Page 2</v>
          </cell>
          <cell r="S1"/>
        </row>
        <row r="2">
          <cell r="B2" t="str">
            <v>NAME OF ACCOUNT</v>
          </cell>
          <cell r="C2"/>
          <cell r="D2" t="str">
            <v>ACCT.</v>
          </cell>
          <cell r="E2" t="str">
            <v>TOTAL DEALERSHIP</v>
          </cell>
          <cell r="F2"/>
          <cell r="G2"/>
          <cell r="H2"/>
          <cell r="I2"/>
          <cell r="J2"/>
          <cell r="K2" t="str">
            <v>(1) NEW VEHICLE DEPARTMENT</v>
          </cell>
          <cell r="L2"/>
          <cell r="M2"/>
          <cell r="N2"/>
          <cell r="O2" t="str">
            <v>(2) USED VEHICLE DEPARTMENT</v>
          </cell>
          <cell r="P2"/>
          <cell r="Q2"/>
          <cell r="R2"/>
          <cell r="S2" t="str">
            <v>Line No.</v>
          </cell>
        </row>
        <row r="3">
          <cell r="B3"/>
          <cell r="C3"/>
          <cell r="D3" t="str">
            <v>NO.</v>
          </cell>
          <cell r="E3" t="str">
            <v>MONTH</v>
          </cell>
          <cell r="F3"/>
          <cell r="G3" t="str">
            <v>G.P. % SALES</v>
          </cell>
          <cell r="H3" t="str">
            <v>YEAR TO DATE</v>
          </cell>
          <cell r="I3"/>
          <cell r="J3" t="str">
            <v>G.P. % SALES</v>
          </cell>
          <cell r="K3" t="str">
            <v>MONTH</v>
          </cell>
          <cell r="L3"/>
          <cell r="M3" t="str">
            <v>YEAR TO DATE</v>
          </cell>
          <cell r="N3"/>
          <cell r="O3" t="str">
            <v>MONTH</v>
          </cell>
          <cell r="P3"/>
          <cell r="Q3" t="str">
            <v>YEAR TO DATE</v>
          </cell>
          <cell r="R3"/>
          <cell r="S3"/>
        </row>
        <row r="4">
          <cell r="B4" t="str">
            <v>TOTAL SALES</v>
          </cell>
          <cell r="C4"/>
          <cell r="D4"/>
          <cell r="E4">
            <v>10959442</v>
          </cell>
          <cell r="F4"/>
          <cell r="G4"/>
          <cell r="H4">
            <v>98304466</v>
          </cell>
          <cell r="I4"/>
          <cell r="J4"/>
          <cell r="K4">
            <v>6385265</v>
          </cell>
          <cell r="L4"/>
          <cell r="M4">
            <v>54034433</v>
          </cell>
          <cell r="N4"/>
          <cell r="O4">
            <v>3784900</v>
          </cell>
          <cell r="P4"/>
          <cell r="Q4">
            <v>35485914</v>
          </cell>
          <cell r="R4"/>
          <cell r="S4">
            <v>1</v>
          </cell>
        </row>
        <row r="5">
          <cell r="B5" t="str">
            <v>TOTAL GROSS PROFIT</v>
          </cell>
          <cell r="C5"/>
          <cell r="D5"/>
          <cell r="E5">
            <v>835445</v>
          </cell>
          <cell r="F5"/>
          <cell r="G5">
            <v>7.6230614660855914E-2</v>
          </cell>
          <cell r="H5">
            <v>9084374</v>
          </cell>
          <cell r="I5"/>
          <cell r="J5">
            <v>9.2410593024329135E-2</v>
          </cell>
          <cell r="K5">
            <v>242887</v>
          </cell>
          <cell r="L5"/>
          <cell r="M5">
            <v>2444158</v>
          </cell>
          <cell r="N5"/>
          <cell r="O5">
            <v>222809</v>
          </cell>
          <cell r="P5"/>
          <cell r="Q5">
            <v>2529049</v>
          </cell>
          <cell r="R5"/>
          <cell r="S5">
            <v>2</v>
          </cell>
        </row>
        <row r="6">
          <cell r="B6" t="str">
            <v>DEPARTMENTAL EXPENSES</v>
          </cell>
          <cell r="C6"/>
          <cell r="D6"/>
          <cell r="E6"/>
          <cell r="F6"/>
          <cell r="G6" t="str">
            <v>% G.P.</v>
          </cell>
          <cell r="H6"/>
          <cell r="I6"/>
          <cell r="J6" t="str">
            <v>% G.P.</v>
          </cell>
          <cell r="K6"/>
          <cell r="L6"/>
          <cell r="M6"/>
          <cell r="N6"/>
          <cell r="O6"/>
          <cell r="P6"/>
          <cell r="Q6"/>
          <cell r="R6"/>
          <cell r="S6">
            <v>3</v>
          </cell>
        </row>
        <row r="7">
          <cell r="B7" t="str">
            <v>Sales Compensation</v>
          </cell>
          <cell r="C7"/>
          <cell r="D7">
            <v>7000</v>
          </cell>
          <cell r="E7">
            <v>147861</v>
          </cell>
          <cell r="F7"/>
          <cell r="G7">
            <v>0.17698472071770135</v>
          </cell>
          <cell r="H7">
            <v>1467719</v>
          </cell>
          <cell r="I7"/>
          <cell r="J7">
            <v>0.16156523278323856</v>
          </cell>
          <cell r="K7">
            <v>51752</v>
          </cell>
          <cell r="L7"/>
          <cell r="M7">
            <v>453686</v>
          </cell>
          <cell r="N7"/>
          <cell r="O7">
            <v>40218</v>
          </cell>
          <cell r="P7"/>
          <cell r="Q7">
            <v>373167</v>
          </cell>
          <cell r="R7"/>
          <cell r="S7">
            <v>4</v>
          </cell>
        </row>
        <row r="8">
          <cell r="B8" t="str">
            <v>Sales Compensation - Scion only</v>
          </cell>
          <cell r="C8"/>
          <cell r="D8">
            <v>7006</v>
          </cell>
          <cell r="E8">
            <v>250</v>
          </cell>
          <cell r="F8"/>
          <cell r="G8">
            <v>2.9924172147777531E-4</v>
          </cell>
          <cell r="H8">
            <v>9866</v>
          </cell>
          <cell r="I8"/>
          <cell r="J8">
            <v>1.0860407112256716E-3</v>
          </cell>
          <cell r="K8">
            <v>250</v>
          </cell>
          <cell r="L8"/>
          <cell r="M8">
            <v>9866</v>
          </cell>
          <cell r="N8"/>
          <cell r="O8">
            <v>0</v>
          </cell>
          <cell r="P8"/>
          <cell r="Q8">
            <v>0</v>
          </cell>
          <cell r="R8"/>
          <cell r="S8">
            <v>5</v>
          </cell>
        </row>
        <row r="9">
          <cell r="B9" t="str">
            <v>Supervision Compensation</v>
          </cell>
          <cell r="C9"/>
          <cell r="D9">
            <v>7010</v>
          </cell>
          <cell r="E9">
            <v>109645</v>
          </cell>
          <cell r="F9"/>
          <cell r="G9">
            <v>0.13124143420572271</v>
          </cell>
          <cell r="H9">
            <v>1229742</v>
          </cell>
          <cell r="I9"/>
          <cell r="J9">
            <v>0.13536893130996147</v>
          </cell>
          <cell r="K9">
            <v>41962</v>
          </cell>
          <cell r="L9"/>
          <cell r="M9">
            <v>422929</v>
          </cell>
          <cell r="N9"/>
          <cell r="O9">
            <v>34085</v>
          </cell>
          <cell r="P9"/>
          <cell r="Q9">
            <v>409367</v>
          </cell>
          <cell r="R9"/>
          <cell r="S9">
            <v>6</v>
          </cell>
        </row>
        <row r="10">
          <cell r="B10" t="str">
            <v>Supervision Compensation - Scion only</v>
          </cell>
          <cell r="C10"/>
          <cell r="D10">
            <v>7016</v>
          </cell>
          <cell r="E10">
            <v>0</v>
          </cell>
          <cell r="F10"/>
          <cell r="G10" t="str">
            <v>-</v>
          </cell>
          <cell r="H10">
            <v>0</v>
          </cell>
          <cell r="I10"/>
          <cell r="J10" t="str">
            <v>-</v>
          </cell>
          <cell r="K10">
            <v>0</v>
          </cell>
          <cell r="L10"/>
          <cell r="M10">
            <v>0</v>
          </cell>
          <cell r="N10"/>
          <cell r="O10">
            <v>0</v>
          </cell>
          <cell r="P10"/>
          <cell r="Q10">
            <v>0</v>
          </cell>
          <cell r="R10"/>
          <cell r="S10">
            <v>7</v>
          </cell>
        </row>
        <row r="11">
          <cell r="B11" t="str">
            <v>Delivery Expenses</v>
          </cell>
          <cell r="C11"/>
          <cell r="D11">
            <v>7020</v>
          </cell>
          <cell r="E11">
            <v>-2285</v>
          </cell>
          <cell r="F11"/>
          <cell r="G11">
            <v>-2.7350693343068666E-3</v>
          </cell>
          <cell r="H11">
            <v>-15211</v>
          </cell>
          <cell r="I11"/>
          <cell r="J11">
            <v>-1.6744136690101045E-3</v>
          </cell>
          <cell r="K11">
            <v>1088</v>
          </cell>
          <cell r="L11"/>
          <cell r="M11">
            <v>12581</v>
          </cell>
          <cell r="N11"/>
          <cell r="O11">
            <v>-3373</v>
          </cell>
          <cell r="P11"/>
          <cell r="Q11">
            <v>-27792</v>
          </cell>
          <cell r="R11"/>
          <cell r="S11">
            <v>8</v>
          </cell>
        </row>
        <row r="12">
          <cell r="B12" t="str">
            <v>Finance, Ins., &amp; Svc. Ctr. Commissions</v>
          </cell>
          <cell r="C12"/>
          <cell r="D12">
            <v>7030</v>
          </cell>
          <cell r="E12">
            <v>53780</v>
          </cell>
          <cell r="F12"/>
          <cell r="G12">
            <v>6.4372879124299023E-2</v>
          </cell>
          <cell r="H12">
            <v>520952</v>
          </cell>
          <cell r="I12"/>
          <cell r="J12">
            <v>5.7345943705091842E-2</v>
          </cell>
          <cell r="K12">
            <v>26890</v>
          </cell>
          <cell r="L12"/>
          <cell r="M12">
            <v>271235</v>
          </cell>
          <cell r="N12"/>
          <cell r="O12">
            <v>26890</v>
          </cell>
          <cell r="P12"/>
          <cell r="Q12">
            <v>249717</v>
          </cell>
          <cell r="R12"/>
          <cell r="S12">
            <v>9</v>
          </cell>
        </row>
        <row r="13">
          <cell r="B13" t="str">
            <v>Finc, Ins., &amp; Svc.Ctr.Com. - Scion only</v>
          </cell>
          <cell r="C13"/>
          <cell r="D13">
            <v>7036</v>
          </cell>
          <cell r="E13">
            <v>0</v>
          </cell>
          <cell r="F13"/>
          <cell r="G13" t="str">
            <v>-</v>
          </cell>
          <cell r="H13">
            <v>0</v>
          </cell>
          <cell r="I13"/>
          <cell r="J13" t="str">
            <v>-</v>
          </cell>
          <cell r="K13">
            <v>0</v>
          </cell>
          <cell r="L13"/>
          <cell r="M13">
            <v>0</v>
          </cell>
          <cell r="N13"/>
          <cell r="O13">
            <v>0</v>
          </cell>
          <cell r="P13"/>
          <cell r="Q13">
            <v>0</v>
          </cell>
          <cell r="R13"/>
          <cell r="S13">
            <v>10</v>
          </cell>
        </row>
        <row r="14">
          <cell r="B14" t="str">
            <v>Advertising - Departmental</v>
          </cell>
          <cell r="C14"/>
          <cell r="D14">
            <v>7040</v>
          </cell>
          <cell r="E14">
            <v>29363</v>
          </cell>
          <cell r="F14"/>
          <cell r="G14">
            <v>3.5146538671007664E-2</v>
          </cell>
          <cell r="H14">
            <v>395169</v>
          </cell>
          <cell r="I14"/>
          <cell r="J14">
            <v>4.3499860309582146E-2</v>
          </cell>
          <cell r="K14">
            <v>13676</v>
          </cell>
          <cell r="L14"/>
          <cell r="M14">
            <v>176094</v>
          </cell>
          <cell r="N14"/>
          <cell r="O14">
            <v>13676</v>
          </cell>
          <cell r="P14"/>
          <cell r="Q14">
            <v>175718</v>
          </cell>
          <cell r="R14"/>
          <cell r="S14">
            <v>11</v>
          </cell>
        </row>
        <row r="15">
          <cell r="B15" t="str">
            <v>Interest - Floor Plan</v>
          </cell>
          <cell r="C15"/>
          <cell r="D15">
            <v>7050</v>
          </cell>
          <cell r="E15">
            <v>-21934</v>
          </cell>
          <cell r="F15"/>
          <cell r="G15">
            <v>-2.6254271675574096E-2</v>
          </cell>
          <cell r="H15">
            <v>-396692</v>
          </cell>
          <cell r="I15"/>
          <cell r="J15">
            <v>-4.3667510826832977E-2</v>
          </cell>
          <cell r="K15">
            <v>-24931</v>
          </cell>
          <cell r="L15"/>
          <cell r="M15">
            <v>-424188</v>
          </cell>
          <cell r="N15"/>
          <cell r="O15">
            <v>2997</v>
          </cell>
          <cell r="P15"/>
          <cell r="Q15">
            <v>27496</v>
          </cell>
          <cell r="R15"/>
          <cell r="S15">
            <v>12</v>
          </cell>
        </row>
        <row r="16">
          <cell r="B16" t="str">
            <v>TOTAL SELLING EXPENSES</v>
          </cell>
          <cell r="C16" t="str">
            <v xml:space="preserve">LINES 4-12 </v>
          </cell>
          <cell r="D16"/>
          <cell r="E16">
            <v>316680</v>
          </cell>
          <cell r="F16"/>
          <cell r="G16">
            <v>0.37905547343032753</v>
          </cell>
          <cell r="H16">
            <v>3211545</v>
          </cell>
          <cell r="I16"/>
          <cell r="J16">
            <v>0.3535240843232566</v>
          </cell>
          <cell r="K16">
            <v>110687</v>
          </cell>
          <cell r="L16"/>
          <cell r="M16">
            <v>922203</v>
          </cell>
          <cell r="N16"/>
          <cell r="O16">
            <v>114493</v>
          </cell>
          <cell r="P16"/>
          <cell r="Q16">
            <v>1207673</v>
          </cell>
          <cell r="R16"/>
          <cell r="S16">
            <v>13</v>
          </cell>
        </row>
        <row r="17">
          <cell r="B17" t="str">
            <v xml:space="preserve">Policy &amp; Claims Adjustments  </v>
          </cell>
          <cell r="C17"/>
          <cell r="D17" t="str">
            <v>7110/7120</v>
          </cell>
          <cell r="E17">
            <v>3689</v>
          </cell>
          <cell r="F17"/>
          <cell r="G17">
            <v>4.4156108421260524E-3</v>
          </cell>
          <cell r="H17">
            <v>87165</v>
          </cell>
          <cell r="I17"/>
          <cell r="J17">
            <v>9.5950474958428622E-3</v>
          </cell>
          <cell r="K17">
            <v>0</v>
          </cell>
          <cell r="L17"/>
          <cell r="M17">
            <v>0</v>
          </cell>
          <cell r="N17"/>
          <cell r="O17">
            <v>0</v>
          </cell>
          <cell r="P17"/>
          <cell r="Q17">
            <v>0</v>
          </cell>
          <cell r="R17"/>
          <cell r="S17">
            <v>14</v>
          </cell>
        </row>
        <row r="18">
          <cell r="B18" t="str">
            <v>Demos &amp; Company Vehicles - Dept'l</v>
          </cell>
          <cell r="C18"/>
          <cell r="D18">
            <v>7140</v>
          </cell>
          <cell r="E18">
            <v>4129</v>
          </cell>
          <cell r="F18"/>
          <cell r="G18">
            <v>4.9422762719269374E-3</v>
          </cell>
          <cell r="H18">
            <v>37605</v>
          </cell>
          <cell r="I18"/>
          <cell r="J18">
            <v>4.1395257394730772E-3</v>
          </cell>
          <cell r="K18">
            <v>0</v>
          </cell>
          <cell r="L18"/>
          <cell r="M18">
            <v>436</v>
          </cell>
          <cell r="N18"/>
          <cell r="O18">
            <v>2185</v>
          </cell>
          <cell r="P18"/>
          <cell r="Q18">
            <v>12852</v>
          </cell>
          <cell r="R18"/>
          <cell r="S18">
            <v>15</v>
          </cell>
        </row>
        <row r="19">
          <cell r="B19" t="str">
            <v>Inventory Maintenance</v>
          </cell>
          <cell r="C19"/>
          <cell r="D19">
            <v>7150</v>
          </cell>
          <cell r="E19">
            <v>0</v>
          </cell>
          <cell r="F19"/>
          <cell r="G19" t="str">
            <v>-</v>
          </cell>
          <cell r="H19">
            <v>489</v>
          </cell>
          <cell r="I19"/>
          <cell r="J19">
            <v>5.3828695295900411E-5</v>
          </cell>
          <cell r="K19">
            <v>0</v>
          </cell>
          <cell r="L19"/>
          <cell r="M19">
            <v>489</v>
          </cell>
          <cell r="N19"/>
          <cell r="O19">
            <v>0</v>
          </cell>
          <cell r="P19"/>
          <cell r="Q19">
            <v>0</v>
          </cell>
          <cell r="R19"/>
          <cell r="S19">
            <v>16</v>
          </cell>
        </row>
        <row r="20">
          <cell r="B20" t="str">
            <v>Personnel Training</v>
          </cell>
          <cell r="C20"/>
          <cell r="D20">
            <v>7160</v>
          </cell>
          <cell r="E20">
            <v>8027</v>
          </cell>
          <cell r="F20"/>
          <cell r="G20">
            <v>9.6080531932084094E-3</v>
          </cell>
          <cell r="H20">
            <v>98666</v>
          </cell>
          <cell r="I20"/>
          <cell r="J20">
            <v>1.0861067587045624E-2</v>
          </cell>
          <cell r="K20">
            <v>1996</v>
          </cell>
          <cell r="L20"/>
          <cell r="M20">
            <v>33205</v>
          </cell>
          <cell r="N20"/>
          <cell r="O20">
            <v>1305</v>
          </cell>
          <cell r="P20"/>
          <cell r="Q20">
            <v>22458</v>
          </cell>
          <cell r="R20"/>
          <cell r="S20">
            <v>17</v>
          </cell>
        </row>
        <row r="21">
          <cell r="B21" t="str">
            <v>Outside Services - Departmental</v>
          </cell>
          <cell r="C21"/>
          <cell r="D21">
            <v>7170</v>
          </cell>
          <cell r="E21">
            <v>18583</v>
          </cell>
          <cell r="F21"/>
          <cell r="G21">
            <v>2.2243235640885994E-2</v>
          </cell>
          <cell r="H21">
            <v>238006</v>
          </cell>
          <cell r="I21"/>
          <cell r="J21">
            <v>2.619949376809013E-2</v>
          </cell>
          <cell r="K21">
            <v>3772</v>
          </cell>
          <cell r="L21"/>
          <cell r="M21">
            <v>79744</v>
          </cell>
          <cell r="N21"/>
          <cell r="O21">
            <v>5771</v>
          </cell>
          <cell r="P21"/>
          <cell r="Q21">
            <v>93785</v>
          </cell>
          <cell r="R21"/>
          <cell r="S21">
            <v>18</v>
          </cell>
        </row>
        <row r="22">
          <cell r="B22" t="str">
            <v>Freight</v>
          </cell>
          <cell r="C22"/>
          <cell r="D22">
            <v>7180</v>
          </cell>
          <cell r="E22">
            <v>-72</v>
          </cell>
          <cell r="F22"/>
          <cell r="G22">
            <v>-8.618161578559929E-5</v>
          </cell>
          <cell r="H22">
            <v>-939</v>
          </cell>
          <cell r="I22"/>
          <cell r="J22">
            <v>-1.0336430446390692E-4</v>
          </cell>
          <cell r="K22"/>
          <cell r="L22"/>
          <cell r="M22"/>
          <cell r="N22"/>
          <cell r="O22"/>
          <cell r="P22"/>
          <cell r="Q22"/>
          <cell r="R22"/>
          <cell r="S22">
            <v>19</v>
          </cell>
        </row>
        <row r="23">
          <cell r="B23" t="str">
            <v>Supplies &amp; Small Tools</v>
          </cell>
          <cell r="C23"/>
          <cell r="D23">
            <v>7190</v>
          </cell>
          <cell r="E23">
            <v>2141</v>
          </cell>
          <cell r="F23"/>
          <cell r="G23">
            <v>2.5627061027356677E-3</v>
          </cell>
          <cell r="H23">
            <v>60099</v>
          </cell>
          <cell r="I23"/>
          <cell r="J23">
            <v>6.6156457230844967E-3</v>
          </cell>
          <cell r="K23">
            <v>1413</v>
          </cell>
          <cell r="L23"/>
          <cell r="M23">
            <v>22810</v>
          </cell>
          <cell r="N23"/>
          <cell r="O23">
            <v>1014</v>
          </cell>
          <cell r="P23"/>
          <cell r="Q23">
            <v>25002</v>
          </cell>
          <cell r="R23"/>
          <cell r="S23">
            <v>20</v>
          </cell>
        </row>
        <row r="24">
          <cell r="B24" t="str">
            <v>Laundry &amp; Uniforms</v>
          </cell>
          <cell r="C24"/>
          <cell r="D24">
            <v>7200</v>
          </cell>
          <cell r="E24">
            <v>116</v>
          </cell>
          <cell r="F24"/>
          <cell r="G24">
            <v>1.3884815876568775E-4</v>
          </cell>
          <cell r="H24">
            <v>14923</v>
          </cell>
          <cell r="I24"/>
          <cell r="J24">
            <v>1.6427108791425805E-3</v>
          </cell>
          <cell r="K24">
            <v>-31</v>
          </cell>
          <cell r="L24"/>
          <cell r="M24">
            <v>4108</v>
          </cell>
          <cell r="N24"/>
          <cell r="O24">
            <v>26</v>
          </cell>
          <cell r="P24"/>
          <cell r="Q24">
            <v>3846</v>
          </cell>
          <cell r="R24"/>
          <cell r="S24">
            <v>21</v>
          </cell>
        </row>
        <row r="25">
          <cell r="B25" t="str">
            <v>Depr. - Equip. &amp; Vehicles - Dept'l.</v>
          </cell>
          <cell r="C25"/>
          <cell r="D25">
            <v>7210</v>
          </cell>
          <cell r="E25">
            <v>2545</v>
          </cell>
          <cell r="F25"/>
          <cell r="G25">
            <v>3.0462807246437527E-3</v>
          </cell>
          <cell r="H25">
            <v>20344</v>
          </cell>
          <cell r="I25"/>
          <cell r="J25">
            <v>2.2394498509198321E-3</v>
          </cell>
          <cell r="K25">
            <v>65</v>
          </cell>
          <cell r="L25"/>
          <cell r="M25">
            <v>786</v>
          </cell>
          <cell r="N25"/>
          <cell r="O25">
            <v>65</v>
          </cell>
          <cell r="P25"/>
          <cell r="Q25">
            <v>786</v>
          </cell>
          <cell r="R25"/>
          <cell r="S25">
            <v>22</v>
          </cell>
        </row>
        <row r="26">
          <cell r="B26" t="str">
            <v>Equip. - Maint., Repair &amp; Rental - Dept'l.</v>
          </cell>
          <cell r="C26"/>
          <cell r="D26">
            <v>7220</v>
          </cell>
          <cell r="E26">
            <v>2836</v>
          </cell>
          <cell r="F26"/>
          <cell r="G26">
            <v>3.3945980884438833E-3</v>
          </cell>
          <cell r="H26">
            <v>29256</v>
          </cell>
          <cell r="I26"/>
          <cell r="J26">
            <v>3.2204750707093303E-3</v>
          </cell>
          <cell r="K26">
            <v>0</v>
          </cell>
          <cell r="L26"/>
          <cell r="M26">
            <v>995</v>
          </cell>
          <cell r="N26"/>
          <cell r="O26">
            <v>0</v>
          </cell>
          <cell r="P26"/>
          <cell r="Q26">
            <v>862</v>
          </cell>
          <cell r="R26"/>
          <cell r="S26">
            <v>23</v>
          </cell>
        </row>
        <row r="27">
          <cell r="B27" t="str">
            <v>Miscellaneous Expenses</v>
          </cell>
          <cell r="C27"/>
          <cell r="D27">
            <v>7230</v>
          </cell>
          <cell r="E27">
            <v>0</v>
          </cell>
          <cell r="F27"/>
          <cell r="G27" t="str">
            <v>-</v>
          </cell>
          <cell r="H27">
            <v>0</v>
          </cell>
          <cell r="I27"/>
          <cell r="J27" t="str">
            <v>-</v>
          </cell>
          <cell r="K27">
            <v>0</v>
          </cell>
          <cell r="L27"/>
          <cell r="M27">
            <v>0</v>
          </cell>
          <cell r="N27"/>
          <cell r="O27">
            <v>0</v>
          </cell>
          <cell r="P27"/>
          <cell r="Q27">
            <v>0</v>
          </cell>
          <cell r="R27"/>
          <cell r="S27">
            <v>24</v>
          </cell>
        </row>
        <row r="28">
          <cell r="B28" t="str">
            <v>Salaries &amp; Wages</v>
          </cell>
          <cell r="C28"/>
          <cell r="D28" t="str">
            <v>7250</v>
          </cell>
          <cell r="E28">
            <v>60973</v>
          </cell>
          <cell r="F28"/>
          <cell r="G28">
            <v>7.2982661934657578E-2</v>
          </cell>
          <cell r="H28">
            <v>567551</v>
          </cell>
          <cell r="I28"/>
          <cell r="J28">
            <v>6.2475521153136142E-2</v>
          </cell>
          <cell r="K28">
            <v>20235</v>
          </cell>
          <cell r="L28"/>
          <cell r="M28">
            <v>193654</v>
          </cell>
          <cell r="N28"/>
          <cell r="O28">
            <v>15112</v>
          </cell>
          <cell r="P28"/>
          <cell r="Q28">
            <v>145857</v>
          </cell>
          <cell r="R28"/>
          <cell r="S28">
            <v>25</v>
          </cell>
        </row>
        <row r="29">
          <cell r="B29" t="str">
            <v>Clerical Salaries</v>
          </cell>
          <cell r="C29"/>
          <cell r="D29" t="str">
            <v>7260</v>
          </cell>
          <cell r="E29">
            <v>0</v>
          </cell>
          <cell r="F29"/>
          <cell r="G29" t="str">
            <v>-</v>
          </cell>
          <cell r="H29">
            <v>49630</v>
          </cell>
          <cell r="I29"/>
          <cell r="J29">
            <v>5.4632272955736959E-3</v>
          </cell>
          <cell r="K29">
            <v>0</v>
          </cell>
          <cell r="L29"/>
          <cell r="M29">
            <v>9639</v>
          </cell>
          <cell r="N29"/>
          <cell r="O29">
            <v>0</v>
          </cell>
          <cell r="P29"/>
          <cell r="Q29">
            <v>6885</v>
          </cell>
          <cell r="R29"/>
          <cell r="S29">
            <v>26</v>
          </cell>
        </row>
        <row r="30">
          <cell r="B30" t="str">
            <v>Vacation &amp; Time Off Pay</v>
          </cell>
          <cell r="C30"/>
          <cell r="D30">
            <v>7270</v>
          </cell>
          <cell r="E30">
            <v>6059</v>
          </cell>
          <cell r="F30"/>
          <cell r="G30">
            <v>7.2524223617353627E-3</v>
          </cell>
          <cell r="H30">
            <v>58559</v>
          </cell>
          <cell r="I30"/>
          <cell r="J30">
            <v>6.44612386059843E-3</v>
          </cell>
          <cell r="K30">
            <v>2100</v>
          </cell>
          <cell r="L30"/>
          <cell r="M30">
            <v>18375</v>
          </cell>
          <cell r="N30"/>
          <cell r="O30">
            <v>1500</v>
          </cell>
          <cell r="P30"/>
          <cell r="Q30">
            <v>13125</v>
          </cell>
          <cell r="R30"/>
          <cell r="S30">
            <v>27</v>
          </cell>
        </row>
        <row r="31">
          <cell r="B31" t="str">
            <v>TOTAL OPERATING EXPENSES</v>
          </cell>
          <cell r="C31" t="str">
            <v xml:space="preserve">LINES 14-27 </v>
          </cell>
          <cell r="D31"/>
          <cell r="E31">
            <v>109026</v>
          </cell>
          <cell r="F31"/>
          <cell r="G31">
            <v>0.13050051170334373</v>
          </cell>
          <cell r="H31">
            <v>1261354</v>
          </cell>
          <cell r="I31"/>
          <cell r="J31">
            <v>0.1388487528144482</v>
          </cell>
          <cell r="K31">
            <v>29550</v>
          </cell>
          <cell r="L31"/>
          <cell r="M31">
            <v>364241</v>
          </cell>
          <cell r="N31"/>
          <cell r="O31">
            <v>26978</v>
          </cell>
          <cell r="P31"/>
          <cell r="Q31">
            <v>325458</v>
          </cell>
          <cell r="R31"/>
          <cell r="S31">
            <v>28</v>
          </cell>
        </row>
        <row r="32">
          <cell r="B32" t="str">
            <v>TOTAL SELLING &amp; OPER. EXPS.</v>
          </cell>
          <cell r="C32" t="str">
            <v>LINES 13 &amp; 28</v>
          </cell>
          <cell r="D32"/>
          <cell r="E32">
            <v>425706</v>
          </cell>
          <cell r="F32"/>
          <cell r="G32"/>
          <cell r="H32">
            <v>4472899</v>
          </cell>
          <cell r="I32"/>
          <cell r="J32"/>
          <cell r="K32">
            <v>140237</v>
          </cell>
          <cell r="L32"/>
          <cell r="M32">
            <v>1286444</v>
          </cell>
          <cell r="N32"/>
          <cell r="O32">
            <v>141471</v>
          </cell>
          <cell r="P32"/>
          <cell r="Q32">
            <v>1533131</v>
          </cell>
          <cell r="R32"/>
          <cell r="S32">
            <v>29</v>
          </cell>
        </row>
        <row r="33">
          <cell r="B33" t="str">
            <v>TTL. SELL. &amp; OPER. EXPS % OF GROSS PROFIT</v>
          </cell>
          <cell r="C33"/>
          <cell r="D33"/>
          <cell r="E33"/>
          <cell r="F33"/>
          <cell r="G33">
            <v>0.50955598513367129</v>
          </cell>
          <cell r="H33"/>
          <cell r="I33"/>
          <cell r="J33">
            <v>0.4923728371377048</v>
          </cell>
          <cell r="K33"/>
          <cell r="L33">
            <v>0.5773754873665532</v>
          </cell>
          <cell r="M33"/>
          <cell r="N33">
            <v>0.52633422225568072</v>
          </cell>
          <cell r="O33"/>
          <cell r="P33">
            <v>0.63494293318492523</v>
          </cell>
          <cell r="Q33"/>
          <cell r="R33">
            <v>0.60620849971669188</v>
          </cell>
          <cell r="S33">
            <v>30</v>
          </cell>
        </row>
        <row r="34">
          <cell r="B34" t="str">
            <v>DEPT'L. PROFIT (LOSS)</v>
          </cell>
          <cell r="C34" t="str">
            <v>LN 2 LESS LN 29</v>
          </cell>
          <cell r="D34"/>
          <cell r="E34">
            <v>409739</v>
          </cell>
          <cell r="F34"/>
          <cell r="G34">
            <v>0.49044401486632871</v>
          </cell>
          <cell r="H34">
            <v>4611475</v>
          </cell>
          <cell r="I34"/>
          <cell r="J34">
            <v>0.50762716286229514</v>
          </cell>
          <cell r="K34">
            <v>102650</v>
          </cell>
          <cell r="L34"/>
          <cell r="M34">
            <v>1157714</v>
          </cell>
          <cell r="N34"/>
          <cell r="O34">
            <v>81338</v>
          </cell>
          <cell r="P34"/>
          <cell r="Q34">
            <v>995918</v>
          </cell>
          <cell r="R34"/>
          <cell r="S34">
            <v>31</v>
          </cell>
        </row>
        <row r="35">
          <cell r="B35" t="str">
            <v>Rent &amp; Equivalent</v>
          </cell>
          <cell r="C35"/>
          <cell r="D35">
            <v>7400</v>
          </cell>
          <cell r="E35">
            <v>79971</v>
          </cell>
          <cell r="F35"/>
          <cell r="G35">
            <v>9.5722638833196677E-2</v>
          </cell>
          <cell r="H35">
            <v>819399</v>
          </cell>
          <cell r="I35"/>
          <cell r="J35">
            <v>9.0198730259234153E-2</v>
          </cell>
          <cell r="K35">
            <v>27930</v>
          </cell>
          <cell r="L35"/>
          <cell r="M35">
            <v>286730</v>
          </cell>
          <cell r="N35"/>
          <cell r="O35">
            <v>19844</v>
          </cell>
          <cell r="P35"/>
          <cell r="Q35">
            <v>204701</v>
          </cell>
          <cell r="R35"/>
          <cell r="S35">
            <v>32</v>
          </cell>
        </row>
        <row r="36">
          <cell r="B36" t="str">
            <v>Salaries &amp; Wages - Admin. &amp; General</v>
          </cell>
          <cell r="C36"/>
          <cell r="D36">
            <v>7410</v>
          </cell>
          <cell r="E36">
            <v>20995</v>
          </cell>
          <cell r="F36"/>
          <cell r="G36">
            <v>2.513031976970357E-2</v>
          </cell>
          <cell r="H36">
            <v>139765</v>
          </cell>
          <cell r="I36"/>
          <cell r="J36">
            <v>1.5385209811925401E-2</v>
          </cell>
          <cell r="K36">
            <v>8511</v>
          </cell>
          <cell r="L36"/>
          <cell r="M36">
            <v>50230</v>
          </cell>
          <cell r="N36"/>
          <cell r="O36">
            <v>8155</v>
          </cell>
          <cell r="P36"/>
          <cell r="Q36">
            <v>37791</v>
          </cell>
          <cell r="R36"/>
          <cell r="S36">
            <v>33</v>
          </cell>
        </row>
        <row r="37">
          <cell r="B37" t="str">
            <v>Owners Salaries</v>
          </cell>
          <cell r="C37"/>
          <cell r="D37">
            <v>7420</v>
          </cell>
          <cell r="E37">
            <v>49851</v>
          </cell>
          <cell r="F37"/>
          <cell r="G37">
            <v>5.9669996229554309E-2</v>
          </cell>
          <cell r="H37">
            <v>483151</v>
          </cell>
          <cell r="I37"/>
          <cell r="J37">
            <v>5.3184842455847814E-2</v>
          </cell>
          <cell r="K37">
            <v>16551</v>
          </cell>
          <cell r="L37"/>
          <cell r="M37">
            <v>168206</v>
          </cell>
          <cell r="N37"/>
          <cell r="O37">
            <v>10220</v>
          </cell>
          <cell r="P37"/>
          <cell r="Q37">
            <v>118545</v>
          </cell>
          <cell r="R37"/>
          <cell r="S37">
            <v>34</v>
          </cell>
        </row>
        <row r="38">
          <cell r="B38" t="str">
            <v>Payroll Taxes</v>
          </cell>
          <cell r="C38"/>
          <cell r="D38">
            <v>7430</v>
          </cell>
          <cell r="E38">
            <v>31359</v>
          </cell>
          <cell r="F38"/>
          <cell r="G38">
            <v>3.7535684575286228E-2</v>
          </cell>
          <cell r="H38">
            <v>387952</v>
          </cell>
          <cell r="I38"/>
          <cell r="J38">
            <v>4.2705419217658809E-2</v>
          </cell>
          <cell r="K38">
            <v>8826</v>
          </cell>
          <cell r="L38"/>
          <cell r="M38">
            <v>116333</v>
          </cell>
          <cell r="N38"/>
          <cell r="O38">
            <v>7380</v>
          </cell>
          <cell r="P38"/>
          <cell r="Q38">
            <v>102904</v>
          </cell>
          <cell r="R38"/>
          <cell r="S38">
            <v>35</v>
          </cell>
        </row>
        <row r="39">
          <cell r="B39" t="str">
            <v>Employee Benefits</v>
          </cell>
          <cell r="C39"/>
          <cell r="D39">
            <v>7440</v>
          </cell>
          <cell r="E39">
            <v>31828</v>
          </cell>
          <cell r="F39"/>
          <cell r="G39">
            <v>3.8097062044778529E-2</v>
          </cell>
          <cell r="H39">
            <v>294811</v>
          </cell>
          <cell r="I39"/>
          <cell r="J39">
            <v>3.2452538832064816E-2</v>
          </cell>
          <cell r="K39">
            <v>11309</v>
          </cell>
          <cell r="L39"/>
          <cell r="M39">
            <v>102430</v>
          </cell>
          <cell r="N39"/>
          <cell r="O39">
            <v>8479</v>
          </cell>
          <cell r="P39"/>
          <cell r="Q39">
            <v>73779</v>
          </cell>
          <cell r="R39"/>
          <cell r="S39">
            <v>36</v>
          </cell>
        </row>
        <row r="40">
          <cell r="B40" t="str">
            <v>Pension Fund/Profit Sharing</v>
          </cell>
          <cell r="C40"/>
          <cell r="D40">
            <v>7450</v>
          </cell>
          <cell r="E40">
            <v>1840</v>
          </cell>
          <cell r="F40"/>
          <cell r="G40">
            <v>2.2024190700764262E-3</v>
          </cell>
          <cell r="H40">
            <v>21194</v>
          </cell>
          <cell r="I40"/>
          <cell r="J40">
            <v>2.3330171126816224E-3</v>
          </cell>
          <cell r="K40">
            <v>483</v>
          </cell>
          <cell r="L40"/>
          <cell r="M40">
            <v>6701</v>
          </cell>
          <cell r="N40"/>
          <cell r="O40">
            <v>475</v>
          </cell>
          <cell r="P40"/>
          <cell r="Q40">
            <v>6538</v>
          </cell>
          <cell r="R40"/>
          <cell r="S40">
            <v>37</v>
          </cell>
        </row>
        <row r="41">
          <cell r="B41" t="str">
            <v>Advertising - General &amp; Institutional</v>
          </cell>
          <cell r="C41"/>
          <cell r="D41">
            <v>7460</v>
          </cell>
          <cell r="E41">
            <v>38715</v>
          </cell>
          <cell r="F41"/>
          <cell r="G41">
            <v>4.6340572988048286E-2</v>
          </cell>
          <cell r="H41">
            <v>455418</v>
          </cell>
          <cell r="I41"/>
          <cell r="J41">
            <v>5.013201790238931E-2</v>
          </cell>
          <cell r="K41">
            <v>18663</v>
          </cell>
          <cell r="L41"/>
          <cell r="M41">
            <v>224915</v>
          </cell>
          <cell r="N41"/>
          <cell r="O41">
            <v>19162</v>
          </cell>
          <cell r="P41"/>
          <cell r="Q41">
            <v>229233</v>
          </cell>
          <cell r="R41"/>
          <cell r="S41">
            <v>38</v>
          </cell>
        </row>
        <row r="42">
          <cell r="B42" t="str">
            <v>Stationery &amp; Office Supplies</v>
          </cell>
          <cell r="C42"/>
          <cell r="D42" t="str">
            <v>7470</v>
          </cell>
          <cell r="E42">
            <v>3775</v>
          </cell>
          <cell r="F42"/>
          <cell r="G42">
            <v>4.518549994314407E-3</v>
          </cell>
          <cell r="H42">
            <v>27554</v>
          </cell>
          <cell r="I42"/>
          <cell r="J42">
            <v>3.033120388922781E-3</v>
          </cell>
          <cell r="K42">
            <v>1543</v>
          </cell>
          <cell r="L42"/>
          <cell r="M42">
            <v>9707</v>
          </cell>
          <cell r="N42"/>
          <cell r="O42">
            <v>1081</v>
          </cell>
          <cell r="P42"/>
          <cell r="Q42">
            <v>7006</v>
          </cell>
          <cell r="R42"/>
          <cell r="S42">
            <v>39</v>
          </cell>
        </row>
        <row r="43">
          <cell r="B43" t="str">
            <v>Data Processing Services</v>
          </cell>
          <cell r="C43"/>
          <cell r="D43">
            <v>7480</v>
          </cell>
          <cell r="E43">
            <v>25504</v>
          </cell>
          <cell r="F43"/>
          <cell r="G43">
            <v>3.0527443458276727E-2</v>
          </cell>
          <cell r="H43">
            <v>254011</v>
          </cell>
          <cell r="I43"/>
          <cell r="J43">
            <v>2.7961310267498894E-2</v>
          </cell>
          <cell r="K43">
            <v>8581</v>
          </cell>
          <cell r="L43"/>
          <cell r="M43">
            <v>84876</v>
          </cell>
          <cell r="N43"/>
          <cell r="O43">
            <v>6942</v>
          </cell>
          <cell r="P43"/>
          <cell r="Q43">
            <v>67725</v>
          </cell>
          <cell r="R43"/>
          <cell r="S43">
            <v>40</v>
          </cell>
        </row>
        <row r="44">
          <cell r="B44" t="str">
            <v>Outside Services - Gen. &amp; Inst.</v>
          </cell>
          <cell r="C44"/>
          <cell r="D44">
            <v>7490</v>
          </cell>
          <cell r="E44">
            <v>13184</v>
          </cell>
          <cell r="F44"/>
          <cell r="G44">
            <v>1.5780811423851959E-2</v>
          </cell>
          <cell r="H44">
            <v>205160</v>
          </cell>
          <cell r="I44"/>
          <cell r="J44">
            <v>2.2583834615351593E-2</v>
          </cell>
          <cell r="K44">
            <v>4653</v>
          </cell>
          <cell r="L44"/>
          <cell r="M44">
            <v>71845</v>
          </cell>
          <cell r="N44"/>
          <cell r="O44">
            <v>3393</v>
          </cell>
          <cell r="P44"/>
          <cell r="Q44">
            <v>51387</v>
          </cell>
          <cell r="R44"/>
          <cell r="S44">
            <v>41</v>
          </cell>
        </row>
        <row r="45">
          <cell r="B45" t="str">
            <v>Company Vehicles - Administration</v>
          </cell>
          <cell r="C45"/>
          <cell r="D45">
            <v>7500</v>
          </cell>
          <cell r="E45">
            <v>920</v>
          </cell>
          <cell r="F45"/>
          <cell r="G45">
            <v>1.1012095350382131E-3</v>
          </cell>
          <cell r="H45">
            <v>2113</v>
          </cell>
          <cell r="I45"/>
          <cell r="J45">
            <v>2.325972048266617E-4</v>
          </cell>
          <cell r="K45">
            <v>30</v>
          </cell>
          <cell r="L45"/>
          <cell r="M45">
            <v>280</v>
          </cell>
          <cell r="N45"/>
          <cell r="O45">
            <v>19</v>
          </cell>
          <cell r="P45"/>
          <cell r="Q45">
            <v>197</v>
          </cell>
          <cell r="R45"/>
          <cell r="S45">
            <v>42</v>
          </cell>
        </row>
        <row r="46">
          <cell r="B46" t="str">
            <v>Contributions</v>
          </cell>
          <cell r="C46"/>
          <cell r="D46">
            <v>7510</v>
          </cell>
          <cell r="E46">
            <v>0</v>
          </cell>
          <cell r="F46"/>
          <cell r="G46" t="str">
            <v>-</v>
          </cell>
          <cell r="H46">
            <v>32691</v>
          </cell>
          <cell r="I46"/>
          <cell r="J46">
            <v>3.5985968873584466E-3</v>
          </cell>
          <cell r="K46">
            <v>0</v>
          </cell>
          <cell r="L46"/>
          <cell r="M46">
            <v>11442</v>
          </cell>
          <cell r="N46"/>
          <cell r="O46">
            <v>0</v>
          </cell>
          <cell r="P46"/>
          <cell r="Q46">
            <v>8173</v>
          </cell>
          <cell r="R46"/>
          <cell r="S46">
            <v>43</v>
          </cell>
        </row>
        <row r="47">
          <cell r="B47" t="str">
            <v>Dues &amp; Subscriptions</v>
          </cell>
          <cell r="C47"/>
          <cell r="D47">
            <v>7520</v>
          </cell>
          <cell r="E47">
            <v>1068</v>
          </cell>
          <cell r="F47"/>
          <cell r="G47">
            <v>1.2783606341530561E-3</v>
          </cell>
          <cell r="H47">
            <v>12528</v>
          </cell>
          <cell r="I47"/>
          <cell r="J47">
            <v>1.3790713592373013E-3</v>
          </cell>
          <cell r="K47">
            <v>374</v>
          </cell>
          <cell r="L47"/>
          <cell r="M47">
            <v>4487</v>
          </cell>
          <cell r="N47"/>
          <cell r="O47">
            <v>267</v>
          </cell>
          <cell r="P47"/>
          <cell r="Q47">
            <v>3332</v>
          </cell>
          <cell r="R47"/>
          <cell r="S47">
            <v>44</v>
          </cell>
        </row>
        <row r="48">
          <cell r="B48" t="str">
            <v xml:space="preserve">Telephone  </v>
          </cell>
          <cell r="C48"/>
          <cell r="D48" t="str">
            <v>7530</v>
          </cell>
          <cell r="E48">
            <v>1457</v>
          </cell>
          <cell r="F48"/>
          <cell r="G48">
            <v>1.7439807527724746E-3</v>
          </cell>
          <cell r="H48">
            <v>14279</v>
          </cell>
          <cell r="I48"/>
          <cell r="J48">
            <v>1.5718199184665889E-3</v>
          </cell>
          <cell r="K48">
            <v>512</v>
          </cell>
          <cell r="L48"/>
          <cell r="M48">
            <v>4576</v>
          </cell>
          <cell r="N48"/>
          <cell r="O48">
            <v>378</v>
          </cell>
          <cell r="P48"/>
          <cell r="Q48">
            <v>3813</v>
          </cell>
          <cell r="R48"/>
          <cell r="S48">
            <v>45</v>
          </cell>
        </row>
        <row r="49">
          <cell r="B49" t="str">
            <v>Legal &amp; Auditing</v>
          </cell>
          <cell r="C49"/>
          <cell r="D49">
            <v>7540</v>
          </cell>
          <cell r="E49">
            <v>-6400</v>
          </cell>
          <cell r="F49"/>
          <cell r="G49">
            <v>-7.6605880698310484E-3</v>
          </cell>
          <cell r="H49">
            <v>47600</v>
          </cell>
          <cell r="I49"/>
          <cell r="J49">
            <v>5.2397666586602443E-3</v>
          </cell>
          <cell r="K49">
            <v>-2112</v>
          </cell>
          <cell r="L49"/>
          <cell r="M49">
            <v>16788</v>
          </cell>
          <cell r="N49"/>
          <cell r="O49">
            <v>-1280</v>
          </cell>
          <cell r="P49"/>
          <cell r="Q49">
            <v>12220</v>
          </cell>
          <cell r="R49"/>
          <cell r="S49">
            <v>46</v>
          </cell>
        </row>
        <row r="50">
          <cell r="B50" t="str">
            <v>Postage</v>
          </cell>
          <cell r="C50"/>
          <cell r="D50">
            <v>7550</v>
          </cell>
          <cell r="E50">
            <v>4910</v>
          </cell>
          <cell r="F50"/>
          <cell r="G50">
            <v>5.8771074098235071E-3</v>
          </cell>
          <cell r="H50">
            <v>55207</v>
          </cell>
          <cell r="I50"/>
          <cell r="J50">
            <v>6.0771386118625235E-3</v>
          </cell>
          <cell r="K50">
            <v>2207</v>
          </cell>
          <cell r="L50"/>
          <cell r="M50">
            <v>25790</v>
          </cell>
          <cell r="N50"/>
          <cell r="O50">
            <v>2059</v>
          </cell>
          <cell r="P50"/>
          <cell r="Q50">
            <v>25073</v>
          </cell>
          <cell r="R50"/>
          <cell r="S50">
            <v>47</v>
          </cell>
        </row>
        <row r="51">
          <cell r="B51" t="str">
            <v>Travel &amp; Entertainment</v>
          </cell>
          <cell r="C51"/>
          <cell r="D51">
            <v>7560</v>
          </cell>
          <cell r="E51">
            <v>0</v>
          </cell>
          <cell r="F51"/>
          <cell r="G51" t="str">
            <v>-</v>
          </cell>
          <cell r="H51">
            <v>28</v>
          </cell>
          <cell r="I51"/>
          <cell r="J51">
            <v>3.0822156815648498E-6</v>
          </cell>
          <cell r="K51">
            <v>0</v>
          </cell>
          <cell r="L51"/>
          <cell r="M51">
            <v>10</v>
          </cell>
          <cell r="N51"/>
          <cell r="O51">
            <v>0</v>
          </cell>
          <cell r="P51"/>
          <cell r="Q51">
            <v>7</v>
          </cell>
          <cell r="R51"/>
          <cell r="S51">
            <v>48</v>
          </cell>
        </row>
        <row r="52">
          <cell r="B52" t="str">
            <v>Heat, Light, Power &amp; Water</v>
          </cell>
          <cell r="C52"/>
          <cell r="D52">
            <v>7570</v>
          </cell>
          <cell r="E52">
            <v>7492</v>
          </cell>
          <cell r="F52"/>
          <cell r="G52">
            <v>8.9676759092459715E-3</v>
          </cell>
          <cell r="H52">
            <v>99749</v>
          </cell>
          <cell r="I52"/>
          <cell r="J52">
            <v>1.0980283286443293E-2</v>
          </cell>
          <cell r="K52">
            <v>2622</v>
          </cell>
          <cell r="L52"/>
          <cell r="M52">
            <v>34912</v>
          </cell>
          <cell r="N52"/>
          <cell r="O52">
            <v>1873</v>
          </cell>
          <cell r="P52"/>
          <cell r="Q52">
            <v>24937</v>
          </cell>
          <cell r="R52"/>
          <cell r="S52">
            <v>49</v>
          </cell>
        </row>
        <row r="53">
          <cell r="B53" t="str">
            <v>Furniture, Signs, Fixtures &amp; Equipment - Depreciation, Maintenance, Repair &amp; Rental</v>
          </cell>
          <cell r="C53"/>
          <cell r="D53">
            <v>7580</v>
          </cell>
          <cell r="E53">
            <v>-671</v>
          </cell>
          <cell r="F53"/>
          <cell r="G53">
            <v>-8.0316478044634891E-4</v>
          </cell>
          <cell r="H53">
            <v>52438</v>
          </cell>
          <cell r="I53"/>
          <cell r="J53">
            <v>5.772329496782057E-3</v>
          </cell>
          <cell r="K53">
            <v>1515</v>
          </cell>
          <cell r="L53"/>
          <cell r="M53">
            <v>17895</v>
          </cell>
          <cell r="N53"/>
          <cell r="O53">
            <v>1082</v>
          </cell>
          <cell r="P53"/>
          <cell r="Q53">
            <v>14009</v>
          </cell>
          <cell r="R53"/>
          <cell r="S53">
            <v>50</v>
          </cell>
        </row>
        <row r="54">
          <cell r="B54" t="str">
            <v>Ins. - Other Than Bldgs. &amp; Improvements</v>
          </cell>
          <cell r="C54"/>
          <cell r="D54">
            <v>7590</v>
          </cell>
          <cell r="E54">
            <v>8495</v>
          </cell>
          <cell r="F54"/>
          <cell r="G54">
            <v>1.0168233695814806E-2</v>
          </cell>
          <cell r="H54">
            <v>96660</v>
          </cell>
          <cell r="I54"/>
          <cell r="J54">
            <v>1.06402488492878E-2</v>
          </cell>
          <cell r="K54">
            <v>3389</v>
          </cell>
          <cell r="L54"/>
          <cell r="M54">
            <v>38188</v>
          </cell>
          <cell r="N54"/>
          <cell r="O54">
            <v>2816</v>
          </cell>
          <cell r="P54"/>
          <cell r="Q54">
            <v>31427</v>
          </cell>
          <cell r="R54"/>
          <cell r="S54">
            <v>51</v>
          </cell>
        </row>
        <row r="55">
          <cell r="B55" t="str">
            <v>Taxes - Other Than R.E., Pay. &amp; Inc.</v>
          </cell>
          <cell r="C55"/>
          <cell r="D55">
            <v>7600</v>
          </cell>
          <cell r="E55">
            <v>17649</v>
          </cell>
          <cell r="F55"/>
          <cell r="G55">
            <v>2.1125268569445025E-2</v>
          </cell>
          <cell r="H55">
            <v>149329</v>
          </cell>
          <cell r="I55"/>
          <cell r="J55">
            <v>1.6438006625442765E-2</v>
          </cell>
          <cell r="K55">
            <v>6177</v>
          </cell>
          <cell r="L55"/>
          <cell r="M55">
            <v>52265</v>
          </cell>
          <cell r="N55"/>
          <cell r="O55">
            <v>4412</v>
          </cell>
          <cell r="P55"/>
          <cell r="Q55">
            <v>37332</v>
          </cell>
          <cell r="R55"/>
          <cell r="S55">
            <v>52</v>
          </cell>
        </row>
        <row r="56">
          <cell r="B56" t="str">
            <v>Interest - Other Than Floor Plan &amp; R.E Mortgage</v>
          </cell>
          <cell r="C56"/>
          <cell r="D56">
            <v>7610</v>
          </cell>
          <cell r="E56">
            <v>4124</v>
          </cell>
          <cell r="F56"/>
          <cell r="G56">
            <v>4.9362914374973818E-3</v>
          </cell>
          <cell r="H56">
            <v>132257</v>
          </cell>
          <cell r="I56"/>
          <cell r="J56">
            <v>1.4558735692740084E-2</v>
          </cell>
          <cell r="K56">
            <v>1568</v>
          </cell>
          <cell r="L56"/>
          <cell r="M56">
            <v>45947</v>
          </cell>
          <cell r="N56"/>
          <cell r="O56">
            <v>1344</v>
          </cell>
          <cell r="P56"/>
          <cell r="Q56">
            <v>33043</v>
          </cell>
          <cell r="R56"/>
          <cell r="S56">
            <v>53</v>
          </cell>
        </row>
        <row r="57">
          <cell r="B57" t="str">
            <v>TOTAL OVERHEAD EXPENSES</v>
          </cell>
          <cell r="C57" t="str">
            <v xml:space="preserve">LINES 32 - 53 </v>
          </cell>
          <cell r="D57"/>
          <cell r="E57">
            <v>336066</v>
          </cell>
          <cell r="F57"/>
          <cell r="G57">
            <v>0.40225987348060016</v>
          </cell>
          <cell r="H57">
            <v>3783294</v>
          </cell>
          <cell r="I57"/>
          <cell r="J57">
            <v>0.4164617176703645</v>
          </cell>
          <cell r="K57">
            <v>123332</v>
          </cell>
          <cell r="L57"/>
          <cell r="M57">
            <v>1374553</v>
          </cell>
          <cell r="N57"/>
          <cell r="O57">
            <v>98101</v>
          </cell>
          <cell r="P57"/>
          <cell r="Q57">
            <v>1093172</v>
          </cell>
          <cell r="R57"/>
          <cell r="S57">
            <v>54</v>
          </cell>
        </row>
        <row r="58">
          <cell r="B58" t="str">
            <v>TOTAL EXPENSES</v>
          </cell>
          <cell r="C58" t="str">
            <v>LINES 29 &amp; 54</v>
          </cell>
          <cell r="D58"/>
          <cell r="E58">
            <v>761772</v>
          </cell>
          <cell r="F58"/>
          <cell r="G58">
            <v>0.91181585861427139</v>
          </cell>
          <cell r="H58">
            <v>8256193</v>
          </cell>
          <cell r="I58"/>
          <cell r="J58">
            <v>0.90883455480806929</v>
          </cell>
          <cell r="K58">
            <v>263569</v>
          </cell>
          <cell r="L58"/>
          <cell r="M58">
            <v>2660997</v>
          </cell>
          <cell r="N58"/>
          <cell r="O58">
            <v>239572</v>
          </cell>
          <cell r="P58"/>
          <cell r="Q58">
            <v>2626303</v>
          </cell>
          <cell r="R58"/>
          <cell r="S58">
            <v>55</v>
          </cell>
        </row>
        <row r="59">
          <cell r="B59" t="str">
            <v>OPERATING PROFIT (LOSS)</v>
          </cell>
          <cell r="C59" t="str">
            <v>LN 2 LESS LN 55</v>
          </cell>
          <cell r="D59"/>
          <cell r="E59">
            <v>73673</v>
          </cell>
          <cell r="F59"/>
          <cell r="G59">
            <v>8.8184141385728568E-2</v>
          </cell>
          <cell r="H59">
            <v>828181</v>
          </cell>
          <cell r="I59"/>
          <cell r="J59">
            <v>9.1165445191930677E-2</v>
          </cell>
          <cell r="K59">
            <v>-20682</v>
          </cell>
          <cell r="L59"/>
          <cell r="M59">
            <v>-216839</v>
          </cell>
          <cell r="N59"/>
          <cell r="O59">
            <v>-16763</v>
          </cell>
          <cell r="P59"/>
          <cell r="Q59">
            <v>-97254</v>
          </cell>
          <cell r="R59"/>
          <cell r="S59">
            <v>56</v>
          </cell>
        </row>
        <row r="60">
          <cell r="B60"/>
          <cell r="C60"/>
          <cell r="D60"/>
          <cell r="E60"/>
          <cell r="F60"/>
          <cell r="G60"/>
          <cell r="H60"/>
          <cell r="I60"/>
          <cell r="J60"/>
          <cell r="K60"/>
          <cell r="L60"/>
          <cell r="M60"/>
          <cell r="N60"/>
          <cell r="O60"/>
          <cell r="P60"/>
          <cell r="Q60"/>
          <cell r="R60"/>
          <cell r="S60">
            <v>57</v>
          </cell>
        </row>
        <row r="61">
          <cell r="B61"/>
          <cell r="C61"/>
          <cell r="D61"/>
          <cell r="E61"/>
          <cell r="F61"/>
          <cell r="G61"/>
          <cell r="H61"/>
          <cell r="I61"/>
          <cell r="J61"/>
          <cell r="K61"/>
          <cell r="L61"/>
          <cell r="M61"/>
          <cell r="N61"/>
          <cell r="O61"/>
          <cell r="P61"/>
          <cell r="Q61"/>
          <cell r="R61"/>
          <cell r="S61">
            <v>58</v>
          </cell>
        </row>
        <row r="62">
          <cell r="B62" t="str">
            <v>NET ADDITIONS OR DEDUCTIONS</v>
          </cell>
          <cell r="C62" t="str">
            <v>LINE  78</v>
          </cell>
          <cell r="D62"/>
          <cell r="E62">
            <v>227409</v>
          </cell>
          <cell r="F62"/>
          <cell r="G62">
            <v>0.27220104255815764</v>
          </cell>
          <cell r="H62">
            <v>1993727</v>
          </cell>
          <cell r="I62"/>
          <cell r="J62">
            <v>0.21946773657711582</v>
          </cell>
          <cell r="K62" t="str">
            <v xml:space="preserve">   TOTAL PERSONNEL EXPENSES</v>
          </cell>
          <cell r="L62"/>
          <cell r="M62"/>
          <cell r="N62" t="str">
            <v>MONTH</v>
          </cell>
          <cell r="O62"/>
          <cell r="Q62" t="str">
            <v>YEAR TO DATE</v>
          </cell>
          <cell r="R62"/>
          <cell r="S62">
            <v>59</v>
          </cell>
        </row>
        <row r="63">
          <cell r="B63" t="str">
            <v>NET PROFIT (LOSS) BEFORE BONUS</v>
          </cell>
          <cell r="C63" t="str">
            <v>LN 56+/-LN 59</v>
          </cell>
          <cell r="D63"/>
          <cell r="E63">
            <v>301082</v>
          </cell>
          <cell r="F63"/>
          <cell r="G63">
            <v>0.36038518394388619</v>
          </cell>
          <cell r="H63">
            <v>2821908</v>
          </cell>
          <cell r="I63"/>
          <cell r="J63">
            <v>0.31063318176904647</v>
          </cell>
          <cell r="K63"/>
          <cell r="L63"/>
          <cell r="M63"/>
          <cell r="N63">
            <v>464590</v>
          </cell>
          <cell r="O63"/>
          <cell r="Q63">
            <v>4747741</v>
          </cell>
          <cell r="R63"/>
          <cell r="S63">
            <v>60</v>
          </cell>
        </row>
        <row r="64">
          <cell r="B64" t="str">
            <v>BONUSES - EMPLOYEES</v>
          </cell>
          <cell r="C64"/>
          <cell r="D64">
            <v>7700</v>
          </cell>
          <cell r="E64">
            <v>45511</v>
          </cell>
          <cell r="F64"/>
          <cell r="G64">
            <v>5.4475159944700133E-2</v>
          </cell>
          <cell r="H64">
            <v>451851</v>
          </cell>
          <cell r="I64"/>
          <cell r="J64">
            <v>4.9739365640384246E-2</v>
          </cell>
          <cell r="K64" t="str">
            <v>LINES 4,5,6,7,9,10,25,26,27,33,35,36&amp;37</v>
          </cell>
          <cell r="L64"/>
          <cell r="M64"/>
          <cell r="N64" t="str">
            <v xml:space="preserve">% G.P. </v>
          </cell>
          <cell r="O64">
            <v>0.55609884552543853</v>
          </cell>
          <cell r="Q64" t="str">
            <v>% G.P.</v>
          </cell>
          <cell r="R64">
            <v>0.52262720579315647</v>
          </cell>
          <cell r="S64">
            <v>61</v>
          </cell>
        </row>
        <row r="65">
          <cell r="B65" t="str">
            <v>BONUSES - OWNERS</v>
          </cell>
          <cell r="C65"/>
          <cell r="D65">
            <v>7710</v>
          </cell>
          <cell r="E65">
            <v>0</v>
          </cell>
          <cell r="F65"/>
          <cell r="G65" t="str">
            <v>-</v>
          </cell>
          <cell r="H65">
            <v>0</v>
          </cell>
          <cell r="I65"/>
          <cell r="J65" t="str">
            <v>-</v>
          </cell>
          <cell r="K65"/>
          <cell r="L65"/>
          <cell r="M65"/>
          <cell r="N65"/>
          <cell r="O65"/>
          <cell r="P65"/>
          <cell r="Q65"/>
          <cell r="R65"/>
          <cell r="S65">
            <v>62</v>
          </cell>
        </row>
        <row r="66">
          <cell r="B66" t="str">
            <v>NET PROFIT (LOSS) BEFORE TAXES</v>
          </cell>
          <cell r="C66" t="str">
            <v>LN 60 Less LNS 61 &amp; 62</v>
          </cell>
          <cell r="D66"/>
          <cell r="E66">
            <v>255571</v>
          </cell>
          <cell r="F66"/>
          <cell r="G66">
            <v>0.30591002399918604</v>
          </cell>
          <cell r="H66">
            <v>2370057</v>
          </cell>
          <cell r="I66"/>
          <cell r="J66">
            <v>0.26089381612866225</v>
          </cell>
          <cell r="K66"/>
          <cell r="L66"/>
          <cell r="M66"/>
          <cell r="N66"/>
          <cell r="O66"/>
          <cell r="P66"/>
          <cell r="Q66"/>
          <cell r="R66"/>
          <cell r="S66">
            <v>63</v>
          </cell>
        </row>
        <row r="67">
          <cell r="B67" t="str">
            <v>ESTIMATED INCOME TAXES</v>
          </cell>
          <cell r="C67"/>
          <cell r="D67">
            <v>7800</v>
          </cell>
          <cell r="E67">
            <v>0</v>
          </cell>
          <cell r="F67"/>
          <cell r="G67" t="str">
            <v>-</v>
          </cell>
          <cell r="H67">
            <v>0</v>
          </cell>
          <cell r="I67"/>
          <cell r="J67" t="str">
            <v>-</v>
          </cell>
          <cell r="K67"/>
          <cell r="L67"/>
          <cell r="M67"/>
          <cell r="N67"/>
          <cell r="O67"/>
          <cell r="P67"/>
          <cell r="Q67"/>
          <cell r="R67"/>
          <cell r="S67">
            <v>64</v>
          </cell>
        </row>
        <row r="68">
          <cell r="B68" t="str">
            <v>NET PROFIT (LOSS) AFTER TAXES</v>
          </cell>
          <cell r="C68" t="str">
            <v>LN 63 Less LN 64</v>
          </cell>
          <cell r="D68"/>
          <cell r="E68">
            <v>255571</v>
          </cell>
          <cell r="F68"/>
          <cell r="G68">
            <v>0.30591002399918604</v>
          </cell>
          <cell r="H68">
            <v>2370057</v>
          </cell>
          <cell r="I68"/>
          <cell r="J68">
            <v>0.26089381612866225</v>
          </cell>
          <cell r="K68"/>
          <cell r="L68"/>
          <cell r="M68"/>
          <cell r="N68"/>
          <cell r="O68"/>
          <cell r="P68"/>
          <cell r="Q68"/>
          <cell r="R68"/>
          <cell r="S68">
            <v>65</v>
          </cell>
        </row>
        <row r="69">
          <cell r="B69"/>
          <cell r="C69"/>
          <cell r="D69"/>
          <cell r="E69"/>
          <cell r="F69"/>
          <cell r="G69"/>
          <cell r="H69"/>
          <cell r="I69"/>
          <cell r="J69"/>
          <cell r="K69"/>
          <cell r="L69"/>
          <cell r="M69"/>
          <cell r="N69"/>
          <cell r="O69"/>
          <cell r="P69"/>
          <cell r="Q69"/>
          <cell r="R69"/>
          <cell r="S69">
            <v>66</v>
          </cell>
        </row>
        <row r="70">
          <cell r="B70"/>
          <cell r="C70"/>
          <cell r="D70"/>
          <cell r="E70"/>
          <cell r="F70"/>
          <cell r="G70"/>
          <cell r="H70"/>
          <cell r="I70"/>
          <cell r="J70"/>
          <cell r="K70"/>
          <cell r="L70"/>
          <cell r="M70"/>
          <cell r="N70"/>
          <cell r="O70"/>
          <cell r="P70"/>
          <cell r="Q70"/>
          <cell r="R70"/>
          <cell r="S70">
            <v>67</v>
          </cell>
        </row>
        <row r="71">
          <cell r="B71"/>
          <cell r="C71"/>
          <cell r="D71"/>
          <cell r="E71"/>
          <cell r="F71"/>
          <cell r="G71"/>
          <cell r="H71"/>
          <cell r="I71"/>
          <cell r="J71"/>
          <cell r="K71"/>
          <cell r="L71"/>
          <cell r="M71"/>
          <cell r="N71"/>
          <cell r="O71"/>
          <cell r="P71"/>
          <cell r="Q71"/>
          <cell r="R71"/>
          <cell r="S71">
            <v>68</v>
          </cell>
        </row>
        <row r="72">
          <cell r="B72" t="str">
            <v>ADDITIONS TO INCOME</v>
          </cell>
          <cell r="C72"/>
          <cell r="D72"/>
          <cell r="E72"/>
          <cell r="F72"/>
          <cell r="G72"/>
          <cell r="H72"/>
          <cell r="I72"/>
          <cell r="J72" t="str">
            <v>DEDUCTIONS FROM INCOME</v>
          </cell>
          <cell r="K72"/>
          <cell r="L72"/>
          <cell r="M72"/>
          <cell r="N72"/>
          <cell r="O72"/>
          <cell r="P72"/>
          <cell r="Q72"/>
          <cell r="R72"/>
          <cell r="S72">
            <v>69</v>
          </cell>
        </row>
        <row r="73">
          <cell r="B73" t="str">
            <v>ACCOUNT NAME</v>
          </cell>
          <cell r="C73"/>
          <cell r="D73" t="str">
            <v>ACCT. NO.</v>
          </cell>
          <cell r="E73" t="str">
            <v>MONTH</v>
          </cell>
          <cell r="F73"/>
          <cell r="G73" t="str">
            <v>YEAR TO DATE</v>
          </cell>
          <cell r="H73"/>
          <cell r="I73"/>
          <cell r="J73" t="str">
            <v>ACCOUNT NAME</v>
          </cell>
          <cell r="K73"/>
          <cell r="L73"/>
          <cell r="M73" t="str">
            <v>ACCT. NO.</v>
          </cell>
          <cell r="N73" t="str">
            <v>MONTH</v>
          </cell>
          <cell r="O73"/>
          <cell r="P73" t="str">
            <v>YEAR TO DATE</v>
          </cell>
          <cell r="Q73"/>
          <cell r="R73"/>
          <cell r="S73">
            <v>70</v>
          </cell>
        </row>
        <row r="74">
          <cell r="B74" t="str">
            <v>MCBP</v>
          </cell>
          <cell r="C74"/>
          <cell r="D74">
            <v>8080</v>
          </cell>
          <cell r="E74">
            <v>92484</v>
          </cell>
          <cell r="F74"/>
          <cell r="G74">
            <v>708513</v>
          </cell>
          <cell r="H74"/>
          <cell r="I74"/>
          <cell r="J74" t="str">
            <v>MCBP Chargeback</v>
          </cell>
          <cell r="K74"/>
          <cell r="L74"/>
          <cell r="M74">
            <v>8180</v>
          </cell>
          <cell r="N74">
            <v>0</v>
          </cell>
          <cell r="O74"/>
          <cell r="P74">
            <v>0</v>
          </cell>
          <cell r="Q74"/>
          <cell r="R74"/>
          <cell r="S74">
            <v>71</v>
          </cell>
        </row>
        <row r="75">
          <cell r="B75" t="str">
            <v>Cash Discounts/Interest Earned</v>
          </cell>
          <cell r="C75"/>
          <cell r="D75" t="str">
            <v>8000/8010</v>
          </cell>
          <cell r="E75">
            <v>2757</v>
          </cell>
          <cell r="F75"/>
          <cell r="G75">
            <v>22224</v>
          </cell>
          <cell r="H75"/>
          <cell r="I75"/>
          <cell r="J75" t="str">
            <v>Cash Discounts Allowed</v>
          </cell>
          <cell r="K75"/>
          <cell r="L75"/>
          <cell r="M75">
            <v>8100</v>
          </cell>
          <cell r="N75">
            <v>0</v>
          </cell>
          <cell r="O75"/>
          <cell r="P75">
            <v>0</v>
          </cell>
          <cell r="Q75"/>
          <cell r="R75"/>
          <cell r="S75">
            <v>72</v>
          </cell>
        </row>
        <row r="76">
          <cell r="B76" t="str">
            <v>Bad Debts Recovered</v>
          </cell>
          <cell r="C76"/>
          <cell r="D76">
            <v>8020</v>
          </cell>
          <cell r="E76">
            <v>0</v>
          </cell>
          <cell r="F76"/>
          <cell r="G76">
            <v>0</v>
          </cell>
          <cell r="H76"/>
          <cell r="I76"/>
          <cell r="J76" t="str">
            <v>Adj. For Doubtful Accounts</v>
          </cell>
          <cell r="K76"/>
          <cell r="L76"/>
          <cell r="M76">
            <v>8140</v>
          </cell>
          <cell r="N76">
            <v>7338</v>
          </cell>
          <cell r="O76"/>
          <cell r="P76">
            <v>79438</v>
          </cell>
          <cell r="Q76"/>
          <cell r="R76"/>
          <cell r="S76">
            <v>73</v>
          </cell>
        </row>
        <row r="77">
          <cell r="B77" t="str">
            <v>Other Income</v>
          </cell>
          <cell r="C77"/>
          <cell r="D77">
            <v>8040</v>
          </cell>
          <cell r="E77">
            <v>149202</v>
          </cell>
          <cell r="F77"/>
          <cell r="G77">
            <v>1433789</v>
          </cell>
          <cell r="H77"/>
          <cell r="I77"/>
          <cell r="J77" t="str">
            <v>Other Deductions</v>
          </cell>
          <cell r="K77"/>
          <cell r="L77"/>
          <cell r="M77">
            <v>8150</v>
          </cell>
          <cell r="N77">
            <v>5000</v>
          </cell>
          <cell r="O77"/>
          <cell r="P77">
            <v>60000</v>
          </cell>
          <cell r="Q77"/>
          <cell r="R77"/>
          <cell r="S77">
            <v>74</v>
          </cell>
        </row>
        <row r="78">
          <cell r="B78" t="str">
            <v>Lease Income</v>
          </cell>
          <cell r="C78"/>
          <cell r="D78">
            <v>8050</v>
          </cell>
          <cell r="E78">
            <v>0</v>
          </cell>
          <cell r="F78"/>
          <cell r="G78">
            <v>0</v>
          </cell>
          <cell r="H78"/>
          <cell r="I78"/>
          <cell r="J78" t="str">
            <v>Lease Expenses</v>
          </cell>
          <cell r="K78"/>
          <cell r="L78"/>
          <cell r="M78">
            <v>8155</v>
          </cell>
          <cell r="N78">
            <v>6868</v>
          </cell>
          <cell r="O78"/>
          <cell r="P78">
            <v>58603</v>
          </cell>
          <cell r="Q78"/>
          <cell r="R78"/>
          <cell r="S78">
            <v>75</v>
          </cell>
        </row>
        <row r="79">
          <cell r="B79" t="str">
            <v>Rental Income - TRAC only</v>
          </cell>
          <cell r="C79"/>
          <cell r="D79">
            <v>8055</v>
          </cell>
          <cell r="E79">
            <v>2172</v>
          </cell>
          <cell r="F79"/>
          <cell r="G79">
            <v>27242</v>
          </cell>
          <cell r="H79"/>
          <cell r="I79"/>
          <cell r="J79" t="str">
            <v>Rental Expenses</v>
          </cell>
          <cell r="K79"/>
          <cell r="L79"/>
          <cell r="M79">
            <v>8160</v>
          </cell>
          <cell r="N79">
            <v>0</v>
          </cell>
          <cell r="O79"/>
          <cell r="P79">
            <v>0</v>
          </cell>
          <cell r="Q79"/>
          <cell r="R79"/>
          <cell r="S79">
            <v>76</v>
          </cell>
        </row>
        <row r="80">
          <cell r="B80" t="str">
            <v>Rental Income - Other</v>
          </cell>
          <cell r="C80"/>
          <cell r="D80">
            <v>8060</v>
          </cell>
          <cell r="E80">
            <v>0</v>
          </cell>
          <cell r="F80"/>
          <cell r="G80">
            <v>0</v>
          </cell>
          <cell r="H80"/>
          <cell r="I80"/>
          <cell r="J80" t="str">
            <v>Amort. Non-Franchised Assets</v>
          </cell>
          <cell r="K80"/>
          <cell r="L80"/>
          <cell r="M80">
            <v>8170</v>
          </cell>
          <cell r="N80">
            <v>0</v>
          </cell>
          <cell r="O80"/>
          <cell r="P80">
            <v>0</v>
          </cell>
          <cell r="Q80"/>
          <cell r="R80"/>
          <cell r="S80">
            <v>77</v>
          </cell>
        </row>
        <row r="81">
          <cell r="B81" t="str">
            <v>TOTAL ADDITIONS                                             LINES 72-77</v>
          </cell>
          <cell r="C81"/>
          <cell r="D81"/>
          <cell r="E81">
            <v>246615</v>
          </cell>
          <cell r="F81"/>
          <cell r="G81">
            <v>2191768</v>
          </cell>
          <cell r="H81"/>
          <cell r="I81"/>
          <cell r="J81" t="str">
            <v>TOTAL DEDUCTIONS                LINES 72-77</v>
          </cell>
          <cell r="K81"/>
          <cell r="L81"/>
          <cell r="M81"/>
          <cell r="N81">
            <v>19206</v>
          </cell>
          <cell r="O81"/>
          <cell r="P81">
            <v>198041</v>
          </cell>
          <cell r="Q81"/>
          <cell r="R81"/>
          <cell r="S81">
            <v>78</v>
          </cell>
        </row>
        <row r="82">
          <cell r="B82"/>
          <cell r="C82"/>
          <cell r="D82"/>
          <cell r="E82"/>
          <cell r="F82"/>
          <cell r="G82"/>
          <cell r="H82"/>
          <cell r="I82"/>
          <cell r="J82"/>
          <cell r="K82"/>
          <cell r="L82"/>
          <cell r="M82"/>
          <cell r="N82"/>
          <cell r="O82"/>
          <cell r="P82"/>
          <cell r="Q82" t="str">
            <v>Version</v>
          </cell>
          <cell r="R82" t="str">
            <v>1.3-9</v>
          </cell>
          <cell r="S82"/>
        </row>
        <row r="83">
          <cell r="B83"/>
          <cell r="C83"/>
          <cell r="D83"/>
          <cell r="E83"/>
          <cell r="F83"/>
          <cell r="G83"/>
          <cell r="H83"/>
          <cell r="I83"/>
          <cell r="J83"/>
          <cell r="K83"/>
          <cell r="L83"/>
          <cell r="M83"/>
          <cell r="N83"/>
          <cell r="O83"/>
          <cell r="P83"/>
          <cell r="Q83"/>
          <cell r="R83"/>
          <cell r="S83"/>
        </row>
        <row r="84">
          <cell r="B84"/>
          <cell r="C84"/>
          <cell r="D84"/>
          <cell r="E84"/>
          <cell r="F84"/>
          <cell r="G84"/>
          <cell r="H84"/>
          <cell r="I84"/>
          <cell r="J84"/>
          <cell r="K84"/>
          <cell r="L84"/>
          <cell r="M84"/>
          <cell r="N84"/>
          <cell r="O84"/>
          <cell r="P84"/>
          <cell r="Q84"/>
          <cell r="R84"/>
          <cell r="S84"/>
        </row>
        <row r="85">
          <cell r="B85"/>
          <cell r="C85"/>
          <cell r="D85"/>
          <cell r="E85"/>
          <cell r="F85"/>
          <cell r="G85"/>
          <cell r="H85"/>
          <cell r="I85"/>
          <cell r="J85"/>
          <cell r="K85"/>
          <cell r="L85"/>
          <cell r="M85"/>
          <cell r="N85"/>
          <cell r="O85"/>
          <cell r="P85"/>
          <cell r="Q85"/>
          <cell r="R85"/>
        </row>
        <row r="86">
          <cell r="B86"/>
          <cell r="C86"/>
          <cell r="D86"/>
          <cell r="E86"/>
          <cell r="F86"/>
          <cell r="G86"/>
          <cell r="H86"/>
          <cell r="I86"/>
          <cell r="J86"/>
          <cell r="K86"/>
          <cell r="L86"/>
          <cell r="M86"/>
          <cell r="N86"/>
          <cell r="O86"/>
          <cell r="P86"/>
          <cell r="Q86"/>
          <cell r="R86"/>
        </row>
        <row r="87">
          <cell r="B87"/>
          <cell r="C87"/>
          <cell r="D87"/>
          <cell r="E87"/>
          <cell r="F87"/>
          <cell r="G87"/>
          <cell r="H87"/>
          <cell r="I87"/>
          <cell r="J87"/>
          <cell r="K87"/>
          <cell r="L87"/>
          <cell r="M87"/>
          <cell r="N87"/>
          <cell r="O87"/>
          <cell r="P87"/>
          <cell r="Q87"/>
          <cell r="R87"/>
        </row>
        <row r="88">
          <cell r="B88"/>
          <cell r="C88"/>
          <cell r="D88"/>
          <cell r="E88"/>
          <cell r="F88"/>
          <cell r="G88"/>
          <cell r="H88"/>
          <cell r="I88"/>
          <cell r="J88"/>
          <cell r="K88"/>
          <cell r="L88"/>
          <cell r="M88"/>
          <cell r="N88"/>
          <cell r="O88"/>
          <cell r="P88"/>
          <cell r="Q88"/>
          <cell r="R88"/>
        </row>
        <row r="89">
          <cell r="B89"/>
          <cell r="C89"/>
          <cell r="D89"/>
          <cell r="E89"/>
          <cell r="F89"/>
          <cell r="G89"/>
          <cell r="H89"/>
          <cell r="I89"/>
          <cell r="J89"/>
          <cell r="K89"/>
          <cell r="L89"/>
          <cell r="M89"/>
          <cell r="N89"/>
          <cell r="O89"/>
          <cell r="P89"/>
          <cell r="Q89"/>
          <cell r="R89"/>
        </row>
      </sheetData>
      <sheetData sheetId="2" refreshError="1">
        <row r="1">
          <cell r="B1"/>
          <cell r="C1"/>
          <cell r="D1"/>
          <cell r="E1"/>
          <cell r="F1"/>
          <cell r="G1">
            <v>2016</v>
          </cell>
          <cell r="H1"/>
          <cell r="I1" t="str">
            <v>TOTAL INCOME AND EXPENSE</v>
          </cell>
          <cell r="J1"/>
          <cell r="K1"/>
          <cell r="L1"/>
          <cell r="M1"/>
          <cell r="N1"/>
          <cell r="O1"/>
          <cell r="P1"/>
          <cell r="Q1"/>
          <cell r="R1" t="str">
            <v>Page 3</v>
          </cell>
          <cell r="S1"/>
        </row>
        <row r="2">
          <cell r="B2" t="str">
            <v>NAME OF ACCOUNT</v>
          </cell>
          <cell r="C2"/>
          <cell r="D2"/>
          <cell r="E2"/>
          <cell r="F2" t="str">
            <v>ACCT. NO.</v>
          </cell>
          <cell r="G2" t="str">
            <v>(3) SERVICE DEPARTMENT</v>
          </cell>
          <cell r="H2"/>
          <cell r="I2"/>
          <cell r="J2"/>
          <cell r="K2" t="str">
            <v>(4) BODY SHOP DEPARTMENT</v>
          </cell>
          <cell r="L2"/>
          <cell r="M2"/>
          <cell r="N2"/>
          <cell r="O2" t="str">
            <v>(5) PARTS AND ACCESS. DEPARTMENT</v>
          </cell>
          <cell r="P2"/>
          <cell r="Q2"/>
          <cell r="R2"/>
          <cell r="S2" t="str">
            <v>Line No.</v>
          </cell>
        </row>
        <row r="3">
          <cell r="B3"/>
          <cell r="C3"/>
          <cell r="D3"/>
          <cell r="E3"/>
          <cell r="F3"/>
          <cell r="G3" t="str">
            <v>MONTH</v>
          </cell>
          <cell r="H3"/>
          <cell r="I3" t="str">
            <v>YEAR TO DATE</v>
          </cell>
          <cell r="J3"/>
          <cell r="K3" t="str">
            <v>MONTH</v>
          </cell>
          <cell r="L3"/>
          <cell r="M3" t="str">
            <v>YEAR TO DATE</v>
          </cell>
          <cell r="N3"/>
          <cell r="O3" t="str">
            <v>MONTH</v>
          </cell>
          <cell r="P3"/>
          <cell r="Q3" t="str">
            <v>YEAR TO DATE</v>
          </cell>
          <cell r="R3"/>
          <cell r="S3"/>
        </row>
        <row r="4">
          <cell r="B4" t="str">
            <v>TOTAL SALES</v>
          </cell>
          <cell r="C4"/>
          <cell r="D4"/>
          <cell r="E4"/>
          <cell r="F4"/>
          <cell r="G4">
            <v>292856</v>
          </cell>
          <cell r="H4"/>
          <cell r="I4">
            <v>3354186</v>
          </cell>
          <cell r="J4"/>
          <cell r="K4">
            <v>0</v>
          </cell>
          <cell r="L4"/>
          <cell r="M4">
            <v>0</v>
          </cell>
          <cell r="N4"/>
          <cell r="O4">
            <v>496421</v>
          </cell>
          <cell r="P4"/>
          <cell r="Q4">
            <v>5429933</v>
          </cell>
          <cell r="R4"/>
          <cell r="S4">
            <v>1</v>
          </cell>
        </row>
        <row r="5">
          <cell r="B5" t="str">
            <v>TOTAL GROSS PROFIT</v>
          </cell>
          <cell r="C5"/>
          <cell r="D5"/>
          <cell r="E5"/>
          <cell r="F5"/>
          <cell r="G5">
            <v>210103</v>
          </cell>
          <cell r="H5"/>
          <cell r="I5">
            <v>2387377</v>
          </cell>
          <cell r="J5"/>
          <cell r="K5">
            <v>0</v>
          </cell>
          <cell r="L5"/>
          <cell r="M5">
            <v>0</v>
          </cell>
          <cell r="N5"/>
          <cell r="O5">
            <v>159646</v>
          </cell>
          <cell r="P5"/>
          <cell r="Q5">
            <v>1723790</v>
          </cell>
          <cell r="R5"/>
          <cell r="S5">
            <v>2</v>
          </cell>
        </row>
        <row r="6">
          <cell r="B6" t="str">
            <v>DEPARTMENTAL EXPENSES</v>
          </cell>
          <cell r="C6"/>
          <cell r="D6"/>
          <cell r="E6"/>
          <cell r="F6"/>
          <cell r="G6"/>
          <cell r="H6"/>
          <cell r="I6"/>
          <cell r="J6"/>
          <cell r="K6"/>
          <cell r="L6"/>
          <cell r="M6"/>
          <cell r="N6"/>
          <cell r="O6"/>
          <cell r="P6"/>
          <cell r="Q6"/>
          <cell r="R6"/>
          <cell r="S6">
            <v>3</v>
          </cell>
        </row>
        <row r="7">
          <cell r="B7" t="str">
            <v xml:space="preserve">Sales Compensation                                  </v>
          </cell>
          <cell r="C7"/>
          <cell r="D7"/>
          <cell r="E7"/>
          <cell r="F7">
            <v>7000</v>
          </cell>
          <cell r="G7">
            <v>36153</v>
          </cell>
          <cell r="H7"/>
          <cell r="I7">
            <v>403580</v>
          </cell>
          <cell r="J7"/>
          <cell r="K7">
            <v>0</v>
          </cell>
          <cell r="L7"/>
          <cell r="M7">
            <v>0</v>
          </cell>
          <cell r="N7"/>
          <cell r="O7">
            <v>19738</v>
          </cell>
          <cell r="P7"/>
          <cell r="Q7">
            <v>237286</v>
          </cell>
          <cell r="R7"/>
          <cell r="S7">
            <v>4</v>
          </cell>
        </row>
        <row r="8">
          <cell r="B8" t="str">
            <v xml:space="preserve">Sales Compensation - Scion only                                  </v>
          </cell>
          <cell r="C8"/>
          <cell r="D8"/>
          <cell r="E8"/>
          <cell r="F8">
            <v>7006</v>
          </cell>
          <cell r="G8"/>
          <cell r="H8"/>
          <cell r="I8"/>
          <cell r="J8"/>
          <cell r="K8"/>
          <cell r="L8"/>
          <cell r="M8"/>
          <cell r="N8"/>
          <cell r="O8"/>
          <cell r="P8"/>
          <cell r="Q8"/>
          <cell r="R8"/>
          <cell r="S8">
            <v>5</v>
          </cell>
        </row>
        <row r="9">
          <cell r="B9" t="str">
            <v xml:space="preserve">Supervision Compensation                     </v>
          </cell>
          <cell r="C9"/>
          <cell r="D9"/>
          <cell r="E9"/>
          <cell r="F9">
            <v>7010</v>
          </cell>
          <cell r="G9">
            <v>17715</v>
          </cell>
          <cell r="H9"/>
          <cell r="I9">
            <v>209680</v>
          </cell>
          <cell r="J9"/>
          <cell r="K9">
            <v>0</v>
          </cell>
          <cell r="L9"/>
          <cell r="M9">
            <v>0</v>
          </cell>
          <cell r="N9"/>
          <cell r="O9">
            <v>15883</v>
          </cell>
          <cell r="P9"/>
          <cell r="Q9">
            <v>187766</v>
          </cell>
          <cell r="R9"/>
          <cell r="S9">
            <v>6</v>
          </cell>
        </row>
        <row r="10">
          <cell r="B10" t="str">
            <v xml:space="preserve">Supervision Compensation - Scion only                     </v>
          </cell>
          <cell r="C10"/>
          <cell r="D10"/>
          <cell r="E10"/>
          <cell r="F10">
            <v>7016</v>
          </cell>
          <cell r="G10"/>
          <cell r="H10"/>
          <cell r="I10"/>
          <cell r="J10"/>
          <cell r="K10"/>
          <cell r="L10"/>
          <cell r="M10"/>
          <cell r="N10"/>
          <cell r="O10"/>
          <cell r="P10"/>
          <cell r="Q10"/>
          <cell r="R10"/>
          <cell r="S10">
            <v>7</v>
          </cell>
        </row>
        <row r="11">
          <cell r="B11" t="str">
            <v>Delivery Expenses</v>
          </cell>
          <cell r="C11"/>
          <cell r="D11"/>
          <cell r="E11"/>
          <cell r="F11">
            <v>7020</v>
          </cell>
          <cell r="G11"/>
          <cell r="H11"/>
          <cell r="I11"/>
          <cell r="J11"/>
          <cell r="K11"/>
          <cell r="L11"/>
          <cell r="M11"/>
          <cell r="N11"/>
          <cell r="O11"/>
          <cell r="P11"/>
          <cell r="Q11"/>
          <cell r="R11"/>
          <cell r="S11">
            <v>8</v>
          </cell>
        </row>
        <row r="12">
          <cell r="B12" t="str">
            <v>Finance, Ins., &amp; Svc. Ctr. Commissions</v>
          </cell>
          <cell r="C12"/>
          <cell r="D12"/>
          <cell r="E12"/>
          <cell r="F12">
            <v>7030</v>
          </cell>
          <cell r="G12"/>
          <cell r="H12"/>
          <cell r="I12"/>
          <cell r="J12"/>
          <cell r="K12"/>
          <cell r="L12"/>
          <cell r="M12"/>
          <cell r="N12"/>
          <cell r="O12"/>
          <cell r="P12"/>
          <cell r="Q12"/>
          <cell r="R12"/>
          <cell r="S12">
            <v>9</v>
          </cell>
        </row>
        <row r="13">
          <cell r="B13" t="str">
            <v>Finc, Ins., &amp; Svc.Ctr.Com. - Scion only</v>
          </cell>
          <cell r="C13"/>
          <cell r="D13"/>
          <cell r="E13"/>
          <cell r="F13">
            <v>7036</v>
          </cell>
          <cell r="G13"/>
          <cell r="H13"/>
          <cell r="I13"/>
          <cell r="J13"/>
          <cell r="K13"/>
          <cell r="L13"/>
          <cell r="M13"/>
          <cell r="N13"/>
          <cell r="O13"/>
          <cell r="P13"/>
          <cell r="Q13"/>
          <cell r="R13"/>
          <cell r="S13">
            <v>10</v>
          </cell>
        </row>
        <row r="14">
          <cell r="B14" t="str">
            <v>Advertising - Departmental</v>
          </cell>
          <cell r="C14"/>
          <cell r="D14"/>
          <cell r="E14"/>
          <cell r="F14">
            <v>7040</v>
          </cell>
          <cell r="G14">
            <v>4</v>
          </cell>
          <cell r="H14"/>
          <cell r="I14">
            <v>25305</v>
          </cell>
          <cell r="J14"/>
          <cell r="K14">
            <v>0</v>
          </cell>
          <cell r="L14"/>
          <cell r="M14">
            <v>0</v>
          </cell>
          <cell r="N14"/>
          <cell r="O14">
            <v>2007</v>
          </cell>
          <cell r="P14"/>
          <cell r="Q14">
            <v>18052</v>
          </cell>
          <cell r="R14"/>
          <cell r="S14">
            <v>11</v>
          </cell>
        </row>
        <row r="15">
          <cell r="B15" t="str">
            <v>Interest - Floor Plan</v>
          </cell>
          <cell r="C15"/>
          <cell r="D15"/>
          <cell r="E15"/>
          <cell r="F15">
            <v>7050</v>
          </cell>
          <cell r="G15"/>
          <cell r="H15"/>
          <cell r="I15"/>
          <cell r="J15"/>
          <cell r="K15"/>
          <cell r="L15"/>
          <cell r="M15"/>
          <cell r="N15"/>
          <cell r="O15"/>
          <cell r="P15"/>
          <cell r="Q15"/>
          <cell r="R15"/>
          <cell r="S15">
            <v>12</v>
          </cell>
        </row>
        <row r="16">
          <cell r="B16" t="str">
            <v xml:space="preserve">TOTAL SELLING EXPENSES  </v>
          </cell>
          <cell r="C16"/>
          <cell r="D16"/>
          <cell r="E16" t="str">
            <v>LINES 4 TO 12</v>
          </cell>
          <cell r="F16"/>
          <cell r="G16">
            <v>53872</v>
          </cell>
          <cell r="H16"/>
          <cell r="I16">
            <v>638565</v>
          </cell>
          <cell r="J16"/>
          <cell r="K16">
            <v>0</v>
          </cell>
          <cell r="L16"/>
          <cell r="M16">
            <v>0</v>
          </cell>
          <cell r="N16"/>
          <cell r="O16">
            <v>37628</v>
          </cell>
          <cell r="P16"/>
          <cell r="Q16">
            <v>443104</v>
          </cell>
          <cell r="R16"/>
          <cell r="S16">
            <v>13</v>
          </cell>
        </row>
        <row r="17">
          <cell r="B17" t="str">
            <v>Policy &amp; Claims Adjustments</v>
          </cell>
          <cell r="C17"/>
          <cell r="D17"/>
          <cell r="F17" t="str">
            <v>7110/7120</v>
          </cell>
          <cell r="G17">
            <v>2326</v>
          </cell>
          <cell r="H17"/>
          <cell r="I17">
            <v>79777</v>
          </cell>
          <cell r="J17"/>
          <cell r="K17">
            <v>0</v>
          </cell>
          <cell r="L17"/>
          <cell r="M17">
            <v>0</v>
          </cell>
          <cell r="N17"/>
          <cell r="O17">
            <v>1363</v>
          </cell>
          <cell r="P17"/>
          <cell r="Q17">
            <v>7388</v>
          </cell>
          <cell r="R17"/>
          <cell r="S17">
            <v>14</v>
          </cell>
        </row>
        <row r="18">
          <cell r="B18" t="str">
            <v>Demos. &amp; Company Vehicles - Dept'l.</v>
          </cell>
          <cell r="C18"/>
          <cell r="D18"/>
          <cell r="E18"/>
          <cell r="F18">
            <v>7140</v>
          </cell>
          <cell r="G18">
            <v>1414</v>
          </cell>
          <cell r="H18"/>
          <cell r="I18">
            <v>15031</v>
          </cell>
          <cell r="J18"/>
          <cell r="K18">
            <v>0</v>
          </cell>
          <cell r="L18"/>
          <cell r="M18">
            <v>0</v>
          </cell>
          <cell r="N18"/>
          <cell r="O18">
            <v>530</v>
          </cell>
          <cell r="P18"/>
          <cell r="Q18">
            <v>9286</v>
          </cell>
          <cell r="R18"/>
          <cell r="S18">
            <v>15</v>
          </cell>
        </row>
        <row r="19">
          <cell r="B19" t="str">
            <v>Inventory Maintenance</v>
          </cell>
          <cell r="C19"/>
          <cell r="D19"/>
          <cell r="E19"/>
          <cell r="F19">
            <v>7150</v>
          </cell>
          <cell r="G19"/>
          <cell r="H19"/>
          <cell r="I19"/>
          <cell r="J19"/>
          <cell r="K19"/>
          <cell r="L19"/>
          <cell r="M19"/>
          <cell r="N19"/>
          <cell r="O19">
            <v>0</v>
          </cell>
          <cell r="P19"/>
          <cell r="Q19">
            <v>0</v>
          </cell>
          <cell r="R19"/>
          <cell r="S19">
            <v>16</v>
          </cell>
        </row>
        <row r="20">
          <cell r="B20" t="str">
            <v>Personnel Training</v>
          </cell>
          <cell r="C20"/>
          <cell r="D20"/>
          <cell r="E20"/>
          <cell r="F20">
            <v>7160</v>
          </cell>
          <cell r="G20">
            <v>4424</v>
          </cell>
          <cell r="H20"/>
          <cell r="I20">
            <v>39009</v>
          </cell>
          <cell r="J20"/>
          <cell r="K20">
            <v>0</v>
          </cell>
          <cell r="L20"/>
          <cell r="M20">
            <v>0</v>
          </cell>
          <cell r="N20"/>
          <cell r="O20">
            <v>302</v>
          </cell>
          <cell r="P20"/>
          <cell r="Q20">
            <v>3994</v>
          </cell>
          <cell r="R20"/>
          <cell r="S20">
            <v>17</v>
          </cell>
        </row>
        <row r="21">
          <cell r="B21" t="str">
            <v>Outside Services - Departmental</v>
          </cell>
          <cell r="C21"/>
          <cell r="D21"/>
          <cell r="E21"/>
          <cell r="F21">
            <v>7170</v>
          </cell>
          <cell r="G21">
            <v>6030</v>
          </cell>
          <cell r="H21"/>
          <cell r="I21">
            <v>43415</v>
          </cell>
          <cell r="J21"/>
          <cell r="K21">
            <v>0</v>
          </cell>
          <cell r="L21"/>
          <cell r="M21">
            <v>0</v>
          </cell>
          <cell r="N21"/>
          <cell r="O21">
            <v>3010</v>
          </cell>
          <cell r="P21"/>
          <cell r="Q21">
            <v>21062</v>
          </cell>
          <cell r="R21"/>
          <cell r="S21">
            <v>18</v>
          </cell>
        </row>
        <row r="22">
          <cell r="B22" t="str">
            <v>Freight</v>
          </cell>
          <cell r="C22"/>
          <cell r="D22"/>
          <cell r="E22"/>
          <cell r="F22">
            <v>7180</v>
          </cell>
          <cell r="G22"/>
          <cell r="H22"/>
          <cell r="I22"/>
          <cell r="J22"/>
          <cell r="K22"/>
          <cell r="L22"/>
          <cell r="M22"/>
          <cell r="N22"/>
          <cell r="O22">
            <v>-72</v>
          </cell>
          <cell r="P22"/>
          <cell r="Q22">
            <v>-939</v>
          </cell>
          <cell r="R22"/>
          <cell r="S22">
            <v>19</v>
          </cell>
        </row>
        <row r="23">
          <cell r="B23" t="str">
            <v>Supplies &amp; Small Tools</v>
          </cell>
          <cell r="C23"/>
          <cell r="D23"/>
          <cell r="E23"/>
          <cell r="F23">
            <v>7190</v>
          </cell>
          <cell r="G23">
            <v>-475</v>
          </cell>
          <cell r="H23"/>
          <cell r="I23">
            <v>9637</v>
          </cell>
          <cell r="J23"/>
          <cell r="K23">
            <v>0</v>
          </cell>
          <cell r="L23"/>
          <cell r="M23">
            <v>0</v>
          </cell>
          <cell r="N23"/>
          <cell r="O23">
            <v>189</v>
          </cell>
          <cell r="P23"/>
          <cell r="Q23">
            <v>2650</v>
          </cell>
          <cell r="R23"/>
          <cell r="S23">
            <v>20</v>
          </cell>
        </row>
        <row r="24">
          <cell r="B24" t="str">
            <v>Laundry &amp; Uniforms</v>
          </cell>
          <cell r="C24"/>
          <cell r="D24"/>
          <cell r="E24"/>
          <cell r="F24">
            <v>7200</v>
          </cell>
          <cell r="G24">
            <v>132</v>
          </cell>
          <cell r="H24"/>
          <cell r="I24">
            <v>6652</v>
          </cell>
          <cell r="J24"/>
          <cell r="K24">
            <v>0</v>
          </cell>
          <cell r="L24"/>
          <cell r="M24">
            <v>0</v>
          </cell>
          <cell r="N24"/>
          <cell r="O24">
            <v>-11</v>
          </cell>
          <cell r="P24"/>
          <cell r="Q24">
            <v>317</v>
          </cell>
          <cell r="R24"/>
          <cell r="S24">
            <v>21</v>
          </cell>
        </row>
        <row r="25">
          <cell r="B25" t="str">
            <v>Depr. - Equip. &amp; Vehicles - Dept'l.</v>
          </cell>
          <cell r="C25"/>
          <cell r="D25"/>
          <cell r="E25"/>
          <cell r="F25">
            <v>7210</v>
          </cell>
          <cell r="G25">
            <v>1871</v>
          </cell>
          <cell r="H25"/>
          <cell r="I25">
            <v>14301</v>
          </cell>
          <cell r="J25"/>
          <cell r="K25">
            <v>0</v>
          </cell>
          <cell r="L25"/>
          <cell r="M25">
            <v>0</v>
          </cell>
          <cell r="N25"/>
          <cell r="O25">
            <v>544</v>
          </cell>
          <cell r="P25"/>
          <cell r="Q25">
            <v>4471</v>
          </cell>
          <cell r="R25"/>
          <cell r="S25">
            <v>22</v>
          </cell>
        </row>
        <row r="26">
          <cell r="B26" t="str">
            <v>Equip. - Maint., Repair &amp; Rental - Dept'l.</v>
          </cell>
          <cell r="C26"/>
          <cell r="D26"/>
          <cell r="E26"/>
          <cell r="F26">
            <v>7220</v>
          </cell>
          <cell r="G26">
            <v>2533</v>
          </cell>
          <cell r="H26"/>
          <cell r="I26">
            <v>26509</v>
          </cell>
          <cell r="J26"/>
          <cell r="K26">
            <v>0</v>
          </cell>
          <cell r="L26"/>
          <cell r="M26">
            <v>0</v>
          </cell>
          <cell r="N26"/>
          <cell r="O26">
            <v>303</v>
          </cell>
          <cell r="P26"/>
          <cell r="Q26">
            <v>890</v>
          </cell>
          <cell r="R26"/>
          <cell r="S26">
            <v>23</v>
          </cell>
        </row>
        <row r="27">
          <cell r="B27" t="str">
            <v>Miscellaneous Expenses</v>
          </cell>
          <cell r="C27"/>
          <cell r="D27"/>
          <cell r="E27"/>
          <cell r="F27">
            <v>7230</v>
          </cell>
          <cell r="G27">
            <v>0</v>
          </cell>
          <cell r="H27"/>
          <cell r="I27">
            <v>0</v>
          </cell>
          <cell r="J27"/>
          <cell r="K27">
            <v>0</v>
          </cell>
          <cell r="L27"/>
          <cell r="M27">
            <v>0</v>
          </cell>
          <cell r="N27"/>
          <cell r="O27">
            <v>0</v>
          </cell>
          <cell r="P27"/>
          <cell r="Q27">
            <v>0</v>
          </cell>
          <cell r="R27"/>
          <cell r="S27">
            <v>24</v>
          </cell>
        </row>
        <row r="28">
          <cell r="B28" t="str">
            <v xml:space="preserve">Salaries &amp; Wages                    </v>
          </cell>
          <cell r="C28"/>
          <cell r="D28"/>
          <cell r="E28"/>
          <cell r="F28" t="str">
            <v>7250</v>
          </cell>
          <cell r="G28">
            <v>19875</v>
          </cell>
          <cell r="H28"/>
          <cell r="I28">
            <v>185507</v>
          </cell>
          <cell r="J28"/>
          <cell r="K28">
            <v>0</v>
          </cell>
          <cell r="L28"/>
          <cell r="M28">
            <v>0</v>
          </cell>
          <cell r="N28"/>
          <cell r="O28">
            <v>5751</v>
          </cell>
          <cell r="P28"/>
          <cell r="Q28">
            <v>42533</v>
          </cell>
          <cell r="R28"/>
          <cell r="S28">
            <v>25</v>
          </cell>
        </row>
        <row r="29">
          <cell r="B29" t="str">
            <v xml:space="preserve">Clerical Salaries                                  </v>
          </cell>
          <cell r="C29"/>
          <cell r="D29"/>
          <cell r="E29"/>
          <cell r="F29" t="str">
            <v>7260</v>
          </cell>
          <cell r="G29">
            <v>0</v>
          </cell>
          <cell r="H29"/>
          <cell r="I29">
            <v>19307</v>
          </cell>
          <cell r="J29"/>
          <cell r="K29">
            <v>0</v>
          </cell>
          <cell r="L29"/>
          <cell r="M29">
            <v>0</v>
          </cell>
          <cell r="N29"/>
          <cell r="O29">
            <v>0</v>
          </cell>
          <cell r="P29"/>
          <cell r="Q29">
            <v>13799</v>
          </cell>
          <cell r="R29"/>
          <cell r="S29">
            <v>26</v>
          </cell>
        </row>
        <row r="30">
          <cell r="B30" t="str">
            <v xml:space="preserve">Vacation &amp; Time Off Pay                     </v>
          </cell>
          <cell r="C30"/>
          <cell r="D30"/>
          <cell r="E30"/>
          <cell r="F30">
            <v>7270</v>
          </cell>
          <cell r="G30">
            <v>1779</v>
          </cell>
          <cell r="H30"/>
          <cell r="I30">
            <v>21729</v>
          </cell>
          <cell r="J30"/>
          <cell r="K30">
            <v>0</v>
          </cell>
          <cell r="L30"/>
          <cell r="M30">
            <v>0</v>
          </cell>
          <cell r="N30"/>
          <cell r="O30">
            <v>680</v>
          </cell>
          <cell r="P30"/>
          <cell r="Q30">
            <v>5330</v>
          </cell>
          <cell r="R30"/>
          <cell r="S30">
            <v>27</v>
          </cell>
        </row>
        <row r="31">
          <cell r="B31" t="str">
            <v>TOTAL OPERATING EXPENSES</v>
          </cell>
          <cell r="C31"/>
          <cell r="D31"/>
          <cell r="E31" t="str">
            <v xml:space="preserve">LINES 14 - 27 </v>
          </cell>
          <cell r="F31"/>
          <cell r="G31">
            <v>39909</v>
          </cell>
          <cell r="H31"/>
          <cell r="I31">
            <v>460874</v>
          </cell>
          <cell r="J31"/>
          <cell r="K31">
            <v>0</v>
          </cell>
          <cell r="L31"/>
          <cell r="M31">
            <v>0</v>
          </cell>
          <cell r="N31"/>
          <cell r="O31">
            <v>12589</v>
          </cell>
          <cell r="P31"/>
          <cell r="Q31">
            <v>110781</v>
          </cell>
          <cell r="R31"/>
          <cell r="S31">
            <v>28</v>
          </cell>
        </row>
        <row r="32">
          <cell r="B32" t="str">
            <v>TOTAL SELLING &amp; OPER. EXPS.</v>
          </cell>
          <cell r="C32"/>
          <cell r="D32"/>
          <cell r="E32" t="str">
            <v>LINES 13 &amp; 28</v>
          </cell>
          <cell r="F32"/>
          <cell r="G32">
            <v>93781</v>
          </cell>
          <cell r="H32"/>
          <cell r="I32">
            <v>1099439</v>
          </cell>
          <cell r="J32"/>
          <cell r="K32">
            <v>0</v>
          </cell>
          <cell r="L32"/>
          <cell r="M32">
            <v>0</v>
          </cell>
          <cell r="N32"/>
          <cell r="O32">
            <v>50217</v>
          </cell>
          <cell r="P32"/>
          <cell r="Q32">
            <v>553885</v>
          </cell>
          <cell r="R32"/>
          <cell r="S32">
            <v>29</v>
          </cell>
        </row>
        <row r="33">
          <cell r="B33" t="str">
            <v>TOTAL SELL. &amp; OPER. EXPS % OF G.P.</v>
          </cell>
          <cell r="C33"/>
          <cell r="D33"/>
          <cell r="E33"/>
          <cell r="F33"/>
          <cell r="G33"/>
          <cell r="H33">
            <v>0.44635726286630845</v>
          </cell>
          <cell r="I33"/>
          <cell r="J33">
            <v>0.4605217357794768</v>
          </cell>
          <cell r="K33"/>
          <cell r="L33" t="str">
            <v>-</v>
          </cell>
          <cell r="M33"/>
          <cell r="N33" t="str">
            <v>-</v>
          </cell>
          <cell r="O33"/>
          <cell r="P33">
            <v>0.31455219673527679</v>
          </cell>
          <cell r="Q33"/>
          <cell r="R33">
            <v>0.3213181420010558</v>
          </cell>
          <cell r="S33">
            <v>30</v>
          </cell>
        </row>
        <row r="34">
          <cell r="B34" t="str">
            <v>DEPT'L PROFIT (LOSS)</v>
          </cell>
          <cell r="C34"/>
          <cell r="D34"/>
          <cell r="E34" t="str">
            <v>LINE 2 LESS 29</v>
          </cell>
          <cell r="F34"/>
          <cell r="G34">
            <v>116322</v>
          </cell>
          <cell r="H34"/>
          <cell r="I34">
            <v>1287938</v>
          </cell>
          <cell r="J34"/>
          <cell r="K34">
            <v>0</v>
          </cell>
          <cell r="L34"/>
          <cell r="M34">
            <v>0</v>
          </cell>
          <cell r="N34"/>
          <cell r="O34">
            <v>109429</v>
          </cell>
          <cell r="P34"/>
          <cell r="Q34">
            <v>1169905</v>
          </cell>
          <cell r="R34"/>
          <cell r="S34">
            <v>31</v>
          </cell>
        </row>
        <row r="35">
          <cell r="B35" t="str">
            <v>Rent &amp; Equivalent</v>
          </cell>
          <cell r="C35"/>
          <cell r="D35"/>
          <cell r="E35"/>
          <cell r="F35">
            <v>7400</v>
          </cell>
          <cell r="G35">
            <v>24081</v>
          </cell>
          <cell r="H35"/>
          <cell r="I35">
            <v>245909</v>
          </cell>
          <cell r="J35"/>
          <cell r="K35">
            <v>0</v>
          </cell>
          <cell r="L35"/>
          <cell r="M35">
            <v>0</v>
          </cell>
          <cell r="N35"/>
          <cell r="O35">
            <v>8116</v>
          </cell>
          <cell r="P35"/>
          <cell r="Q35">
            <v>82059</v>
          </cell>
          <cell r="R35"/>
          <cell r="S35">
            <v>32</v>
          </cell>
        </row>
        <row r="36">
          <cell r="B36" t="str">
            <v xml:space="preserve">Salaries &amp; Wages - Admin. &amp; General     </v>
          </cell>
          <cell r="C36"/>
          <cell r="D36"/>
          <cell r="E36"/>
          <cell r="F36">
            <v>7410</v>
          </cell>
          <cell r="G36">
            <v>4555</v>
          </cell>
          <cell r="H36"/>
          <cell r="I36">
            <v>40117</v>
          </cell>
          <cell r="J36"/>
          <cell r="K36">
            <v>0</v>
          </cell>
          <cell r="L36"/>
          <cell r="M36">
            <v>0</v>
          </cell>
          <cell r="N36"/>
          <cell r="O36">
            <v>-226</v>
          </cell>
          <cell r="P36"/>
          <cell r="Q36">
            <v>11627</v>
          </cell>
          <cell r="R36"/>
          <cell r="S36">
            <v>33</v>
          </cell>
        </row>
        <row r="37">
          <cell r="B37" t="str">
            <v>Owners Salaries</v>
          </cell>
          <cell r="C37"/>
          <cell r="D37"/>
          <cell r="E37"/>
          <cell r="F37">
            <v>7420</v>
          </cell>
          <cell r="G37">
            <v>16301</v>
          </cell>
          <cell r="H37"/>
          <cell r="I37">
            <v>146291</v>
          </cell>
          <cell r="J37"/>
          <cell r="K37">
            <v>0</v>
          </cell>
          <cell r="L37"/>
          <cell r="M37">
            <v>0</v>
          </cell>
          <cell r="N37"/>
          <cell r="O37">
            <v>6779</v>
          </cell>
          <cell r="P37"/>
          <cell r="Q37">
            <v>50109</v>
          </cell>
          <cell r="R37"/>
          <cell r="S37">
            <v>34</v>
          </cell>
        </row>
        <row r="38">
          <cell r="B38" t="str">
            <v xml:space="preserve">Payroll Taxes                                         </v>
          </cell>
          <cell r="C38"/>
          <cell r="D38"/>
          <cell r="E38"/>
          <cell r="F38">
            <v>7430</v>
          </cell>
          <cell r="G38">
            <v>12069</v>
          </cell>
          <cell r="H38"/>
          <cell r="I38">
            <v>132664</v>
          </cell>
          <cell r="J38"/>
          <cell r="K38">
            <v>0</v>
          </cell>
          <cell r="L38"/>
          <cell r="M38">
            <v>0</v>
          </cell>
          <cell r="N38"/>
          <cell r="O38">
            <v>3084</v>
          </cell>
          <cell r="P38"/>
          <cell r="Q38">
            <v>36051</v>
          </cell>
          <cell r="R38"/>
          <cell r="S38">
            <v>35</v>
          </cell>
        </row>
        <row r="39">
          <cell r="B39" t="str">
            <v xml:space="preserve">Employee Benefits                                 </v>
          </cell>
          <cell r="C39"/>
          <cell r="D39"/>
          <cell r="E39"/>
          <cell r="F39">
            <v>7440</v>
          </cell>
          <cell r="G39">
            <v>9306</v>
          </cell>
          <cell r="H39"/>
          <cell r="I39">
            <v>89849</v>
          </cell>
          <cell r="J39"/>
          <cell r="K39">
            <v>0</v>
          </cell>
          <cell r="L39"/>
          <cell r="M39">
            <v>0</v>
          </cell>
          <cell r="N39"/>
          <cell r="O39">
            <v>2734</v>
          </cell>
          <cell r="P39"/>
          <cell r="Q39">
            <v>28753</v>
          </cell>
          <cell r="R39"/>
          <cell r="S39">
            <v>36</v>
          </cell>
        </row>
        <row r="40">
          <cell r="B40" t="str">
            <v xml:space="preserve">Pension Fund/Profit Sharing                  </v>
          </cell>
          <cell r="C40"/>
          <cell r="D40"/>
          <cell r="E40"/>
          <cell r="F40">
            <v>7450</v>
          </cell>
          <cell r="G40">
            <v>476</v>
          </cell>
          <cell r="H40"/>
          <cell r="I40">
            <v>5734</v>
          </cell>
          <cell r="J40"/>
          <cell r="K40">
            <v>0</v>
          </cell>
          <cell r="L40"/>
          <cell r="M40">
            <v>0</v>
          </cell>
          <cell r="N40"/>
          <cell r="O40">
            <v>406</v>
          </cell>
          <cell r="P40"/>
          <cell r="Q40">
            <v>2221</v>
          </cell>
          <cell r="R40"/>
          <cell r="S40">
            <v>37</v>
          </cell>
        </row>
        <row r="41">
          <cell r="B41" t="str">
            <v>Advertising General &amp; Institutional</v>
          </cell>
          <cell r="C41"/>
          <cell r="D41"/>
          <cell r="E41"/>
          <cell r="F41">
            <v>7460</v>
          </cell>
          <cell r="G41">
            <v>445</v>
          </cell>
          <cell r="H41"/>
          <cell r="I41">
            <v>805</v>
          </cell>
          <cell r="J41"/>
          <cell r="K41">
            <v>0</v>
          </cell>
          <cell r="L41"/>
          <cell r="M41">
            <v>0</v>
          </cell>
          <cell r="N41"/>
          <cell r="O41">
            <v>445</v>
          </cell>
          <cell r="P41"/>
          <cell r="Q41">
            <v>465</v>
          </cell>
          <cell r="R41"/>
          <cell r="S41">
            <v>38</v>
          </cell>
        </row>
        <row r="42">
          <cell r="B42" t="str">
            <v>Stationery &amp; Office Supplies</v>
          </cell>
          <cell r="C42"/>
          <cell r="D42"/>
          <cell r="E42"/>
          <cell r="F42" t="str">
            <v>7470</v>
          </cell>
          <cell r="G42">
            <v>852</v>
          </cell>
          <cell r="H42"/>
          <cell r="I42">
            <v>8286</v>
          </cell>
          <cell r="J42"/>
          <cell r="K42">
            <v>0</v>
          </cell>
          <cell r="L42"/>
          <cell r="M42">
            <v>0</v>
          </cell>
          <cell r="N42"/>
          <cell r="O42">
            <v>299</v>
          </cell>
          <cell r="P42"/>
          <cell r="Q42">
            <v>2555</v>
          </cell>
          <cell r="R42"/>
          <cell r="S42">
            <v>39</v>
          </cell>
        </row>
        <row r="43">
          <cell r="B43" t="str">
            <v>Data Processing Services</v>
          </cell>
          <cell r="C43"/>
          <cell r="D43"/>
          <cell r="E43"/>
          <cell r="F43">
            <v>7480</v>
          </cell>
          <cell r="G43">
            <v>8337</v>
          </cell>
          <cell r="H43"/>
          <cell r="I43">
            <v>81949</v>
          </cell>
          <cell r="J43"/>
          <cell r="K43">
            <v>0</v>
          </cell>
          <cell r="L43"/>
          <cell r="M43">
            <v>0</v>
          </cell>
          <cell r="N43"/>
          <cell r="O43">
            <v>1644</v>
          </cell>
          <cell r="P43"/>
          <cell r="Q43">
            <v>19461</v>
          </cell>
          <cell r="R43"/>
          <cell r="S43">
            <v>40</v>
          </cell>
        </row>
        <row r="44">
          <cell r="B44" t="str">
            <v>Outside Services - Gen. &amp; Inst.</v>
          </cell>
          <cell r="C44"/>
          <cell r="D44"/>
          <cell r="E44"/>
          <cell r="F44">
            <v>7490</v>
          </cell>
          <cell r="G44">
            <v>3897</v>
          </cell>
          <cell r="H44"/>
          <cell r="I44">
            <v>61490</v>
          </cell>
          <cell r="J44"/>
          <cell r="K44">
            <v>0</v>
          </cell>
          <cell r="L44"/>
          <cell r="M44">
            <v>0</v>
          </cell>
          <cell r="N44"/>
          <cell r="O44">
            <v>1241</v>
          </cell>
          <cell r="P44"/>
          <cell r="Q44">
            <v>20438</v>
          </cell>
          <cell r="R44"/>
          <cell r="S44">
            <v>41</v>
          </cell>
        </row>
        <row r="45">
          <cell r="B45" t="str">
            <v>Company Vehicles- Administration</v>
          </cell>
          <cell r="C45"/>
          <cell r="D45"/>
          <cell r="E45"/>
          <cell r="F45">
            <v>7500</v>
          </cell>
          <cell r="G45">
            <v>29</v>
          </cell>
          <cell r="H45"/>
          <cell r="I45">
            <v>443</v>
          </cell>
          <cell r="J45"/>
          <cell r="K45">
            <v>0</v>
          </cell>
          <cell r="L45"/>
          <cell r="M45">
            <v>0</v>
          </cell>
          <cell r="N45"/>
          <cell r="O45">
            <v>842</v>
          </cell>
          <cell r="P45"/>
          <cell r="Q45">
            <v>1193</v>
          </cell>
          <cell r="R45"/>
          <cell r="S45">
            <v>42</v>
          </cell>
        </row>
        <row r="46">
          <cell r="B46" t="str">
            <v>Contributions</v>
          </cell>
          <cell r="C46"/>
          <cell r="D46"/>
          <cell r="E46"/>
          <cell r="F46">
            <v>7510</v>
          </cell>
          <cell r="G46">
            <v>0</v>
          </cell>
          <cell r="H46"/>
          <cell r="I46">
            <v>9807</v>
          </cell>
          <cell r="J46"/>
          <cell r="K46">
            <v>0</v>
          </cell>
          <cell r="L46"/>
          <cell r="M46">
            <v>0</v>
          </cell>
          <cell r="N46"/>
          <cell r="O46">
            <v>0</v>
          </cell>
          <cell r="P46"/>
          <cell r="Q46">
            <v>3269</v>
          </cell>
          <cell r="R46"/>
          <cell r="S46">
            <v>43</v>
          </cell>
        </row>
        <row r="47">
          <cell r="B47" t="str">
            <v>Dues &amp; Subscriptions</v>
          </cell>
          <cell r="C47"/>
          <cell r="D47"/>
          <cell r="E47"/>
          <cell r="F47">
            <v>7520</v>
          </cell>
          <cell r="G47">
            <v>320</v>
          </cell>
          <cell r="H47"/>
          <cell r="I47">
            <v>3539</v>
          </cell>
          <cell r="J47"/>
          <cell r="K47">
            <v>0</v>
          </cell>
          <cell r="L47"/>
          <cell r="M47">
            <v>0</v>
          </cell>
          <cell r="N47"/>
          <cell r="O47">
            <v>107</v>
          </cell>
          <cell r="P47"/>
          <cell r="Q47">
            <v>1170</v>
          </cell>
          <cell r="R47"/>
          <cell r="S47">
            <v>44</v>
          </cell>
        </row>
        <row r="48">
          <cell r="B48" t="str">
            <v xml:space="preserve">Telephone </v>
          </cell>
          <cell r="C48"/>
          <cell r="D48"/>
          <cell r="E48"/>
          <cell r="F48" t="str">
            <v>7530</v>
          </cell>
          <cell r="G48">
            <v>432</v>
          </cell>
          <cell r="H48"/>
          <cell r="I48">
            <v>4604</v>
          </cell>
          <cell r="J48"/>
          <cell r="K48">
            <v>0</v>
          </cell>
          <cell r="L48"/>
          <cell r="M48">
            <v>0</v>
          </cell>
          <cell r="N48"/>
          <cell r="O48">
            <v>135</v>
          </cell>
          <cell r="P48"/>
          <cell r="Q48">
            <v>1286</v>
          </cell>
          <cell r="R48"/>
          <cell r="S48">
            <v>45</v>
          </cell>
        </row>
        <row r="49">
          <cell r="B49" t="str">
            <v>Legal and Auditing</v>
          </cell>
          <cell r="C49"/>
          <cell r="D49"/>
          <cell r="E49"/>
          <cell r="F49">
            <v>7540</v>
          </cell>
          <cell r="G49">
            <v>-2112</v>
          </cell>
          <cell r="H49"/>
          <cell r="I49">
            <v>14088</v>
          </cell>
          <cell r="J49"/>
          <cell r="K49">
            <v>0</v>
          </cell>
          <cell r="L49"/>
          <cell r="M49">
            <v>0</v>
          </cell>
          <cell r="N49"/>
          <cell r="O49">
            <v>-896</v>
          </cell>
          <cell r="P49"/>
          <cell r="Q49">
            <v>4504</v>
          </cell>
          <cell r="R49"/>
          <cell r="S49">
            <v>46</v>
          </cell>
        </row>
        <row r="50">
          <cell r="B50" t="str">
            <v>Postage</v>
          </cell>
          <cell r="C50"/>
          <cell r="D50"/>
          <cell r="E50"/>
          <cell r="F50" t="str">
            <v>7550</v>
          </cell>
          <cell r="G50">
            <v>412</v>
          </cell>
          <cell r="H50"/>
          <cell r="I50">
            <v>2366</v>
          </cell>
          <cell r="J50"/>
          <cell r="K50">
            <v>0</v>
          </cell>
          <cell r="L50"/>
          <cell r="M50">
            <v>0</v>
          </cell>
          <cell r="N50"/>
          <cell r="O50">
            <v>232</v>
          </cell>
          <cell r="P50"/>
          <cell r="Q50">
            <v>1978</v>
          </cell>
          <cell r="R50"/>
          <cell r="S50">
            <v>47</v>
          </cell>
        </row>
        <row r="51">
          <cell r="B51" t="str">
            <v>Travel &amp; Entertainments</v>
          </cell>
          <cell r="C51"/>
          <cell r="D51"/>
          <cell r="E51"/>
          <cell r="F51">
            <v>7560</v>
          </cell>
          <cell r="G51">
            <v>0</v>
          </cell>
          <cell r="H51"/>
          <cell r="I51">
            <v>8</v>
          </cell>
          <cell r="J51"/>
          <cell r="K51">
            <v>0</v>
          </cell>
          <cell r="L51"/>
          <cell r="M51">
            <v>0</v>
          </cell>
          <cell r="N51"/>
          <cell r="O51">
            <v>0</v>
          </cell>
          <cell r="P51"/>
          <cell r="Q51">
            <v>3</v>
          </cell>
          <cell r="R51"/>
          <cell r="S51">
            <v>48</v>
          </cell>
        </row>
        <row r="52">
          <cell r="B52" t="str">
            <v>Heat, Light, Power &amp; Water</v>
          </cell>
          <cell r="C52"/>
          <cell r="D52"/>
          <cell r="E52"/>
          <cell r="F52">
            <v>7570</v>
          </cell>
          <cell r="G52">
            <v>2248</v>
          </cell>
          <cell r="H52"/>
          <cell r="I52">
            <v>29925</v>
          </cell>
          <cell r="J52"/>
          <cell r="K52">
            <v>0</v>
          </cell>
          <cell r="L52"/>
          <cell r="M52">
            <v>0</v>
          </cell>
          <cell r="N52"/>
          <cell r="O52">
            <v>749</v>
          </cell>
          <cell r="P52"/>
          <cell r="Q52">
            <v>9975</v>
          </cell>
          <cell r="R52"/>
          <cell r="S52">
            <v>49</v>
          </cell>
        </row>
        <row r="53">
          <cell r="B53" t="str">
            <v>Furniture, Signs, Fixtures &amp; Equipment - Depreciation, Maintenance, Repair &amp; Rental</v>
          </cell>
          <cell r="C53"/>
          <cell r="D53"/>
          <cell r="E53"/>
          <cell r="F53">
            <v>7580</v>
          </cell>
          <cell r="G53">
            <v>-3701</v>
          </cell>
          <cell r="H53"/>
          <cell r="I53">
            <v>15259</v>
          </cell>
          <cell r="J53"/>
          <cell r="K53">
            <v>0</v>
          </cell>
          <cell r="L53"/>
          <cell r="M53">
            <v>0</v>
          </cell>
          <cell r="N53"/>
          <cell r="O53">
            <v>433</v>
          </cell>
          <cell r="P53"/>
          <cell r="Q53">
            <v>5275</v>
          </cell>
          <cell r="R53"/>
          <cell r="S53">
            <v>50</v>
          </cell>
        </row>
        <row r="54">
          <cell r="B54" t="str">
            <v>Insurance - Other Than Bldgs. &amp; Improvements</v>
          </cell>
          <cell r="C54"/>
          <cell r="D54"/>
          <cell r="E54"/>
          <cell r="F54">
            <v>7590</v>
          </cell>
          <cell r="G54">
            <v>1718</v>
          </cell>
          <cell r="H54"/>
          <cell r="I54">
            <v>20284</v>
          </cell>
          <cell r="J54"/>
          <cell r="K54">
            <v>0</v>
          </cell>
          <cell r="L54"/>
          <cell r="M54">
            <v>0</v>
          </cell>
          <cell r="N54"/>
          <cell r="O54">
            <v>572</v>
          </cell>
          <cell r="P54"/>
          <cell r="Q54">
            <v>6761</v>
          </cell>
          <cell r="R54"/>
          <cell r="S54">
            <v>51</v>
          </cell>
        </row>
        <row r="55">
          <cell r="B55" t="str">
            <v>Taxes - Other Than R.E., Pay. &amp; Inc.</v>
          </cell>
          <cell r="C55"/>
          <cell r="D55"/>
          <cell r="E55"/>
          <cell r="F55">
            <v>7600</v>
          </cell>
          <cell r="G55">
            <v>5295</v>
          </cell>
          <cell r="H55"/>
          <cell r="I55">
            <v>44799</v>
          </cell>
          <cell r="J55"/>
          <cell r="K55">
            <v>0</v>
          </cell>
          <cell r="L55"/>
          <cell r="M55">
            <v>0</v>
          </cell>
          <cell r="N55"/>
          <cell r="O55">
            <v>1765</v>
          </cell>
          <cell r="P55"/>
          <cell r="Q55">
            <v>14933</v>
          </cell>
          <cell r="R55"/>
          <cell r="S55">
            <v>52</v>
          </cell>
        </row>
        <row r="56">
          <cell r="B56" t="str">
            <v>Interest - Other Than Floor Plan &amp; R.E. Mortgage</v>
          </cell>
          <cell r="C56"/>
          <cell r="D56"/>
          <cell r="E56"/>
          <cell r="F56">
            <v>7610</v>
          </cell>
          <cell r="G56">
            <v>1050</v>
          </cell>
          <cell r="H56"/>
          <cell r="I56">
            <v>40425</v>
          </cell>
          <cell r="J56"/>
          <cell r="K56">
            <v>0</v>
          </cell>
          <cell r="L56"/>
          <cell r="M56">
            <v>0</v>
          </cell>
          <cell r="N56"/>
          <cell r="O56">
            <v>162</v>
          </cell>
          <cell r="P56"/>
          <cell r="Q56">
            <v>12842</v>
          </cell>
          <cell r="R56"/>
          <cell r="S56">
            <v>53</v>
          </cell>
        </row>
        <row r="57">
          <cell r="B57" t="str">
            <v>TOTAL OVERHEAD EXPENSES</v>
          </cell>
          <cell r="C57"/>
          <cell r="D57"/>
          <cell r="E57" t="str">
            <v xml:space="preserve">LINES 32 - 53 </v>
          </cell>
          <cell r="F57"/>
          <cell r="G57">
            <v>86010</v>
          </cell>
          <cell r="H57"/>
          <cell r="I57">
            <v>998641</v>
          </cell>
          <cell r="J57"/>
          <cell r="K57">
            <v>0</v>
          </cell>
          <cell r="L57"/>
          <cell r="M57">
            <v>0</v>
          </cell>
          <cell r="N57"/>
          <cell r="O57">
            <v>28623</v>
          </cell>
          <cell r="P57"/>
          <cell r="Q57">
            <v>316928</v>
          </cell>
          <cell r="R57"/>
          <cell r="S57">
            <v>54</v>
          </cell>
        </row>
        <row r="58">
          <cell r="B58" t="str">
            <v>TOTAL EXPENSES</v>
          </cell>
          <cell r="C58"/>
          <cell r="D58"/>
          <cell r="E58" t="str">
            <v>LINES 29 &amp; 54</v>
          </cell>
          <cell r="F58"/>
          <cell r="G58">
            <v>179791</v>
          </cell>
          <cell r="H58"/>
          <cell r="I58">
            <v>2098080</v>
          </cell>
          <cell r="J58"/>
          <cell r="K58">
            <v>0</v>
          </cell>
          <cell r="L58"/>
          <cell r="M58">
            <v>0</v>
          </cell>
          <cell r="N58"/>
          <cell r="O58">
            <v>78840</v>
          </cell>
          <cell r="P58"/>
          <cell r="Q58">
            <v>870813</v>
          </cell>
          <cell r="R58"/>
          <cell r="S58">
            <v>55</v>
          </cell>
        </row>
        <row r="59">
          <cell r="B59" t="str">
            <v>OPERATING PROFIT (LOSS)</v>
          </cell>
          <cell r="C59"/>
          <cell r="D59"/>
          <cell r="E59" t="str">
            <v>LINE 2 LESS 55</v>
          </cell>
          <cell r="F59"/>
          <cell r="G59">
            <v>30312</v>
          </cell>
          <cell r="H59"/>
          <cell r="I59">
            <v>289297</v>
          </cell>
          <cell r="J59"/>
          <cell r="K59">
            <v>0</v>
          </cell>
          <cell r="L59"/>
          <cell r="M59">
            <v>0</v>
          </cell>
          <cell r="N59"/>
          <cell r="O59">
            <v>80806</v>
          </cell>
          <cell r="P59"/>
          <cell r="Q59">
            <v>852977</v>
          </cell>
          <cell r="R59"/>
          <cell r="S59">
            <v>56</v>
          </cell>
        </row>
        <row r="60">
          <cell r="B60" t="str">
            <v>ANALYSIS OF OPERATION</v>
          </cell>
          <cell r="C60"/>
          <cell r="D60"/>
          <cell r="E60" t="str">
            <v>MONTH</v>
          </cell>
          <cell r="F60"/>
          <cell r="G60"/>
          <cell r="H60" t="str">
            <v>MONTH Prior Year</v>
          </cell>
          <cell r="I60"/>
          <cell r="J60"/>
          <cell r="K60" t="str">
            <v>YEAR TO DATE</v>
          </cell>
          <cell r="L60"/>
          <cell r="M60"/>
          <cell r="N60"/>
          <cell r="O60" t="str">
            <v>YEAR TO DATE  Prior Year</v>
          </cell>
          <cell r="P60"/>
          <cell r="Q60"/>
          <cell r="R60"/>
          <cell r="S60">
            <v>57</v>
          </cell>
        </row>
        <row r="61">
          <cell r="B61"/>
          <cell r="C61"/>
          <cell r="D61"/>
          <cell r="E61" t="str">
            <v>UNIT SALES</v>
          </cell>
          <cell r="F61" t="str">
            <v>DOLLARS</v>
          </cell>
          <cell r="G61" t="str">
            <v>% SALES</v>
          </cell>
          <cell r="H61" t="str">
            <v>UNIT SALES</v>
          </cell>
          <cell r="I61" t="str">
            <v>DOLLARS</v>
          </cell>
          <cell r="J61" t="str">
            <v>% SALES</v>
          </cell>
          <cell r="K61" t="str">
            <v>UNIT SALES</v>
          </cell>
          <cell r="L61" t="str">
            <v>DOLLARS</v>
          </cell>
          <cell r="M61"/>
          <cell r="N61" t="str">
            <v>% SALES</v>
          </cell>
          <cell r="O61" t="str">
            <v>UNIT SALES</v>
          </cell>
          <cell r="P61" t="str">
            <v>DOLLARS</v>
          </cell>
          <cell r="Q61"/>
          <cell r="R61" t="str">
            <v>% SALES</v>
          </cell>
          <cell r="S61">
            <v>58</v>
          </cell>
        </row>
        <row r="62">
          <cell r="B62" t="str">
            <v>Total Dollar Sales</v>
          </cell>
          <cell r="C62"/>
          <cell r="D62"/>
          <cell r="E62"/>
          <cell r="F62">
            <v>10959442</v>
          </cell>
          <cell r="G62"/>
          <cell r="H62"/>
          <cell r="I62">
            <v>7782523</v>
          </cell>
          <cell r="J62"/>
          <cell r="K62"/>
          <cell r="L62">
            <v>98304466</v>
          </cell>
          <cell r="M62"/>
          <cell r="N62"/>
          <cell r="O62"/>
          <cell r="P62">
            <v>90109548</v>
          </cell>
          <cell r="Q62"/>
          <cell r="R62"/>
          <cell r="S62">
            <v>59</v>
          </cell>
        </row>
        <row r="63">
          <cell r="B63" t="str">
            <v>New Vehicle Gross</v>
          </cell>
          <cell r="C63"/>
          <cell r="D63"/>
          <cell r="E63">
            <v>181</v>
          </cell>
          <cell r="F63">
            <v>242887</v>
          </cell>
          <cell r="G63">
            <v>2.216235096640869E-2</v>
          </cell>
          <cell r="H63">
            <v>124</v>
          </cell>
          <cell r="I63">
            <v>163025</v>
          </cell>
          <cell r="J63">
            <v>2.0947577026113513E-2</v>
          </cell>
          <cell r="K63">
            <v>1603</v>
          </cell>
          <cell r="L63">
            <v>2444158</v>
          </cell>
          <cell r="M63"/>
          <cell r="N63">
            <v>2.4863143043775855E-2</v>
          </cell>
          <cell r="O63">
            <v>1532</v>
          </cell>
          <cell r="P63">
            <v>2122850</v>
          </cell>
          <cell r="Q63"/>
          <cell r="R63">
            <v>2.3558546759107037E-2</v>
          </cell>
          <cell r="S63">
            <v>60</v>
          </cell>
        </row>
        <row r="64">
          <cell r="B64" t="str">
            <v>Used Vehicle Gross</v>
          </cell>
          <cell r="C64"/>
          <cell r="D64"/>
          <cell r="E64">
            <v>118</v>
          </cell>
          <cell r="F64">
            <v>222809</v>
          </cell>
          <cell r="G64">
            <v>2.0330323386902362E-2</v>
          </cell>
          <cell r="H64">
            <v>100</v>
          </cell>
          <cell r="I64">
            <v>198542</v>
          </cell>
          <cell r="J64">
            <v>2.5511264149171164E-2</v>
          </cell>
          <cell r="K64">
            <v>1218</v>
          </cell>
          <cell r="L64">
            <v>2529049</v>
          </cell>
          <cell r="M64"/>
          <cell r="N64">
            <v>2.5726694858400432E-2</v>
          </cell>
          <cell r="O64">
            <v>1394</v>
          </cell>
          <cell r="P64">
            <v>2941541</v>
          </cell>
          <cell r="Q64"/>
          <cell r="R64">
            <v>3.2644054545695869E-2</v>
          </cell>
          <cell r="S64">
            <v>61</v>
          </cell>
        </row>
        <row r="65">
          <cell r="B65" t="str">
            <v>Service Gross</v>
          </cell>
          <cell r="C65"/>
          <cell r="D65"/>
          <cell r="E65"/>
          <cell r="F65">
            <v>210103</v>
          </cell>
          <cell r="G65">
            <v>1.9170957791464202E-2</v>
          </cell>
          <cell r="H65"/>
          <cell r="I65">
            <v>157427</v>
          </cell>
          <cell r="J65">
            <v>2.0228273016347012E-2</v>
          </cell>
          <cell r="K65"/>
          <cell r="L65">
            <v>2387377</v>
          </cell>
          <cell r="M65"/>
          <cell r="N65">
            <v>2.4285539580673782E-2</v>
          </cell>
          <cell r="O65"/>
          <cell r="P65">
            <v>1739752</v>
          </cell>
          <cell r="Q65"/>
          <cell r="R65">
            <v>1.9307077203405791E-2</v>
          </cell>
          <cell r="S65">
            <v>62</v>
          </cell>
        </row>
        <row r="66">
          <cell r="B66" t="str">
            <v>Body Shop Gross</v>
          </cell>
          <cell r="C66"/>
          <cell r="D66"/>
          <cell r="E66"/>
          <cell r="F66">
            <v>0</v>
          </cell>
          <cell r="G66" t="str">
            <v>-</v>
          </cell>
          <cell r="H66"/>
          <cell r="I66">
            <v>0</v>
          </cell>
          <cell r="J66" t="str">
            <v>-</v>
          </cell>
          <cell r="K66"/>
          <cell r="L66">
            <v>0</v>
          </cell>
          <cell r="M66"/>
          <cell r="N66" t="str">
            <v>-</v>
          </cell>
          <cell r="O66"/>
          <cell r="P66">
            <v>0</v>
          </cell>
          <cell r="Q66"/>
          <cell r="R66" t="str">
            <v>-</v>
          </cell>
          <cell r="S66">
            <v>63</v>
          </cell>
        </row>
        <row r="67">
          <cell r="B67" t="str">
            <v>Parts &amp; Access Gross</v>
          </cell>
          <cell r="C67"/>
          <cell r="D67"/>
          <cell r="E67"/>
          <cell r="F67">
            <v>159646</v>
          </cell>
          <cell r="G67">
            <v>1.4566982516080655E-2</v>
          </cell>
          <cell r="H67"/>
          <cell r="I67">
            <v>158299</v>
          </cell>
          <cell r="J67">
            <v>2.0340318942841544E-2</v>
          </cell>
          <cell r="K67"/>
          <cell r="L67">
            <v>1723790</v>
          </cell>
          <cell r="M67"/>
          <cell r="N67">
            <v>1.7535215541479063E-2</v>
          </cell>
          <cell r="O67"/>
          <cell r="P67">
            <v>1286499</v>
          </cell>
          <cell r="Q67"/>
          <cell r="R67">
            <v>1.4277055301620201E-2</v>
          </cell>
          <cell r="S67">
            <v>64</v>
          </cell>
        </row>
        <row r="68">
          <cell r="B68" t="str">
            <v>Total Gross</v>
          </cell>
          <cell r="C68"/>
          <cell r="D68"/>
          <cell r="E68"/>
          <cell r="F68">
            <v>835445</v>
          </cell>
          <cell r="G68">
            <v>7.6230614660855914E-2</v>
          </cell>
          <cell r="H68"/>
          <cell r="I68">
            <v>677293</v>
          </cell>
          <cell r="J68">
            <v>8.7027433134473225E-2</v>
          </cell>
          <cell r="K68"/>
          <cell r="L68">
            <v>9084374</v>
          </cell>
          <cell r="M68"/>
          <cell r="N68">
            <v>9.2410593024329135E-2</v>
          </cell>
          <cell r="O68"/>
          <cell r="P68">
            <v>8090642</v>
          </cell>
          <cell r="Q68"/>
          <cell r="R68">
            <v>8.9786733809828892E-2</v>
          </cell>
          <cell r="S68">
            <v>65</v>
          </cell>
        </row>
        <row r="69">
          <cell r="B69" t="str">
            <v>Total Expenses</v>
          </cell>
          <cell r="C69"/>
          <cell r="D69"/>
          <cell r="E69"/>
          <cell r="F69">
            <v>761772</v>
          </cell>
          <cell r="G69">
            <v>6.9508283359681997E-2</v>
          </cell>
          <cell r="H69"/>
          <cell r="I69">
            <v>665158</v>
          </cell>
          <cell r="J69">
            <v>8.5468170155102663E-2</v>
          </cell>
          <cell r="K69"/>
          <cell r="L69">
            <v>8256193</v>
          </cell>
          <cell r="M69"/>
          <cell r="N69">
            <v>8.3985940170815843E-2</v>
          </cell>
          <cell r="O69"/>
          <cell r="P69">
            <v>7373451</v>
          </cell>
          <cell r="Q69"/>
          <cell r="R69">
            <v>8.1827632738763714E-2</v>
          </cell>
          <cell r="S69">
            <v>66</v>
          </cell>
        </row>
        <row r="70">
          <cell r="B70" t="str">
            <v>Oper. Profit (Loss)</v>
          </cell>
          <cell r="C70"/>
          <cell r="D70"/>
          <cell r="E70"/>
          <cell r="F70">
            <v>73673</v>
          </cell>
          <cell r="G70">
            <v>6.7223313011739103E-3</v>
          </cell>
          <cell r="H70"/>
          <cell r="I70">
            <v>12135</v>
          </cell>
          <cell r="J70">
            <v>1.5592629793705717E-3</v>
          </cell>
          <cell r="K70"/>
          <cell r="L70">
            <v>828181</v>
          </cell>
          <cell r="M70"/>
          <cell r="N70">
            <v>8.4246528535132873E-3</v>
          </cell>
          <cell r="O70"/>
          <cell r="P70">
            <v>717191</v>
          </cell>
          <cell r="Q70"/>
          <cell r="R70">
            <v>7.9591010710651881E-3</v>
          </cell>
          <cell r="S70">
            <v>67</v>
          </cell>
        </row>
        <row r="71">
          <cell r="B71" t="str">
            <v>Net Additions Or Deductions</v>
          </cell>
          <cell r="C71"/>
          <cell r="D71"/>
          <cell r="E71"/>
          <cell r="F71">
            <v>227409</v>
          </cell>
          <cell r="G71">
            <v>2.0750052785534153E-2</v>
          </cell>
          <cell r="H71"/>
          <cell r="I71">
            <v>98254</v>
          </cell>
          <cell r="J71">
            <v>1.2624954658020285E-2</v>
          </cell>
          <cell r="K71"/>
          <cell r="L71">
            <v>1993727</v>
          </cell>
          <cell r="M71"/>
          <cell r="N71">
            <v>2.0281143686798522E-2</v>
          </cell>
          <cell r="O71"/>
          <cell r="P71">
            <v>1110867</v>
          </cell>
          <cell r="Q71"/>
          <cell r="R71">
            <v>1.2327961072449281E-2</v>
          </cell>
          <cell r="S71">
            <v>68</v>
          </cell>
        </row>
        <row r="72">
          <cell r="B72" t="str">
            <v>Total Bonuses</v>
          </cell>
          <cell r="C72"/>
          <cell r="D72"/>
          <cell r="E72"/>
          <cell r="F72">
            <v>-45511</v>
          </cell>
          <cell r="G72">
            <v>-4.1526749263329282E-3</v>
          </cell>
          <cell r="H72"/>
          <cell r="I72">
            <v>-29471</v>
          </cell>
          <cell r="J72">
            <v>-3.7868182336242371E-3</v>
          </cell>
          <cell r="K72"/>
          <cell r="L72">
            <v>-451851</v>
          </cell>
          <cell r="M72"/>
          <cell r="N72">
            <v>-4.5964442754818481E-3</v>
          </cell>
          <cell r="O72"/>
          <cell r="P72">
            <v>-334961</v>
          </cell>
          <cell r="Q72"/>
          <cell r="R72">
            <v>-3.7172642348622148E-3</v>
          </cell>
          <cell r="S72">
            <v>69</v>
          </cell>
        </row>
        <row r="73">
          <cell r="B73" t="str">
            <v>Net Profit (Loss) Before Taxes</v>
          </cell>
          <cell r="C73"/>
          <cell r="D73"/>
          <cell r="E73"/>
          <cell r="F73">
            <v>255571</v>
          </cell>
          <cell r="G73">
            <v>2.3319709160375134E-2</v>
          </cell>
          <cell r="H73"/>
          <cell r="I73">
            <v>80918</v>
          </cell>
          <cell r="J73">
            <v>1.0397399403766619E-2</v>
          </cell>
          <cell r="K73"/>
          <cell r="L73">
            <v>2370057</v>
          </cell>
          <cell r="M73"/>
          <cell r="N73">
            <v>2.4109352264829961E-2</v>
          </cell>
          <cell r="O73"/>
          <cell r="P73">
            <v>1493097</v>
          </cell>
          <cell r="Q73"/>
          <cell r="R73">
            <v>1.6569797908652255E-2</v>
          </cell>
          <cell r="S73">
            <v>70</v>
          </cell>
        </row>
        <row r="74">
          <cell r="B74" t="str">
            <v>PERSONNEL SUMMARY - Use Whole No. Only</v>
          </cell>
          <cell r="C74"/>
          <cell r="D74"/>
          <cell r="E74" t="str">
            <v>NEW</v>
          </cell>
          <cell r="F74" t="str">
            <v>SCION</v>
          </cell>
          <cell r="G74" t="str">
            <v>USED</v>
          </cell>
          <cell r="H74" t="str">
            <v>COMB</v>
          </cell>
          <cell r="I74" t="str">
            <v>TRAC</v>
          </cell>
          <cell r="J74" t="str">
            <v>F&amp;I</v>
          </cell>
          <cell r="K74" t="str">
            <v>SERV</v>
          </cell>
          <cell r="L74" t="str">
            <v>B.S.</v>
          </cell>
          <cell r="M74" t="str">
            <v>P&amp;A</v>
          </cell>
          <cell r="N74" t="str">
            <v>ADMIN</v>
          </cell>
          <cell r="O74" t="str">
            <v>TOTAL</v>
          </cell>
          <cell r="P74"/>
          <cell r="Q74"/>
          <cell r="R74"/>
          <cell r="S74">
            <v>71</v>
          </cell>
        </row>
        <row r="75">
          <cell r="B75" t="str">
            <v>Dealers</v>
          </cell>
          <cell r="C75"/>
          <cell r="D75"/>
          <cell r="E75"/>
          <cell r="F75"/>
          <cell r="G75"/>
          <cell r="H75"/>
          <cell r="I75"/>
          <cell r="J75"/>
          <cell r="K75"/>
          <cell r="L75"/>
          <cell r="M75"/>
          <cell r="N75">
            <v>1</v>
          </cell>
          <cell r="O75">
            <v>1</v>
          </cell>
          <cell r="P75"/>
          <cell r="Q75"/>
          <cell r="R75"/>
          <cell r="S75">
            <v>72</v>
          </cell>
        </row>
        <row r="76">
          <cell r="B76" t="str">
            <v>Managers/Foremen</v>
          </cell>
          <cell r="C76"/>
          <cell r="D76"/>
          <cell r="E76">
            <v>2</v>
          </cell>
          <cell r="F76">
            <v>0</v>
          </cell>
          <cell r="G76">
            <v>2</v>
          </cell>
          <cell r="H76">
            <v>4</v>
          </cell>
          <cell r="I76">
            <v>0</v>
          </cell>
          <cell r="J76">
            <v>4</v>
          </cell>
          <cell r="K76">
            <v>2</v>
          </cell>
          <cell r="L76">
            <v>0</v>
          </cell>
          <cell r="M76">
            <v>1</v>
          </cell>
          <cell r="N76">
            <v>1</v>
          </cell>
          <cell r="O76">
            <v>16</v>
          </cell>
          <cell r="P76"/>
          <cell r="Q76"/>
          <cell r="R76"/>
          <cell r="S76">
            <v>73</v>
          </cell>
        </row>
        <row r="77">
          <cell r="B77" t="str">
            <v>Slsprs/Asst Svc Mgr</v>
          </cell>
          <cell r="C77"/>
          <cell r="D77"/>
          <cell r="E77">
            <v>0</v>
          </cell>
          <cell r="F77">
            <v>0</v>
          </cell>
          <cell r="G77">
            <v>0</v>
          </cell>
          <cell r="H77">
            <v>24</v>
          </cell>
          <cell r="I77">
            <v>0</v>
          </cell>
          <cell r="J77">
            <v>0</v>
          </cell>
          <cell r="K77">
            <v>7</v>
          </cell>
          <cell r="L77">
            <v>0</v>
          </cell>
          <cell r="M77">
            <v>4</v>
          </cell>
          <cell r="N77"/>
          <cell r="O77">
            <v>35</v>
          </cell>
          <cell r="P77"/>
          <cell r="Q77"/>
          <cell r="R77"/>
          <cell r="S77">
            <v>74</v>
          </cell>
        </row>
        <row r="78">
          <cell r="B78" t="str">
            <v>Svc/B.S. Tech</v>
          </cell>
          <cell r="C78"/>
          <cell r="D78"/>
          <cell r="E78">
            <v>0</v>
          </cell>
          <cell r="F78">
            <v>0</v>
          </cell>
          <cell r="G78">
            <v>0</v>
          </cell>
          <cell r="H78"/>
          <cell r="I78"/>
          <cell r="J78"/>
          <cell r="K78">
            <v>16</v>
          </cell>
          <cell r="L78">
            <v>0</v>
          </cell>
          <cell r="M78"/>
          <cell r="N78"/>
          <cell r="O78">
            <v>16</v>
          </cell>
          <cell r="P78"/>
          <cell r="Q78"/>
          <cell r="R78"/>
          <cell r="S78">
            <v>75</v>
          </cell>
        </row>
        <row r="79">
          <cell r="B79" t="str">
            <v>Clerical</v>
          </cell>
          <cell r="C79"/>
          <cell r="D79"/>
          <cell r="E79">
            <v>0</v>
          </cell>
          <cell r="F79">
            <v>0</v>
          </cell>
          <cell r="G79">
            <v>0</v>
          </cell>
          <cell r="H79"/>
          <cell r="I79">
            <v>0</v>
          </cell>
          <cell r="J79"/>
          <cell r="K79">
            <v>0</v>
          </cell>
          <cell r="L79">
            <v>0</v>
          </cell>
          <cell r="M79">
            <v>0</v>
          </cell>
          <cell r="N79">
            <v>4</v>
          </cell>
          <cell r="O79">
            <v>4</v>
          </cell>
          <cell r="P79"/>
          <cell r="Q79"/>
          <cell r="R79"/>
          <cell r="S79">
            <v>76</v>
          </cell>
        </row>
        <row r="80">
          <cell r="B80" t="str">
            <v>Other</v>
          </cell>
          <cell r="C80"/>
          <cell r="D80"/>
          <cell r="E80">
            <v>10</v>
          </cell>
          <cell r="F80">
            <v>0</v>
          </cell>
          <cell r="G80">
            <v>8</v>
          </cell>
          <cell r="H80"/>
          <cell r="I80">
            <v>0</v>
          </cell>
          <cell r="J80"/>
          <cell r="K80">
            <v>7</v>
          </cell>
          <cell r="L80">
            <v>0</v>
          </cell>
          <cell r="M80">
            <v>2</v>
          </cell>
          <cell r="N80">
            <v>1</v>
          </cell>
          <cell r="O80">
            <v>28</v>
          </cell>
          <cell r="P80"/>
          <cell r="Q80"/>
          <cell r="R80"/>
          <cell r="S80">
            <v>77</v>
          </cell>
        </row>
        <row r="81">
          <cell r="B81" t="str">
            <v>TOTAL PERSONNEL</v>
          </cell>
          <cell r="C81"/>
          <cell r="D81"/>
          <cell r="E81">
            <v>12</v>
          </cell>
          <cell r="F81">
            <v>0</v>
          </cell>
          <cell r="G81">
            <v>10</v>
          </cell>
          <cell r="H81">
            <v>28</v>
          </cell>
          <cell r="I81">
            <v>0</v>
          </cell>
          <cell r="J81">
            <v>4</v>
          </cell>
          <cell r="K81">
            <v>32</v>
          </cell>
          <cell r="L81">
            <v>0</v>
          </cell>
          <cell r="M81">
            <v>7</v>
          </cell>
          <cell r="N81">
            <v>7</v>
          </cell>
          <cell r="O81">
            <v>100</v>
          </cell>
          <cell r="P81"/>
          <cell r="Q81"/>
          <cell r="R81"/>
          <cell r="S81">
            <v>78</v>
          </cell>
        </row>
        <row r="82">
          <cell r="B82"/>
          <cell r="C82"/>
          <cell r="D82"/>
          <cell r="E82"/>
          <cell r="F82"/>
          <cell r="G82"/>
          <cell r="H82"/>
          <cell r="I82"/>
          <cell r="J82"/>
          <cell r="K82"/>
          <cell r="L82"/>
          <cell r="M82"/>
          <cell r="N82"/>
          <cell r="O82"/>
          <cell r="P82" t="str">
            <v>Version</v>
          </cell>
          <cell r="Q82" t="str">
            <v>1.3-9</v>
          </cell>
          <cell r="R82"/>
          <cell r="S82"/>
        </row>
      </sheetData>
      <sheetData sheetId="3" refreshError="1">
        <row r="71">
          <cell r="B71">
            <v>181</v>
          </cell>
          <cell r="C71">
            <v>6043309</v>
          </cell>
          <cell r="D71">
            <v>-17666</v>
          </cell>
          <cell r="M71">
            <v>1603</v>
          </cell>
          <cell r="N71">
            <v>51276093</v>
          </cell>
          <cell r="O71">
            <v>433471</v>
          </cell>
        </row>
      </sheetData>
      <sheetData sheetId="4" refreshError="1">
        <row r="5">
          <cell r="D5">
            <v>120648</v>
          </cell>
          <cell r="G5">
            <v>882646</v>
          </cell>
          <cell r="M5">
            <v>2362</v>
          </cell>
          <cell r="P5">
            <v>33915</v>
          </cell>
        </row>
        <row r="6">
          <cell r="D6">
            <v>110033</v>
          </cell>
          <cell r="G6">
            <v>795659</v>
          </cell>
          <cell r="M6">
            <v>2362</v>
          </cell>
          <cell r="P6">
            <v>26739</v>
          </cell>
        </row>
        <row r="7">
          <cell r="D7">
            <v>21565</v>
          </cell>
          <cell r="G7">
            <v>204087</v>
          </cell>
          <cell r="M7">
            <v>0</v>
          </cell>
          <cell r="P7">
            <v>7152</v>
          </cell>
        </row>
        <row r="8">
          <cell r="D8">
            <v>19653</v>
          </cell>
          <cell r="G8">
            <v>190850</v>
          </cell>
          <cell r="M8">
            <v>0</v>
          </cell>
          <cell r="P8">
            <v>7152</v>
          </cell>
        </row>
        <row r="9">
          <cell r="D9">
            <v>77229</v>
          </cell>
          <cell r="G9">
            <v>637825</v>
          </cell>
          <cell r="M9">
            <v>718</v>
          </cell>
          <cell r="P9">
            <v>15847</v>
          </cell>
        </row>
        <row r="10">
          <cell r="D10">
            <v>70976</v>
          </cell>
          <cell r="G10">
            <v>549521</v>
          </cell>
          <cell r="M10">
            <v>718</v>
          </cell>
          <cell r="P10">
            <v>15847</v>
          </cell>
        </row>
        <row r="11">
          <cell r="D11">
            <v>0</v>
          </cell>
          <cell r="G11">
            <v>0</v>
          </cell>
          <cell r="M11">
            <v>0</v>
          </cell>
          <cell r="P11">
            <v>0</v>
          </cell>
        </row>
        <row r="12">
          <cell r="D12">
            <v>0</v>
          </cell>
          <cell r="G12">
            <v>-55</v>
          </cell>
          <cell r="M12">
            <v>0</v>
          </cell>
          <cell r="P12">
            <v>0</v>
          </cell>
        </row>
        <row r="13">
          <cell r="D13">
            <v>23204</v>
          </cell>
          <cell r="G13">
            <v>159741</v>
          </cell>
          <cell r="M13">
            <v>0</v>
          </cell>
          <cell r="P13">
            <v>10393</v>
          </cell>
        </row>
        <row r="14">
          <cell r="D14">
            <v>22006</v>
          </cell>
          <cell r="G14">
            <v>137928</v>
          </cell>
          <cell r="M14">
            <v>0</v>
          </cell>
          <cell r="P14">
            <v>10066</v>
          </cell>
        </row>
        <row r="15">
          <cell r="D15">
            <v>1201</v>
          </cell>
          <cell r="G15">
            <v>13198</v>
          </cell>
          <cell r="M15">
            <v>0</v>
          </cell>
          <cell r="P15">
            <v>1000</v>
          </cell>
        </row>
        <row r="16">
          <cell r="D16">
            <v>316</v>
          </cell>
          <cell r="G16">
            <v>10368</v>
          </cell>
          <cell r="M16">
            <v>0</v>
          </cell>
          <cell r="P16">
            <v>1050</v>
          </cell>
        </row>
        <row r="17">
          <cell r="D17">
            <v>1985</v>
          </cell>
          <cell r="G17">
            <v>5760</v>
          </cell>
          <cell r="M17">
            <v>0</v>
          </cell>
          <cell r="P17">
            <v>404</v>
          </cell>
        </row>
        <row r="18">
          <cell r="D18">
            <v>1985</v>
          </cell>
          <cell r="G18">
            <v>5390</v>
          </cell>
          <cell r="M18">
            <v>0</v>
          </cell>
          <cell r="P18">
            <v>404</v>
          </cell>
        </row>
        <row r="20">
          <cell r="D20">
            <v>32504</v>
          </cell>
          <cell r="G20">
            <v>253011</v>
          </cell>
          <cell r="M20">
            <v>0</v>
          </cell>
          <cell r="P20">
            <v>6757</v>
          </cell>
        </row>
        <row r="22">
          <cell r="D22">
            <v>47187</v>
          </cell>
          <cell r="G22">
            <v>655220</v>
          </cell>
          <cell r="M22">
            <v>0</v>
          </cell>
          <cell r="P22">
            <v>0</v>
          </cell>
        </row>
        <row r="23">
          <cell r="D23">
            <v>44112</v>
          </cell>
          <cell r="G23">
            <v>596773</v>
          </cell>
          <cell r="M23">
            <v>0</v>
          </cell>
          <cell r="P23">
            <v>0</v>
          </cell>
        </row>
        <row r="24">
          <cell r="D24">
            <v>6969</v>
          </cell>
          <cell r="G24">
            <v>90318</v>
          </cell>
          <cell r="M24">
            <v>0</v>
          </cell>
          <cell r="P24">
            <v>0</v>
          </cell>
        </row>
        <row r="25">
          <cell r="D25">
            <v>6969</v>
          </cell>
          <cell r="G25">
            <v>90318</v>
          </cell>
          <cell r="M25">
            <v>0</v>
          </cell>
          <cell r="P25">
            <v>0</v>
          </cell>
        </row>
        <row r="26">
          <cell r="D26">
            <v>46402</v>
          </cell>
          <cell r="G26">
            <v>479321</v>
          </cell>
          <cell r="M26">
            <v>0</v>
          </cell>
          <cell r="P26">
            <v>0</v>
          </cell>
        </row>
        <row r="27">
          <cell r="D27">
            <v>39527</v>
          </cell>
          <cell r="G27">
            <v>383549</v>
          </cell>
          <cell r="M27">
            <v>0</v>
          </cell>
          <cell r="P27">
            <v>0</v>
          </cell>
        </row>
        <row r="28">
          <cell r="D28">
            <v>295</v>
          </cell>
          <cell r="G28">
            <v>295</v>
          </cell>
          <cell r="M28">
            <v>0</v>
          </cell>
          <cell r="P28">
            <v>0</v>
          </cell>
        </row>
        <row r="29">
          <cell r="D29">
            <v>295</v>
          </cell>
          <cell r="G29">
            <v>350</v>
          </cell>
          <cell r="M29">
            <v>0</v>
          </cell>
          <cell r="P29">
            <v>0</v>
          </cell>
        </row>
        <row r="30">
          <cell r="D30">
            <v>15473</v>
          </cell>
          <cell r="G30">
            <v>163318</v>
          </cell>
          <cell r="M30">
            <v>0</v>
          </cell>
          <cell r="P30">
            <v>0</v>
          </cell>
        </row>
        <row r="31">
          <cell r="D31">
            <v>14221</v>
          </cell>
          <cell r="G31">
            <v>151654</v>
          </cell>
          <cell r="M31">
            <v>0</v>
          </cell>
          <cell r="P31">
            <v>0</v>
          </cell>
        </row>
        <row r="32">
          <cell r="D32">
            <v>400</v>
          </cell>
          <cell r="G32">
            <v>5348</v>
          </cell>
          <cell r="M32">
            <v>0</v>
          </cell>
          <cell r="P32">
            <v>1</v>
          </cell>
        </row>
        <row r="33">
          <cell r="D33">
            <v>400</v>
          </cell>
          <cell r="G33">
            <v>5348</v>
          </cell>
          <cell r="M33">
            <v>0</v>
          </cell>
          <cell r="P33">
            <v>1</v>
          </cell>
        </row>
        <row r="35">
          <cell r="D35">
            <v>9230</v>
          </cell>
          <cell r="G35">
            <v>127558</v>
          </cell>
          <cell r="M35">
            <v>0</v>
          </cell>
          <cell r="P35">
            <v>0</v>
          </cell>
        </row>
      </sheetData>
      <sheetData sheetId="5" refreshError="1">
        <row r="4">
          <cell r="B4">
            <v>0</v>
          </cell>
          <cell r="C4">
            <v>0</v>
          </cell>
          <cell r="L4">
            <v>1</v>
          </cell>
          <cell r="M4">
            <v>26850</v>
          </cell>
        </row>
        <row r="7">
          <cell r="B7">
            <v>59</v>
          </cell>
          <cell r="C7">
            <v>1330216</v>
          </cell>
          <cell r="L7">
            <v>572</v>
          </cell>
          <cell r="M7">
            <v>12771055</v>
          </cell>
        </row>
        <row r="11">
          <cell r="B11">
            <v>59</v>
          </cell>
          <cell r="C11">
            <v>1143932</v>
          </cell>
          <cell r="L11">
            <v>645</v>
          </cell>
          <cell r="M11">
            <v>12608822</v>
          </cell>
        </row>
        <row r="13">
          <cell r="E13">
            <v>107922</v>
          </cell>
          <cell r="O13">
            <v>1169505</v>
          </cell>
        </row>
        <row r="17">
          <cell r="C17">
            <v>1151595</v>
          </cell>
          <cell r="E17">
            <v>133</v>
          </cell>
          <cell r="M17">
            <v>8172671</v>
          </cell>
          <cell r="O17">
            <v>3993</v>
          </cell>
        </row>
        <row r="21">
          <cell r="B21">
            <v>1134</v>
          </cell>
          <cell r="C21">
            <v>112945</v>
          </cell>
          <cell r="E21">
            <v>86641</v>
          </cell>
          <cell r="L21">
            <v>13506</v>
          </cell>
          <cell r="M21">
            <v>1268245</v>
          </cell>
          <cell r="O21">
            <v>978236</v>
          </cell>
        </row>
        <row r="22">
          <cell r="B22">
            <v>19</v>
          </cell>
          <cell r="C22">
            <v>1040</v>
          </cell>
          <cell r="E22">
            <v>878</v>
          </cell>
          <cell r="L22">
            <v>171</v>
          </cell>
          <cell r="M22">
            <v>18332</v>
          </cell>
          <cell r="O22">
            <v>15161</v>
          </cell>
        </row>
        <row r="23">
          <cell r="B23">
            <v>337</v>
          </cell>
          <cell r="C23">
            <v>56699</v>
          </cell>
          <cell r="E23">
            <v>45065</v>
          </cell>
          <cell r="L23">
            <v>5026</v>
          </cell>
          <cell r="M23">
            <v>730976</v>
          </cell>
          <cell r="O23">
            <v>568903</v>
          </cell>
        </row>
        <row r="24">
          <cell r="B24">
            <v>359</v>
          </cell>
          <cell r="C24">
            <v>68829</v>
          </cell>
          <cell r="E24">
            <v>53154</v>
          </cell>
          <cell r="L24">
            <v>4278</v>
          </cell>
          <cell r="M24">
            <v>740896</v>
          </cell>
          <cell r="O24">
            <v>596580</v>
          </cell>
        </row>
        <row r="25">
          <cell r="B25">
            <v>143</v>
          </cell>
          <cell r="C25">
            <v>14276</v>
          </cell>
          <cell r="E25">
            <v>12026</v>
          </cell>
          <cell r="L25">
            <v>1697</v>
          </cell>
          <cell r="M25">
            <v>164222</v>
          </cell>
          <cell r="O25">
            <v>137117</v>
          </cell>
        </row>
        <row r="26">
          <cell r="B26">
            <v>486</v>
          </cell>
          <cell r="C26">
            <v>20830</v>
          </cell>
          <cell r="E26">
            <v>17509</v>
          </cell>
          <cell r="L26">
            <v>4330</v>
          </cell>
          <cell r="M26">
            <v>180929</v>
          </cell>
          <cell r="O26">
            <v>151980</v>
          </cell>
        </row>
        <row r="29">
          <cell r="B29">
            <v>0</v>
          </cell>
          <cell r="C29">
            <v>0</v>
          </cell>
          <cell r="E29">
            <v>0</v>
          </cell>
          <cell r="L29">
            <v>0</v>
          </cell>
          <cell r="M29">
            <v>0</v>
          </cell>
          <cell r="O29">
            <v>0</v>
          </cell>
        </row>
        <row r="30">
          <cell r="B30">
            <v>0</v>
          </cell>
          <cell r="C30">
            <v>0</v>
          </cell>
          <cell r="E30">
            <v>0</v>
          </cell>
          <cell r="L30">
            <v>0</v>
          </cell>
          <cell r="M30">
            <v>0</v>
          </cell>
          <cell r="O30">
            <v>0</v>
          </cell>
        </row>
        <row r="31">
          <cell r="B31">
            <v>0</v>
          </cell>
          <cell r="C31">
            <v>0</v>
          </cell>
          <cell r="E31">
            <v>0</v>
          </cell>
          <cell r="L31">
            <v>0</v>
          </cell>
          <cell r="M31">
            <v>0</v>
          </cell>
          <cell r="O31">
            <v>0</v>
          </cell>
        </row>
        <row r="32">
          <cell r="B32">
            <v>0</v>
          </cell>
          <cell r="C32">
            <v>0</v>
          </cell>
          <cell r="E32">
            <v>0</v>
          </cell>
          <cell r="L32">
            <v>0</v>
          </cell>
          <cell r="M32">
            <v>0</v>
          </cell>
          <cell r="O32">
            <v>0</v>
          </cell>
        </row>
        <row r="36">
          <cell r="C36">
            <v>0</v>
          </cell>
          <cell r="M36">
            <v>0</v>
          </cell>
        </row>
        <row r="37">
          <cell r="E37">
            <v>-8303</v>
          </cell>
          <cell r="O37">
            <v>-97834</v>
          </cell>
        </row>
        <row r="38">
          <cell r="C38">
            <v>15546</v>
          </cell>
          <cell r="E38">
            <v>3507</v>
          </cell>
          <cell r="M38">
            <v>238925</v>
          </cell>
          <cell r="O38">
            <v>38828</v>
          </cell>
        </row>
        <row r="40">
          <cell r="E40">
            <v>210103</v>
          </cell>
          <cell r="O40">
            <v>2387377</v>
          </cell>
        </row>
        <row r="49">
          <cell r="C49">
            <v>84989</v>
          </cell>
          <cell r="E49">
            <v>31656</v>
          </cell>
          <cell r="M49">
            <v>911706</v>
          </cell>
          <cell r="O49">
            <v>338641</v>
          </cell>
        </row>
        <row r="50">
          <cell r="C50">
            <v>1</v>
          </cell>
          <cell r="E50">
            <v>0</v>
          </cell>
          <cell r="M50">
            <v>390</v>
          </cell>
          <cell r="O50">
            <v>163</v>
          </cell>
        </row>
        <row r="51">
          <cell r="C51">
            <v>0</v>
          </cell>
          <cell r="E51">
            <v>0</v>
          </cell>
          <cell r="M51">
            <v>0</v>
          </cell>
          <cell r="O51">
            <v>0</v>
          </cell>
        </row>
        <row r="52">
          <cell r="C52">
            <v>103467</v>
          </cell>
          <cell r="E52">
            <v>39575</v>
          </cell>
          <cell r="M52">
            <v>1384015</v>
          </cell>
          <cell r="O52">
            <v>524907</v>
          </cell>
        </row>
        <row r="53">
          <cell r="C53">
            <v>43357</v>
          </cell>
          <cell r="E53">
            <v>6163</v>
          </cell>
          <cell r="M53">
            <v>404741</v>
          </cell>
          <cell r="O53">
            <v>57961</v>
          </cell>
        </row>
        <row r="54">
          <cell r="C54">
            <v>109227</v>
          </cell>
          <cell r="E54">
            <v>27106</v>
          </cell>
          <cell r="M54">
            <v>1106907</v>
          </cell>
          <cell r="O54">
            <v>294435</v>
          </cell>
        </row>
        <row r="55">
          <cell r="B55">
            <v>304</v>
          </cell>
          <cell r="C55">
            <v>23865</v>
          </cell>
          <cell r="E55">
            <v>7340</v>
          </cell>
          <cell r="L55">
            <v>3252</v>
          </cell>
          <cell r="M55">
            <v>212467</v>
          </cell>
          <cell r="O55">
            <v>75465</v>
          </cell>
        </row>
        <row r="56">
          <cell r="B56">
            <v>388</v>
          </cell>
          <cell r="C56">
            <v>88987</v>
          </cell>
          <cell r="E56">
            <v>14053</v>
          </cell>
          <cell r="L56">
            <v>4002</v>
          </cell>
          <cell r="M56">
            <v>933628</v>
          </cell>
          <cell r="O56">
            <v>147445</v>
          </cell>
        </row>
        <row r="57">
          <cell r="C57">
            <v>1685</v>
          </cell>
          <cell r="E57">
            <v>381</v>
          </cell>
          <cell r="M57">
            <v>18667</v>
          </cell>
          <cell r="O57">
            <v>4097</v>
          </cell>
        </row>
        <row r="60">
          <cell r="C60">
            <v>2171</v>
          </cell>
          <cell r="E60">
            <v>941</v>
          </cell>
          <cell r="M60">
            <v>17197</v>
          </cell>
          <cell r="O60">
            <v>6154</v>
          </cell>
        </row>
        <row r="61">
          <cell r="C61">
            <v>0</v>
          </cell>
          <cell r="E61">
            <v>0</v>
          </cell>
        </row>
        <row r="62">
          <cell r="C62">
            <v>369</v>
          </cell>
          <cell r="E62">
            <v>147</v>
          </cell>
          <cell r="M62">
            <v>1143</v>
          </cell>
          <cell r="O62">
            <v>432</v>
          </cell>
        </row>
        <row r="63">
          <cell r="C63">
            <v>7882</v>
          </cell>
          <cell r="E63">
            <v>3040</v>
          </cell>
          <cell r="M63">
            <v>108502</v>
          </cell>
          <cell r="O63">
            <v>42092</v>
          </cell>
        </row>
        <row r="64">
          <cell r="C64">
            <v>0</v>
          </cell>
          <cell r="E64">
            <v>0</v>
          </cell>
          <cell r="M64">
            <v>141</v>
          </cell>
          <cell r="O64">
            <v>68</v>
          </cell>
        </row>
        <row r="65">
          <cell r="B65">
            <v>0</v>
          </cell>
          <cell r="C65">
            <v>0</v>
          </cell>
          <cell r="E65">
            <v>0</v>
          </cell>
          <cell r="L65">
            <v>0</v>
          </cell>
          <cell r="M65">
            <v>0</v>
          </cell>
          <cell r="O65">
            <v>0</v>
          </cell>
        </row>
        <row r="66">
          <cell r="B66">
            <v>0</v>
          </cell>
          <cell r="C66">
            <v>0</v>
          </cell>
          <cell r="E66">
            <v>0</v>
          </cell>
          <cell r="L66">
            <v>0</v>
          </cell>
          <cell r="M66">
            <v>0</v>
          </cell>
          <cell r="O66">
            <v>0</v>
          </cell>
        </row>
        <row r="69">
          <cell r="C69">
            <v>0</v>
          </cell>
          <cell r="M69">
            <v>0</v>
          </cell>
        </row>
        <row r="70">
          <cell r="E70">
            <v>4091</v>
          </cell>
          <cell r="O70">
            <v>34069</v>
          </cell>
        </row>
        <row r="71">
          <cell r="C71">
            <v>30421</v>
          </cell>
          <cell r="E71">
            <v>25153</v>
          </cell>
          <cell r="M71">
            <v>330315</v>
          </cell>
          <cell r="O71">
            <v>197825</v>
          </cell>
        </row>
        <row r="72">
          <cell r="E72">
            <v>159646</v>
          </cell>
          <cell r="O72">
            <v>1723790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8" Type="http://schemas.openxmlformats.org/officeDocument/2006/relationships/hyperlink" Target="http://dops-web01/RS08?%2Farkona%2Freports%2Facctgfinanceadj&amp;CID=4232180801&amp;zmonth=9&amp;zyear=2017&amp;zChoice=Adjustments&amp;zChoice=Blowbacks&amp;zChoice=Chargebacks&amp;rs%3AParameterLanguage=" TargetMode="External"/><Relationship Id="rId13" Type="http://schemas.openxmlformats.org/officeDocument/2006/relationships/hyperlink" Target="http://dops-web01/RS08?%2Farkona%2Freports%2Facctgfinanceadj&amp;CID=mo6&amp;zmonth=9&amp;zyear=2017&amp;zChoice=Adjustments&amp;zChoice=Blowbacks&amp;zChoice=Chargebacks&amp;rs%3AParameterLanguage=" TargetMode="External"/><Relationship Id="rId3" Type="http://schemas.openxmlformats.org/officeDocument/2006/relationships/hyperlink" Target="http://dops-web01/RS08?%2Farkona%2Freports%2Facctgfinanceadj&amp;CID=mo9&amp;zmonth=9&amp;zyear=2017&amp;zChoice=Adjustments&amp;zChoice=Blowbacks&amp;zChoice=Chargebacks&amp;rs%3AParameterLanguage=" TargetMode="External"/><Relationship Id="rId7" Type="http://schemas.openxmlformats.org/officeDocument/2006/relationships/hyperlink" Target="http://dops-web01/RS08?%2Farkona%2Freports%2Facctgfinanceadj&amp;CID=4232823000&amp;zmonth=9&amp;zyear=2017&amp;zChoice=Adjustments&amp;zChoice=Blowbacks&amp;zChoice=Chargebacks&amp;rs%3AParameterLanguage=" TargetMode="External"/><Relationship Id="rId12" Type="http://schemas.openxmlformats.org/officeDocument/2006/relationships/hyperlink" Target="http://dops-web01/RS08?%2Farkona%2Freports%2Facctgfinanceadj&amp;CID=mo7&amp;zmonth=9&amp;zyear=2017&amp;zChoice=Adjustments&amp;zChoice=Blowbacks&amp;zChoice=Chargebacks&amp;rs%3AParameterLanguage=" TargetMode="External"/><Relationship Id="rId2" Type="http://schemas.openxmlformats.org/officeDocument/2006/relationships/hyperlink" Target="http://dops-web01/RS08?%2Frr%2Freports%2Facctgfinanceadj&amp;CID=8435010721&amp;zmonth=9&amp;zyear=2017&amp;zChoice=Adjustments&amp;zChoice=Blowbacks&amp;zChoice=Chargebacks&amp;rs%3AParameterLanguage=" TargetMode="External"/><Relationship Id="rId1" Type="http://schemas.openxmlformats.org/officeDocument/2006/relationships/hyperlink" Target="http://dops-web01/RS08?%2Frr%2Freports%2Facctgfinanceadj&amp;CID=8437514261&amp;zmonth=9&amp;zyear=2017&amp;zChoice=Adjustments&amp;zChoice=Blowbacks&amp;zChoice=Chargebacks&amp;rs%3AParameterLanguage=" TargetMode="External"/><Relationship Id="rId6" Type="http://schemas.openxmlformats.org/officeDocument/2006/relationships/hyperlink" Target="http://dops-web01/RS08?%2Frr%2Freports%2Facctgfinanceadj&amp;CID=7048670000&amp;zmonth=9&amp;zyear=2017&amp;zChoice=Adjustments&amp;zChoice=Blowbacks&amp;zChoice=Chargebacks&amp;rs%3AParameterLanguage=" TargetMode="External"/><Relationship Id="rId11" Type="http://schemas.openxmlformats.org/officeDocument/2006/relationships/hyperlink" Target="http://dops-web01/RS08?%2Farkona%2Freports%2Facctgfinanceadj&amp;CID=mo5&amp;zmonth=9&amp;zyear=2017&amp;zChoice=Adjustments&amp;zChoice=Blowbacks&amp;zChoice=Chargebacks&amp;rs%3AParameterLanguage=" TargetMode="External"/><Relationship Id="rId5" Type="http://schemas.openxmlformats.org/officeDocument/2006/relationships/hyperlink" Target="http://dops-web01/RS08?%2Farkona%2Freports%2Facctgfinanceadj&amp;CID=4235810987&amp;zmonth=9&amp;zyear=2017&amp;zChoice=Adjustments&amp;zChoice=Blowbacks&amp;zChoice=Chargebacks&amp;rs%3AParameterLanguage=" TargetMode="External"/><Relationship Id="rId10" Type="http://schemas.openxmlformats.org/officeDocument/2006/relationships/hyperlink" Target="http://dops-web01/RS08?%2Farkona%2Freports%2Facctgfinanceadj&amp;CID=mo8a&amp;zmonth=9&amp;zyear=2017&amp;zChoice=Adjustments&amp;zChoice=Blowbacks&amp;zChoice=Chargebacks&amp;rs%3AParameterLanguage=" TargetMode="External"/><Relationship Id="rId4" Type="http://schemas.openxmlformats.org/officeDocument/2006/relationships/hyperlink" Target="http://dops-web01/RS08?%2Farkona%2Freports%2Facctgfinanceadj&amp;CID=4232459141&amp;zmonth=9&amp;zyear=2017&amp;zChoice=Adjustments&amp;zChoice=Blowbacks&amp;zChoice=Chargebacks&amp;rs%3AParameterLanguage=" TargetMode="External"/><Relationship Id="rId9" Type="http://schemas.openxmlformats.org/officeDocument/2006/relationships/hyperlink" Target="http://dops-web01/RS08?%2Farkona%2Freports%2Facctgfinanceadj&amp;CID=mo8&amp;zmonth=9&amp;zyear=2017&amp;zChoice=Adjustments&amp;zChoice=Blowbacks&amp;zChoice=Chargebacks&amp;rs%3AParameterLanguage=" TargetMode="External"/><Relationship Id="rId14"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hyperlink" Target="http://dops-web01/RS08?%2Farkona%2Freports%2Facctgfinanceadj&amp;CID=4232459141&amp;zmonth=10&amp;zyear=2017&amp;zChoice=Adjustments&amp;zChoice=Blowbacks&amp;zChoice=Chargebacks&amp;rs%3AParameterLanguage=" TargetMode="External"/><Relationship Id="rId7" Type="http://schemas.openxmlformats.org/officeDocument/2006/relationships/hyperlink" Target="http://dops-web01/RS08?%2Farkona%2Freports%2Facctgfinanceadj&amp;CID=4232180801&amp;zmonth=10&amp;zyear=2017&amp;zChoice=Adjustments&amp;zChoice=Blowbacks&amp;zChoice=Chargebacks&amp;rs%3AParameterLanguage=" TargetMode="External"/><Relationship Id="rId2" Type="http://schemas.openxmlformats.org/officeDocument/2006/relationships/hyperlink" Target="http://dops-web01/RS08?%2Frr%2Freports%2Facctgfinanceadj&amp;CID=8435010721&amp;zmonth=10&amp;zyear=2017&amp;zChoice=Adjustments&amp;zChoice=Blowbacks&amp;zChoice=Chargebacks&amp;rs%3AParameterLanguage=" TargetMode="External"/><Relationship Id="rId1" Type="http://schemas.openxmlformats.org/officeDocument/2006/relationships/hyperlink" Target="http://dops-web01/RS08?%2Frr%2Freports%2Facctgfinanceadj&amp;CID=8437514261&amp;zmonth=10&amp;zyear=2017&amp;zChoice=Adjustments&amp;zChoice=Blowbacks&amp;zChoice=Chargebacks&amp;rs%3AParameterLanguage=" TargetMode="External"/><Relationship Id="rId6" Type="http://schemas.openxmlformats.org/officeDocument/2006/relationships/hyperlink" Target="http://dops-web01/RS08?%2Farkona%2Freports%2Facctgfinanceadj&amp;CID=4232823000&amp;zmonth=10&amp;zyear=2017&amp;zChoice=Adjustments&amp;zChoice=Blowbacks&amp;zChoice=Chargebacks&amp;rs%3AParameterLanguage=" TargetMode="External"/><Relationship Id="rId5" Type="http://schemas.openxmlformats.org/officeDocument/2006/relationships/hyperlink" Target="http://dops-web01/RS08?%2Frr%2Freports%2Facctgfinanceadj&amp;CID=7048670000&amp;zmonth=10&amp;zyear=2017&amp;zChoice=Adjustments&amp;zChoice=Blowbacks&amp;zChoice=Chargebacks&amp;rs%3AParameterLanguage=" TargetMode="External"/><Relationship Id="rId4" Type="http://schemas.openxmlformats.org/officeDocument/2006/relationships/hyperlink" Target="http://dops-web01/RS08?%2Farkona%2Freports%2Facctgfinanceadj&amp;CID=4235810987&amp;zmonth=10&amp;zyear=2017&amp;zChoice=Adjustments&amp;zChoice=Blowbacks&amp;zChoice=Chargebacks&amp;rs%3AParameterLanguage=" TargetMode="External"/></Relationships>
</file>

<file path=xl/worksheets/_rels/sheet23.xml.rels><?xml version="1.0" encoding="UTF-8" standalone="yes"?>
<Relationships xmlns="http://schemas.openxmlformats.org/package/2006/relationships"><Relationship Id="rId3" Type="http://schemas.openxmlformats.org/officeDocument/2006/relationships/hyperlink" Target="http://dops-web01/RS08?%2Farkona%2Freports%2Facctgfinanceadj&amp;CID=4235810987&amp;zmonth=10&amp;zyear=2017&amp;zChoice=Adjustments&amp;zChoice=Blowbacks&amp;zChoice=Chargebacks&amp;rs%3AParameterLanguage=" TargetMode="External"/><Relationship Id="rId2" Type="http://schemas.openxmlformats.org/officeDocument/2006/relationships/hyperlink" Target="http://dops-web01/RS08?%2Farkona%2Freports%2Facctgfinanceadj&amp;CID=4232459141&amp;zmonth=10&amp;zyear=2017&amp;zChoice=Adjustments&amp;zChoice=Blowbacks&amp;zChoice=Chargebacks&amp;rs%3AParameterLanguage=" TargetMode="External"/><Relationship Id="rId1" Type="http://schemas.openxmlformats.org/officeDocument/2006/relationships/hyperlink" Target="http://dops-web01/RS08?%2Frr%2Freports%2Facctgfinanceadj&amp;CID=8435010721&amp;zmonth=10&amp;zyear=2017&amp;zChoice=Adjustments&amp;zChoice=Blowbacks&amp;zChoice=Chargebacks&amp;rs%3AParameterLanguage=" TargetMode="External"/><Relationship Id="rId6" Type="http://schemas.openxmlformats.org/officeDocument/2006/relationships/hyperlink" Target="http://dops-web01/RS08?%2Farkona%2Freports%2Facctgfinanceadj&amp;CID=4232180801&amp;zmonth=10&amp;zyear=2017&amp;zChoice=Adjustments&amp;zChoice=Blowbacks&amp;zChoice=Chargebacks&amp;rs%3AParameterLanguage=" TargetMode="External"/><Relationship Id="rId5" Type="http://schemas.openxmlformats.org/officeDocument/2006/relationships/hyperlink" Target="http://dops-web01/RS08?%2Farkona%2Freports%2Facctgfinanceadj&amp;CID=4232823000&amp;zmonth=10&amp;zyear=2017&amp;zChoice=Adjustments&amp;zChoice=Blowbacks&amp;zChoice=Chargebacks&amp;rs%3AParameterLanguage=" TargetMode="External"/><Relationship Id="rId4" Type="http://schemas.openxmlformats.org/officeDocument/2006/relationships/hyperlink" Target="http://dops-web01/RS08?%2Frr%2Freports%2Facctgfinanceadj&amp;CID=7048670000&amp;zmonth=10&amp;zyear=2017&amp;zChoice=Adjustments&amp;zChoice=Blowbacks&amp;zChoice=Chargebacks&amp;rs%3AParameterLanguag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73"/>
  <sheetViews>
    <sheetView workbookViewId="0"/>
  </sheetViews>
  <sheetFormatPr defaultRowHeight="15"/>
  <cols>
    <col min="1" max="1" width="52.5703125" bestFit="1" customWidth="1"/>
    <col min="2" max="11" width="12.5703125" customWidth="1"/>
  </cols>
  <sheetData>
    <row r="1" spans="1:11" s="1" customFormat="1">
      <c r="A1" s="3" t="s">
        <v>254</v>
      </c>
      <c r="D1" s="3"/>
      <c r="F1" s="3"/>
      <c r="H1" s="3"/>
      <c r="J1" s="3"/>
    </row>
    <row r="2" spans="1:11" s="1" customFormat="1">
      <c r="A2" s="2">
        <v>42309</v>
      </c>
      <c r="D2" s="2"/>
      <c r="F2" s="2"/>
      <c r="H2" s="2"/>
      <c r="J2" s="2"/>
    </row>
    <row r="3" spans="1:11" s="1" customFormat="1">
      <c r="A3" s="3"/>
      <c r="B3" s="309" t="s">
        <v>64</v>
      </c>
      <c r="C3" s="310"/>
      <c r="D3" s="309" t="s">
        <v>65</v>
      </c>
      <c r="E3" s="310"/>
      <c r="F3" s="309" t="s">
        <v>66</v>
      </c>
      <c r="G3" s="310"/>
      <c r="H3" s="309" t="s">
        <v>67</v>
      </c>
      <c r="I3" s="310"/>
      <c r="J3" s="309" t="s">
        <v>68</v>
      </c>
      <c r="K3" s="310"/>
    </row>
    <row r="4" spans="1:11" s="1" customFormat="1">
      <c r="B4" s="14" t="s">
        <v>2</v>
      </c>
      <c r="C4" s="15" t="s">
        <v>3</v>
      </c>
      <c r="D4" s="14" t="s">
        <v>2</v>
      </c>
      <c r="E4" s="15" t="s">
        <v>3</v>
      </c>
      <c r="F4" s="14" t="s">
        <v>2</v>
      </c>
      <c r="G4" s="15" t="s">
        <v>3</v>
      </c>
      <c r="H4" s="14" t="s">
        <v>2</v>
      </c>
      <c r="I4" s="15" t="s">
        <v>3</v>
      </c>
      <c r="J4" s="14" t="s">
        <v>2</v>
      </c>
      <c r="K4" s="15" t="s">
        <v>3</v>
      </c>
    </row>
    <row r="5" spans="1:11">
      <c r="A5" s="11" t="s">
        <v>252</v>
      </c>
      <c r="B5" s="16">
        <f>'Dealership Totals'!B6+'Dealership Totals'!J6+'Dealership Totals'!N6+'Dealership Totals'!R6+'Dealership Totals'!V6+'Dealership Totals'!Z6+'Dealership Totals'!AD6</f>
        <v>43111645</v>
      </c>
      <c r="C5" s="17">
        <f>'Dealership Totals'!C6+'Dealership Totals'!K6+'Dealership Totals'!O6+'Dealership Totals'!S6+'Dealership Totals'!W6+'Dealership Totals'!AA6+'Dealership Totals'!AE6</f>
        <v>440685408</v>
      </c>
      <c r="D5" s="16">
        <f>'New Vehicle'!B7+'New Vehicle'!F7+'New Vehicle'!H7+'New Vehicle'!J7+'New Vehicle'!L7+'New Vehicle'!N7+'New Vehicle'!P7</f>
        <v>25398487</v>
      </c>
      <c r="E5" s="17">
        <f>'New Vehicle'!C7+'New Vehicle'!G7+'New Vehicle'!I7+'New Vehicle'!K7+'New Vehicle'!M7+'New Vehicle'!O7+'New Vehicle'!Q7</f>
        <v>244874097</v>
      </c>
      <c r="F5" s="16">
        <f>'Used Vehicle'!B13+'Used Vehicle'!F13+'Used Vehicle'!H13+'Used Vehicle'!J13+'Used Vehicle'!L13+'Used Vehicle'!N13+'Used Vehicle'!P13</f>
        <v>11744022</v>
      </c>
      <c r="G5" s="17">
        <f>'Used Vehicle'!C13+'Used Vehicle'!G13+'Used Vehicle'!I13+'Used Vehicle'!K13+'Used Vehicle'!M13+'Used Vehicle'!O13+'Used Vehicle'!Q13</f>
        <v>130269380</v>
      </c>
      <c r="H5" s="16">
        <f>Service!B26+Service!F26+Service!H26+Service!J26+Service!L26+Service!N26+Service!P26</f>
        <v>1432043</v>
      </c>
      <c r="I5" s="17">
        <f>Service!C26+Service!G26+Service!I26+Service!K26+Service!M26+Service!O26+Service!Q26</f>
        <v>17845925</v>
      </c>
      <c r="J5" s="16">
        <f>'Parts &amp; Accessories'!B29+'Parts &amp; Accessories'!B32+'Parts &amp; Accessories'!F29+'Parts &amp; Accessories'!F32+'Parts &amp; Accessories'!H29+'Parts &amp; Accessories'!H32+'Parts &amp; Accessories'!J29+'Parts &amp; Accessories'!J32+'Parts &amp; Accessories'!L29+'Parts &amp; Accessories'!L32+'Parts &amp; Accessories'!N29+'Parts &amp; Accessories'!N32+'Parts &amp; Accessories'!P29+'Parts &amp; Accessories'!P32</f>
        <v>1776447</v>
      </c>
      <c r="K5" s="17">
        <f>'Parts &amp; Accessories'!C29+'Parts &amp; Accessories'!C32+'Parts &amp; Accessories'!G29+'Parts &amp; Accessories'!G32+'Parts &amp; Accessories'!I29+'Parts &amp; Accessories'!I32+'Parts &amp; Accessories'!K29+'Parts &amp; Accessories'!K32+'Parts &amp; Accessories'!M29+'Parts &amp; Accessories'!M32+'Parts &amp; Accessories'!O29+'Parts &amp; Accessories'!O32+'Parts &amp; Accessories'!Q29+'Parts &amp; Accessories'!Q32</f>
        <v>20824225</v>
      </c>
    </row>
    <row r="6" spans="1:11">
      <c r="B6" s="18"/>
      <c r="C6" s="19"/>
      <c r="D6" s="18"/>
      <c r="E6" s="19"/>
      <c r="F6" s="18"/>
      <c r="G6" s="19"/>
      <c r="H6" s="18"/>
      <c r="I6" s="19"/>
      <c r="J6" s="18"/>
      <c r="K6" s="19"/>
    </row>
    <row r="7" spans="1:11">
      <c r="A7" s="4" t="s">
        <v>253</v>
      </c>
      <c r="B7" s="24">
        <f>'Dealership Totals'!B8+'Dealership Totals'!J8+'Dealership Totals'!N8+'Dealership Totals'!R8+'Dealership Totals'!V8+'Dealership Totals'!Z8+'Dealership Totals'!AD8</f>
        <v>1168500</v>
      </c>
      <c r="C7" s="25">
        <f>'Dealership Totals'!C8+'Dealership Totals'!K8+'Dealership Totals'!O8+'Dealership Totals'!S8+'Dealership Totals'!W8+'Dealership Totals'!AA8+'Dealership Totals'!AE8</f>
        <v>11986547</v>
      </c>
      <c r="D7" s="24">
        <f>'New Vehicle'!B9+'New Vehicle'!B19+'New Vehicle'!F9+'New Vehicle'!F19+'New Vehicle'!H9+'New Vehicle'!H19+'New Vehicle'!J9+'New Vehicle'!J19+'New Vehicle'!L9+'New Vehicle'!L19+'New Vehicle'!N9+'New Vehicle'!N19+'New Vehicle'!P9+'New Vehicle'!P19</f>
        <v>2020197</v>
      </c>
      <c r="E7" s="24">
        <f>'New Vehicle'!C9+'New Vehicle'!C19+'New Vehicle'!G9+'New Vehicle'!G19+'New Vehicle'!I9+'New Vehicle'!I19+'New Vehicle'!K9+'New Vehicle'!K19+'New Vehicle'!M9+'New Vehicle'!M19+'New Vehicle'!O9+'New Vehicle'!O19+'New Vehicle'!Q9+'New Vehicle'!Q19</f>
        <v>19269922</v>
      </c>
      <c r="F7" s="24">
        <f>'Used Vehicle'!B23+'Used Vehicle'!F23+'Used Vehicle'!H23+'Used Vehicle'!J23+'Used Vehicle'!L23+'Used Vehicle'!N23+'Used Vehicle'!P23</f>
        <v>465086</v>
      </c>
      <c r="G7" s="25">
        <f>'Used Vehicle'!C23+'Used Vehicle'!G23+'Used Vehicle'!I23+'Used Vehicle'!K23+'Used Vehicle'!M23+'Used Vehicle'!O23+'Used Vehicle'!Q23</f>
        <v>5771819</v>
      </c>
      <c r="H7" s="24">
        <f>Service!B29+Service!F29+Service!H29+Service!J29+Service!L29+Service!N29+Service!P29</f>
        <v>28760</v>
      </c>
      <c r="I7" s="25">
        <f>Service!C29+Service!G29+Service!I29+Service!K29+Service!M29+Service!O29+Service!Q29</f>
        <v>349345</v>
      </c>
      <c r="J7" s="24">
        <f>'Parts &amp; Accessories'!B32+'Parts &amp; Accessories'!F32+'Parts &amp; Accessories'!H32+'Parts &amp; Accessories'!J32+'Parts &amp; Accessories'!L32+'Parts &amp; Accessories'!N32+'Parts &amp; Accessories'!P32</f>
        <v>0</v>
      </c>
      <c r="K7" s="25">
        <f>'Parts &amp; Accessories'!C32+'Parts &amp; Accessories'!G32+'Parts &amp; Accessories'!I32+'Parts &amp; Accessories'!K32+'Parts &amp; Accessories'!M32+'Parts &amp; Accessories'!O32+'Parts &amp; Accessories'!Q32</f>
        <v>37423</v>
      </c>
    </row>
    <row r="8" spans="1:11">
      <c r="A8" s="12" t="s">
        <v>1</v>
      </c>
      <c r="B8" s="20">
        <f>'Dealership Totals'!B9+'Dealership Totals'!J9+'Dealership Totals'!N9+'Dealership Totals'!R9+'Dealership Totals'!V9+'Dealership Totals'!Z9+'Dealership Totals'!AD9+'Dealership Totals'!AH9+'Dealership Totals'!AJ9</f>
        <v>5226742</v>
      </c>
      <c r="C8" s="21">
        <f>'Dealership Totals'!C9+'Dealership Totals'!K9+'Dealership Totals'!O9+'Dealership Totals'!S9+'Dealership Totals'!W9+'Dealership Totals'!AA9+'Dealership Totals'!AE9+'Dealership Totals'!AI9+'Dealership Totals'!AK9</f>
        <v>59544083</v>
      </c>
      <c r="D8" s="20">
        <f>'New Vehicle'!B21+'New Vehicle'!F21+'New Vehicle'!H21+'New Vehicle'!J21+'New Vehicle'!L21+'New Vehicle'!N21+'New Vehicle'!P21</f>
        <v>1911859</v>
      </c>
      <c r="E8" s="21">
        <f>'New Vehicle'!C21+'New Vehicle'!G21+'New Vehicle'!I21+'New Vehicle'!K21+'New Vehicle'!M21+'New Vehicle'!O21+'New Vehicle'!Q21</f>
        <v>19247585</v>
      </c>
      <c r="F8" s="20">
        <f>'Used Vehicle'!B28+'Used Vehicle'!F28+'Used Vehicle'!H28+'Used Vehicle'!J28+'Used Vehicle'!L28+'Used Vehicle'!N28+'Used Vehicle'!P28</f>
        <v>1072584</v>
      </c>
      <c r="G8" s="21">
        <f>'Used Vehicle'!C28+'Used Vehicle'!G28+'Used Vehicle'!I28+'Used Vehicle'!K28+'Used Vehicle'!M28+'Used Vehicle'!O28+'Used Vehicle'!Q28</f>
        <v>13329286</v>
      </c>
      <c r="H8" s="20">
        <f>Service!B31+Service!F31+Service!H31+Service!J31+Service!L31+Service!N31+Service!P31</f>
        <v>956914</v>
      </c>
      <c r="I8" s="21">
        <f>Service!C31+Service!G31+Service!I31+Service!K31+Service!M31+Service!O31+Service!Q31</f>
        <v>11947260</v>
      </c>
      <c r="J8" s="20">
        <f>'Parts &amp; Accessories'!B34+'Parts &amp; Accessories'!F34+'Parts &amp; Accessories'!H34+'Parts &amp; Accessories'!J34+'Parts &amp; Accessories'!L34+'Parts &amp; Accessories'!N34+'Parts &amp; Accessories'!P34</f>
        <v>570376</v>
      </c>
      <c r="K8" s="21">
        <f>'Parts &amp; Accessories'!C34+'Parts &amp; Accessories'!G34+'Parts &amp; Accessories'!I34+'Parts &amp; Accessories'!K34+'Parts &amp; Accessories'!M34+'Parts &amp; Accessories'!O34+'Parts &amp; Accessories'!Q34</f>
        <v>6452892</v>
      </c>
    </row>
    <row r="9" spans="1:11">
      <c r="B9" s="18"/>
      <c r="C9" s="19"/>
      <c r="D9" s="18"/>
      <c r="E9" s="19"/>
      <c r="F9" s="18"/>
      <c r="G9" s="19"/>
      <c r="H9" s="18"/>
      <c r="I9" s="19"/>
      <c r="J9" s="18"/>
      <c r="K9" s="19"/>
    </row>
    <row r="10" spans="1:11">
      <c r="A10" s="5" t="s">
        <v>4</v>
      </c>
      <c r="B10" s="47">
        <f>'Dealership Totals'!B11+'Dealership Totals'!J11+'Dealership Totals'!N11+'Dealership Totals'!R11+'Dealership Totals'!V11+'Dealership Totals'!Z11+'Dealership Totals'!AD11</f>
        <v>660183</v>
      </c>
      <c r="C10" s="13">
        <f>'Dealership Totals'!C11+'Dealership Totals'!K11+'Dealership Totals'!O11+'Dealership Totals'!S11+'Dealership Totals'!W11+'Dealership Totals'!AA11+'Dealership Totals'!AE11</f>
        <v>6949667</v>
      </c>
      <c r="D10" s="47">
        <f>'New Vehicle'!B23+'New Vehicle'!F23+'New Vehicle'!H23+'New Vehicle'!J23+'New Vehicle'!L23+'New Vehicle'!N23+'New Vehicle'!P23</f>
        <v>278080</v>
      </c>
      <c r="E10" s="13">
        <f>'New Vehicle'!C23+'New Vehicle'!G23+'New Vehicle'!I23+'New Vehicle'!K23+'New Vehicle'!M23+'New Vehicle'!O23+'New Vehicle'!Q23</f>
        <v>2688806</v>
      </c>
      <c r="F10" s="47">
        <f>'Used Vehicle'!B30+'Used Vehicle'!F30+'Used Vehicle'!H30+'Used Vehicle'!J30+'Used Vehicle'!L30+'Used Vehicle'!N30+'Used Vehicle'!P30</f>
        <v>214435</v>
      </c>
      <c r="G10" s="13">
        <f>'Used Vehicle'!C30+'Used Vehicle'!G30+'Used Vehicle'!I30+'Used Vehicle'!K30+'Used Vehicle'!M30+'Used Vehicle'!O30+'Used Vehicle'!Q30</f>
        <v>2441336</v>
      </c>
      <c r="H10" s="47">
        <f>Service!B33+Service!F33+Service!H33+Service!J33+Service!L33+Service!N33+Service!P33</f>
        <v>120057</v>
      </c>
      <c r="I10" s="13">
        <f>Service!C33+Service!G33+Service!I33+Service!K33+Service!M33+Service!O33+Service!Q33</f>
        <v>1249220</v>
      </c>
      <c r="J10" s="47">
        <f>'Parts &amp; Accessories'!B36+'Parts &amp; Accessories'!F36+'Parts &amp; Accessories'!H36+'Parts &amp; Accessories'!J36+'Parts &amp; Accessories'!L36+'Parts &amp; Accessories'!N36+'Parts &amp; Accessories'!P36</f>
        <v>47611</v>
      </c>
      <c r="K10" s="13">
        <f>'Parts &amp; Accessories'!C36+'Parts &amp; Accessories'!G36+'Parts &amp; Accessories'!I36+'Parts &amp; Accessories'!K36+'Parts &amp; Accessories'!M36+'Parts &amp; Accessories'!O36+'Parts &amp; Accessories'!Q36</f>
        <v>570305</v>
      </c>
    </row>
    <row r="11" spans="1:11">
      <c r="A11" s="5" t="s">
        <v>5</v>
      </c>
      <c r="B11" s="47">
        <f>'Dealership Totals'!B12+'Dealership Totals'!J12+'Dealership Totals'!N12+'Dealership Totals'!R12+'Dealership Totals'!V12+'Dealership Totals'!Z12+'Dealership Totals'!AD12</f>
        <v>0</v>
      </c>
      <c r="C11" s="13">
        <f>'Dealership Totals'!C12+'Dealership Totals'!K12+'Dealership Totals'!O12+'Dealership Totals'!S12+'Dealership Totals'!W12+'Dealership Totals'!AA12+'Dealership Totals'!AE12</f>
        <v>0</v>
      </c>
      <c r="D11" s="47">
        <f>'New Vehicle'!B24+'New Vehicle'!F24+'New Vehicle'!H24+'New Vehicle'!J24+'New Vehicle'!L24+'New Vehicle'!N24+'New Vehicle'!P24</f>
        <v>0</v>
      </c>
      <c r="E11" s="13">
        <f>'New Vehicle'!C24+'New Vehicle'!G24+'New Vehicle'!I24+'New Vehicle'!K24+'New Vehicle'!M24+'New Vehicle'!O24+'New Vehicle'!Q24</f>
        <v>0</v>
      </c>
      <c r="F11" s="47">
        <f>'Used Vehicle'!B31+'Used Vehicle'!F31+'Used Vehicle'!H31+'Used Vehicle'!J31+'Used Vehicle'!L31+'Used Vehicle'!N31+'Used Vehicle'!P31</f>
        <v>0</v>
      </c>
      <c r="G11" s="13">
        <f>'Used Vehicle'!C31+'Used Vehicle'!G31+'Used Vehicle'!I31+'Used Vehicle'!K31+'Used Vehicle'!M31+'Used Vehicle'!O31+'Used Vehicle'!Q31</f>
        <v>0</v>
      </c>
      <c r="H11" s="47">
        <f>Service!B34+Service!F34+Service!H34+Service!J34+Service!L34+Service!N34+Service!P34</f>
        <v>0</v>
      </c>
      <c r="I11" s="13">
        <f>Service!C34+Service!G34+Service!I34+Service!K34+Service!M34+Service!O34+Service!Q34</f>
        <v>0</v>
      </c>
      <c r="J11" s="47">
        <f>'Parts &amp; Accessories'!B37+'Parts &amp; Accessories'!F37+'Parts &amp; Accessories'!H37+'Parts &amp; Accessories'!J37+'Parts &amp; Accessories'!L37+'Parts &amp; Accessories'!N37+'Parts &amp; Accessories'!P37</f>
        <v>0</v>
      </c>
      <c r="K11" s="13">
        <f>'Parts &amp; Accessories'!C37+'Parts &amp; Accessories'!G37+'Parts &amp; Accessories'!I37+'Parts &amp; Accessories'!K37+'Parts &amp; Accessories'!M37+'Parts &amp; Accessories'!O37+'Parts &amp; Accessories'!Q37</f>
        <v>0</v>
      </c>
    </row>
    <row r="12" spans="1:11">
      <c r="A12" s="5" t="s">
        <v>6</v>
      </c>
      <c r="B12" s="47">
        <f>'Dealership Totals'!B13+'Dealership Totals'!J13+'Dealership Totals'!N13+'Dealership Totals'!R13+'Dealership Totals'!V13+'Dealership Totals'!Z13+'Dealership Totals'!AD13</f>
        <v>264208</v>
      </c>
      <c r="C12" s="13">
        <f>'Dealership Totals'!C13+'Dealership Totals'!K13+'Dealership Totals'!O13+'Dealership Totals'!S13+'Dealership Totals'!W13+'Dealership Totals'!AA13+'Dealership Totals'!AE13</f>
        <v>2901143</v>
      </c>
      <c r="D12" s="47">
        <f>'New Vehicle'!B25+'New Vehicle'!F25+'New Vehicle'!H25+'New Vehicle'!J25+'New Vehicle'!L25+'New Vehicle'!N25+'New Vehicle'!P25</f>
        <v>160884</v>
      </c>
      <c r="E12" s="13">
        <f>'New Vehicle'!C25+'New Vehicle'!G25+'New Vehicle'!I25+'New Vehicle'!K25+'New Vehicle'!M25+'New Vehicle'!O25+'New Vehicle'!Q25</f>
        <v>1767624</v>
      </c>
      <c r="F12" s="47">
        <f>'Used Vehicle'!B32+'Used Vehicle'!F32+'Used Vehicle'!H32+'Used Vehicle'!J32+'Used Vehicle'!L32+'Used Vehicle'!N32+'Used Vehicle'!P32</f>
        <v>103324</v>
      </c>
      <c r="G12" s="13">
        <f>'Used Vehicle'!C32+'Used Vehicle'!G32+'Used Vehicle'!I32+'Used Vehicle'!K32+'Used Vehicle'!M32+'Used Vehicle'!O32+'Used Vehicle'!Q32</f>
        <v>1133519</v>
      </c>
      <c r="H12" s="47">
        <f>Service!B35+Service!F35+Service!H35+Service!J35+Service!L35+Service!N35+Service!P35</f>
        <v>0</v>
      </c>
      <c r="I12" s="13">
        <f>Service!C35+Service!G35+Service!I35+Service!K35+Service!M35+Service!O35+Service!Q35</f>
        <v>0</v>
      </c>
      <c r="J12" s="47">
        <f>'Parts &amp; Accessories'!B38+'Parts &amp; Accessories'!F38+'Parts &amp; Accessories'!H38+'Parts &amp; Accessories'!J38+'Parts &amp; Accessories'!L38+'Parts &amp; Accessories'!N38+'Parts &amp; Accessories'!P38</f>
        <v>0</v>
      </c>
      <c r="K12" s="13">
        <f>'Parts &amp; Accessories'!C38+'Parts &amp; Accessories'!G38+'Parts &amp; Accessories'!I38+'Parts &amp; Accessories'!K38+'Parts &amp; Accessories'!M38+'Parts &amp; Accessories'!O38+'Parts &amp; Accessories'!Q38</f>
        <v>0</v>
      </c>
    </row>
    <row r="13" spans="1:11">
      <c r="A13" s="5" t="s">
        <v>7</v>
      </c>
      <c r="B13" s="47">
        <f>'Dealership Totals'!B14+'Dealership Totals'!J14+'Dealership Totals'!N14+'Dealership Totals'!R14+'Dealership Totals'!V14+'Dealership Totals'!Z14+'Dealership Totals'!AD14</f>
        <v>-16094</v>
      </c>
      <c r="C13" s="13">
        <f>'Dealership Totals'!C14+'Dealership Totals'!K14+'Dealership Totals'!O14+'Dealership Totals'!S14+'Dealership Totals'!W14+'Dealership Totals'!AA14+'Dealership Totals'!AE14</f>
        <v>-184027</v>
      </c>
      <c r="D13" s="47">
        <f>'New Vehicle'!B26+'New Vehicle'!F26+'New Vehicle'!H26+'New Vehicle'!J26+'New Vehicle'!L26+'New Vehicle'!N26+'New Vehicle'!P26</f>
        <v>-6035</v>
      </c>
      <c r="E13" s="13">
        <f>'New Vehicle'!C26+'New Vehicle'!G26+'New Vehicle'!I26+'New Vehicle'!K26+'New Vehicle'!M26+'New Vehicle'!O26+'New Vehicle'!Q26</f>
        <v>-93914</v>
      </c>
      <c r="F13" s="47">
        <f>'Used Vehicle'!B33+'Used Vehicle'!F33+'Used Vehicle'!H33+'Used Vehicle'!J33+'Used Vehicle'!L33+'Used Vehicle'!N33+'Used Vehicle'!P33</f>
        <v>-10059</v>
      </c>
      <c r="G13" s="13">
        <f>'Used Vehicle'!C33+'Used Vehicle'!G33+'Used Vehicle'!I33+'Used Vehicle'!K33+'Used Vehicle'!M33+'Used Vehicle'!O33+'Used Vehicle'!Q33</f>
        <v>-90113</v>
      </c>
      <c r="H13" s="47">
        <f>Service!B36+Service!F36+Service!H36+Service!J36+Service!L36+Service!N36+Service!P36</f>
        <v>0</v>
      </c>
      <c r="I13" s="13">
        <f>Service!C36+Service!G36+Service!I36+Service!K36+Service!M36+Service!O36+Service!Q36</f>
        <v>0</v>
      </c>
      <c r="J13" s="47">
        <f>'Parts &amp; Accessories'!B39+'Parts &amp; Accessories'!F39+'Parts &amp; Accessories'!H39+'Parts &amp; Accessories'!J39+'Parts &amp; Accessories'!L39+'Parts &amp; Accessories'!N39+'Parts &amp; Accessories'!P39</f>
        <v>0</v>
      </c>
      <c r="K13" s="13">
        <f>'Parts &amp; Accessories'!C39+'Parts &amp; Accessories'!G39+'Parts &amp; Accessories'!I39+'Parts &amp; Accessories'!K39+'Parts &amp; Accessories'!M39+'Parts &amp; Accessories'!O39+'Parts &amp; Accessories'!Q39</f>
        <v>0</v>
      </c>
    </row>
    <row r="14" spans="1:11">
      <c r="A14" s="5" t="s">
        <v>8</v>
      </c>
      <c r="B14" s="47">
        <f>'Dealership Totals'!B15+'Dealership Totals'!J15+'Dealership Totals'!N15+'Dealership Totals'!R15+'Dealership Totals'!V15+'Dealership Totals'!Z15+'Dealership Totals'!AD15</f>
        <v>35229</v>
      </c>
      <c r="C14" s="13">
        <f>'Dealership Totals'!C15+'Dealership Totals'!K15+'Dealership Totals'!O15+'Dealership Totals'!S15+'Dealership Totals'!W15+'Dealership Totals'!AA15+'Dealership Totals'!AE15</f>
        <v>463951</v>
      </c>
      <c r="D14" s="47">
        <f>'New Vehicle'!B27+'New Vehicle'!F27+'New Vehicle'!H27+'New Vehicle'!J27+'New Vehicle'!L27+'New Vehicle'!N27+'New Vehicle'!P27</f>
        <v>540</v>
      </c>
      <c r="E14" s="13">
        <f>'New Vehicle'!C27+'New Vehicle'!G27+'New Vehicle'!I27+'New Vehicle'!K27+'New Vehicle'!M27+'New Vehicle'!O27+'New Vehicle'!Q27</f>
        <v>11960</v>
      </c>
      <c r="F14" s="47">
        <f>'Used Vehicle'!B34+'Used Vehicle'!F34+'Used Vehicle'!H34+'Used Vehicle'!J34+'Used Vehicle'!L34+'Used Vehicle'!N34+'Used Vehicle'!P34</f>
        <v>2521</v>
      </c>
      <c r="G14" s="13">
        <f>'Used Vehicle'!C34+'Used Vehicle'!G34+'Used Vehicle'!I34+'Used Vehicle'!K34+'Used Vehicle'!M34+'Used Vehicle'!O34+'Used Vehicle'!Q34</f>
        <v>19606</v>
      </c>
      <c r="H14" s="47">
        <f>Service!B37+Service!F37+Service!H37+Service!J37+Service!L37+Service!N37+Service!P37</f>
        <v>28107</v>
      </c>
      <c r="I14" s="13">
        <f>Service!C37+Service!G37+Service!I37+Service!K37+Service!M37+Service!O37+Service!Q37</f>
        <v>370836</v>
      </c>
      <c r="J14" s="47">
        <f>'Parts &amp; Accessories'!B40+'Parts &amp; Accessories'!F40+'Parts &amp; Accessories'!H40+'Parts &amp; Accessories'!J40+'Parts &amp; Accessories'!L40+'Parts &amp; Accessories'!N40+'Parts &amp; Accessories'!P40</f>
        <v>4061</v>
      </c>
      <c r="K14" s="13">
        <f>'Parts &amp; Accessories'!C40+'Parts &amp; Accessories'!G40+'Parts &amp; Accessories'!I40+'Parts &amp; Accessories'!K40+'Parts &amp; Accessories'!M40+'Parts &amp; Accessories'!O40+'Parts &amp; Accessories'!Q40</f>
        <v>61549</v>
      </c>
    </row>
    <row r="15" spans="1:11">
      <c r="A15" s="5" t="s">
        <v>9</v>
      </c>
      <c r="B15" s="47">
        <f>'Dealership Totals'!B16+'Dealership Totals'!J16+'Dealership Totals'!N16+'Dealership Totals'!R16+'Dealership Totals'!V16+'Dealership Totals'!Z16+'Dealership Totals'!AD16</f>
        <v>-1810</v>
      </c>
      <c r="C15" s="13">
        <f>'Dealership Totals'!C16+'Dealership Totals'!K16+'Dealership Totals'!O16+'Dealership Totals'!S16+'Dealership Totals'!W16+'Dealership Totals'!AA16+'Dealership Totals'!AE16</f>
        <v>-9728</v>
      </c>
      <c r="D15" s="47">
        <f>'New Vehicle'!B28+'New Vehicle'!F28+'New Vehicle'!H28+'New Vehicle'!J28+'New Vehicle'!L28+'New Vehicle'!N28+'New Vehicle'!P28</f>
        <v>-479</v>
      </c>
      <c r="E15" s="13">
        <f>'New Vehicle'!C28+'New Vehicle'!G28+'New Vehicle'!I28+'New Vehicle'!K28+'New Vehicle'!M28+'New Vehicle'!O28+'New Vehicle'!Q28</f>
        <v>-5726</v>
      </c>
      <c r="F15" s="47">
        <f>'Used Vehicle'!B35+'Used Vehicle'!F35+'Used Vehicle'!H35+'Used Vehicle'!J35+'Used Vehicle'!L35+'Used Vehicle'!N35+'Used Vehicle'!P35</f>
        <v>-1331</v>
      </c>
      <c r="G15" s="13">
        <f>'Used Vehicle'!C35+'Used Vehicle'!G35+'Used Vehicle'!I35+'Used Vehicle'!K35+'Used Vehicle'!M35+'Used Vehicle'!O35+'Used Vehicle'!Q35</f>
        <v>-4002</v>
      </c>
      <c r="H15" s="47">
        <f>Service!B38+Service!F38+Service!H38+Service!J38+Service!L38+Service!N38+Service!P38</f>
        <v>0</v>
      </c>
      <c r="I15" s="13">
        <f>Service!C38+Service!G38+Service!I38+Service!K38+Service!M38+Service!O38+Service!Q38</f>
        <v>0</v>
      </c>
      <c r="J15" s="47">
        <f>'Parts &amp; Accessories'!B41+'Parts &amp; Accessories'!F41+'Parts &amp; Accessories'!H41+'Parts &amp; Accessories'!J41+'Parts &amp; Accessories'!L41+'Parts &amp; Accessories'!N41+'Parts &amp; Accessories'!P41</f>
        <v>0</v>
      </c>
      <c r="K15" s="13">
        <f>'Parts &amp; Accessories'!C41+'Parts &amp; Accessories'!G41+'Parts &amp; Accessories'!I41+'Parts &amp; Accessories'!K41+'Parts &amp; Accessories'!M41+'Parts &amp; Accessories'!O41+'Parts &amp; Accessories'!Q41</f>
        <v>0</v>
      </c>
    </row>
    <row r="16" spans="1:11">
      <c r="A16" s="5" t="s">
        <v>214</v>
      </c>
      <c r="B16" s="47">
        <f>'Dealership Totals'!B17+'Dealership Totals'!J17+'Dealership Totals'!N17+'Dealership Totals'!R17+'Dealership Totals'!V17+'Dealership Totals'!Z17+'Dealership Totals'!AD17</f>
        <v>198748</v>
      </c>
      <c r="C16" s="13">
        <f>'Dealership Totals'!C17+'Dealership Totals'!K17+'Dealership Totals'!O17+'Dealership Totals'!S17+'Dealership Totals'!W17+'Dealership Totals'!AA17+'Dealership Totals'!AE17</f>
        <v>2342326</v>
      </c>
      <c r="D16" s="47">
        <f>'New Vehicle'!B29+'New Vehicle'!F29+'New Vehicle'!H29+'New Vehicle'!J29+'New Vehicle'!L29+'New Vehicle'!N29+'New Vehicle'!P29</f>
        <v>100094</v>
      </c>
      <c r="E16" s="13">
        <f>'New Vehicle'!C29+'New Vehicle'!G29+'New Vehicle'!I29+'New Vehicle'!K29+'New Vehicle'!M29+'New Vehicle'!O29+'New Vehicle'!Q29</f>
        <v>1212172</v>
      </c>
      <c r="F16" s="47">
        <f>'Used Vehicle'!B36+'Used Vehicle'!F36+'Used Vehicle'!H36+'Used Vehicle'!J36+'Used Vehicle'!L36+'Used Vehicle'!N36+'Used Vehicle'!P36</f>
        <v>97764</v>
      </c>
      <c r="G16" s="13">
        <f>'Used Vehicle'!C36+'Used Vehicle'!G36+'Used Vehicle'!I36+'Used Vehicle'!K36+'Used Vehicle'!M36+'Used Vehicle'!O36+'Used Vehicle'!Q36</f>
        <v>1128884</v>
      </c>
      <c r="H16" s="47">
        <f>Service!B39+Service!F39+Service!H39+Service!J39+Service!L39+Service!N39+Service!P39</f>
        <v>0</v>
      </c>
      <c r="I16" s="13">
        <f>Service!C39+Service!G39+Service!I39+Service!K39+Service!M39+Service!O39+Service!Q39</f>
        <v>0</v>
      </c>
      <c r="J16" s="47">
        <f>'Parts &amp; Accessories'!B42+'Parts &amp; Accessories'!F42+'Parts &amp; Accessories'!H42+'Parts &amp; Accessories'!J42+'Parts &amp; Accessories'!L42+'Parts &amp; Accessories'!N42+'Parts &amp; Accessories'!P42</f>
        <v>0</v>
      </c>
      <c r="K16" s="13">
        <f>'Parts &amp; Accessories'!C42+'Parts &amp; Accessories'!G42+'Parts &amp; Accessories'!I42+'Parts &amp; Accessories'!K42+'Parts &amp; Accessories'!M42+'Parts &amp; Accessories'!O42+'Parts &amp; Accessories'!Q42</f>
        <v>0</v>
      </c>
    </row>
    <row r="17" spans="1:11">
      <c r="A17" s="5" t="s">
        <v>10</v>
      </c>
      <c r="B17" s="47">
        <f>'Dealership Totals'!B18+'Dealership Totals'!J18+'Dealership Totals'!N18+'Dealership Totals'!R18+'Dealership Totals'!V18+'Dealership Totals'!Z18+'Dealership Totals'!AD18</f>
        <v>306032</v>
      </c>
      <c r="C17" s="13">
        <f>'Dealership Totals'!C18+'Dealership Totals'!K18+'Dealership Totals'!O18+'Dealership Totals'!S18+'Dealership Totals'!W18+'Dealership Totals'!AA18+'Dealership Totals'!AE18</f>
        <v>3220096</v>
      </c>
      <c r="D17" s="47">
        <f>'New Vehicle'!B30+'New Vehicle'!F30+'New Vehicle'!H30+'New Vehicle'!J30+'New Vehicle'!L30+'New Vehicle'!N30+'New Vehicle'!P30</f>
        <v>154608</v>
      </c>
      <c r="E17" s="13">
        <f>'New Vehicle'!C30+'New Vehicle'!G30+'New Vehicle'!I30+'New Vehicle'!K30+'New Vehicle'!M30+'New Vehicle'!O30+'New Vehicle'!Q30</f>
        <v>1874385</v>
      </c>
      <c r="F17" s="47">
        <f>'Used Vehicle'!B37+'Used Vehicle'!F37+'Used Vehicle'!H37+'Used Vehicle'!J37+'Used Vehicle'!L37+'Used Vehicle'!N37+'Used Vehicle'!P37</f>
        <v>128703</v>
      </c>
      <c r="G17" s="13">
        <f>'Used Vehicle'!C37+'Used Vehicle'!G37+'Used Vehicle'!I37+'Used Vehicle'!K37+'Used Vehicle'!M37+'Used Vehicle'!O37+'Used Vehicle'!Q37</f>
        <v>1050750</v>
      </c>
      <c r="H17" s="47">
        <f>Service!B40+Service!F40+Service!H40+Service!J40+Service!L40+Service!N40+Service!P40</f>
        <v>15507</v>
      </c>
      <c r="I17" s="13">
        <f>Service!C40+Service!G40+Service!I40+Service!K40+Service!M40+Service!O40+Service!Q40</f>
        <v>215376</v>
      </c>
      <c r="J17" s="47">
        <f>'Parts &amp; Accessories'!B43+'Parts &amp; Accessories'!F43+'Parts &amp; Accessories'!H43+'Parts &amp; Accessories'!J43+'Parts &amp; Accessories'!L43+'Parts &amp; Accessories'!N43+'Parts &amp; Accessories'!P43</f>
        <v>7214</v>
      </c>
      <c r="K17" s="13">
        <f>'Parts &amp; Accessories'!C43+'Parts &amp; Accessories'!G43+'Parts &amp; Accessories'!I43+'Parts &amp; Accessories'!K43+'Parts &amp; Accessories'!M43+'Parts &amp; Accessories'!O43+'Parts &amp; Accessories'!Q43</f>
        <v>79585</v>
      </c>
    </row>
    <row r="18" spans="1:11">
      <c r="A18" s="6" t="s">
        <v>52</v>
      </c>
      <c r="B18" s="47">
        <f>'Dealership Totals'!B19+'Dealership Totals'!J19+'Dealership Totals'!N19+'Dealership Totals'!R19+'Dealership Totals'!V19+'Dealership Totals'!Z19+'Dealership Totals'!AD19</f>
        <v>-80624</v>
      </c>
      <c r="C18" s="13">
        <f>'Dealership Totals'!C19+'Dealership Totals'!K19+'Dealership Totals'!O19+'Dealership Totals'!S19+'Dealership Totals'!W19+'Dealership Totals'!AA19+'Dealership Totals'!AE19</f>
        <v>-1156458</v>
      </c>
      <c r="D18" s="47">
        <f>'New Vehicle'!B31+'New Vehicle'!F31+'New Vehicle'!H31+'New Vehicle'!J31+'New Vehicle'!L31+'New Vehicle'!N31+'New Vehicle'!P31</f>
        <v>-68975</v>
      </c>
      <c r="E18" s="13">
        <f>'New Vehicle'!C31+'New Vehicle'!G31+'New Vehicle'!I31+'New Vehicle'!K31+'New Vehicle'!M31+'New Vehicle'!O31+'New Vehicle'!Q31</f>
        <v>-1015504</v>
      </c>
      <c r="F18" s="47">
        <f>'Used Vehicle'!B38+'Used Vehicle'!F38+'Used Vehicle'!H38+'Used Vehicle'!J38+'Used Vehicle'!L38+'Used Vehicle'!N38+'Used Vehicle'!P38</f>
        <v>-11375</v>
      </c>
      <c r="G18" s="13">
        <f>'Used Vehicle'!C38+'Used Vehicle'!G38+'Used Vehicle'!I38+'Used Vehicle'!K38+'Used Vehicle'!M38+'Used Vehicle'!O38+'Used Vehicle'!Q38</f>
        <v>-137026</v>
      </c>
      <c r="H18" s="47">
        <f>Service!B41+Service!F41+Service!H41+Service!J41+Service!L41+Service!N41+Service!P41</f>
        <v>-137</v>
      </c>
      <c r="I18" s="13">
        <f>Service!C41+Service!G41+Service!I41+Service!K41+Service!M41+Service!O41+Service!Q41</f>
        <v>-1964</v>
      </c>
      <c r="J18" s="47">
        <f>'Parts &amp; Accessories'!B44+'Parts &amp; Accessories'!F44+'Parts &amp; Accessories'!H44+'Parts &amp; Accessories'!J44+'Parts &amp; Accessories'!L44+'Parts &amp; Accessories'!N44+'Parts &amp; Accessories'!P44</f>
        <v>-137</v>
      </c>
      <c r="K18" s="13">
        <f>'Parts &amp; Accessories'!C44+'Parts &amp; Accessories'!G44+'Parts &amp; Accessories'!I44+'Parts &amp; Accessories'!K44+'Parts &amp; Accessories'!M44+'Parts &amp; Accessories'!O44+'Parts &amp; Accessories'!Q44</f>
        <v>-1964</v>
      </c>
    </row>
    <row r="19" spans="1:11">
      <c r="A19" s="7" t="s">
        <v>11</v>
      </c>
      <c r="B19" s="47">
        <f>'Dealership Totals'!B20+'Dealership Totals'!J20+'Dealership Totals'!N20+'Dealership Totals'!R20+'Dealership Totals'!V20+'Dealership Totals'!Z20+'Dealership Totals'!AD20</f>
        <v>127887</v>
      </c>
      <c r="C19" s="13">
        <f>'Dealership Totals'!C20+'Dealership Totals'!K20+'Dealership Totals'!O20+'Dealership Totals'!S20+'Dealership Totals'!W20+'Dealership Totals'!AA20+'Dealership Totals'!AE20</f>
        <v>992053</v>
      </c>
      <c r="D19" s="47">
        <f>'New Vehicle'!B32+'New Vehicle'!F32+'New Vehicle'!H32+'New Vehicle'!J32+'New Vehicle'!L32+'New Vehicle'!N32+'New Vehicle'!P32</f>
        <v>112985</v>
      </c>
      <c r="E19" s="13">
        <f>'New Vehicle'!C32+'New Vehicle'!G32+'New Vehicle'!I32+'New Vehicle'!K32+'New Vehicle'!M32+'New Vehicle'!O32+'New Vehicle'!Q32</f>
        <v>821424</v>
      </c>
      <c r="F19" s="47">
        <f>'Used Vehicle'!B39+'Used Vehicle'!F39+'Used Vehicle'!H39+'Used Vehicle'!J39+'Used Vehicle'!L39+'Used Vehicle'!N39+'Used Vehicle'!P39</f>
        <v>14902</v>
      </c>
      <c r="G19" s="13">
        <f>'Used Vehicle'!C39+'Used Vehicle'!G39+'Used Vehicle'!I39+'Used Vehicle'!K39+'Used Vehicle'!M39+'Used Vehicle'!O39+'Used Vehicle'!Q39</f>
        <v>170629</v>
      </c>
      <c r="H19" s="47">
        <f>Service!B42+Service!F42+Service!H42+Service!J42+Service!L42+Service!N42+Service!P42</f>
        <v>0</v>
      </c>
      <c r="I19" s="13">
        <f>Service!C42+Service!G42+Service!I42+Service!K42+Service!M42+Service!O42+Service!Q42</f>
        <v>0</v>
      </c>
      <c r="J19" s="47">
        <f>'Parts &amp; Accessories'!B45+'Parts &amp; Accessories'!F45+'Parts &amp; Accessories'!H45+'Parts &amp; Accessories'!J45+'Parts &amp; Accessories'!L45+'Parts &amp; Accessories'!N45+'Parts &amp; Accessories'!P45</f>
        <v>0</v>
      </c>
      <c r="K19" s="13">
        <f>'Parts &amp; Accessories'!C45+'Parts &amp; Accessories'!G45+'Parts &amp; Accessories'!I45+'Parts &amp; Accessories'!K45+'Parts &amp; Accessories'!M45+'Parts &amp; Accessories'!O45+'Parts &amp; Accessories'!Q45</f>
        <v>0</v>
      </c>
    </row>
    <row r="20" spans="1:11">
      <c r="A20" s="6" t="s">
        <v>53</v>
      </c>
      <c r="B20" s="47">
        <f>'Dealership Totals'!B21+'Dealership Totals'!J21+'Dealership Totals'!N21+'Dealership Totals'!R21+'Dealership Totals'!V21+'Dealership Totals'!Z21+'Dealership Totals'!AD21</f>
        <v>-258447</v>
      </c>
      <c r="C20" s="13">
        <f>'Dealership Totals'!C21+'Dealership Totals'!K21+'Dealership Totals'!O21+'Dealership Totals'!S21+'Dealership Totals'!W21+'Dealership Totals'!AA21+'Dealership Totals'!AE21</f>
        <v>-2251347</v>
      </c>
      <c r="D20" s="47">
        <f>'New Vehicle'!B33+'New Vehicle'!F33+'New Vehicle'!H33+'New Vehicle'!J33+'New Vehicle'!L33+'New Vehicle'!N33+'New Vehicle'!P33</f>
        <v>-258447</v>
      </c>
      <c r="E20" s="13">
        <f>'New Vehicle'!C33+'New Vehicle'!G33+'New Vehicle'!I33+'New Vehicle'!K33+'New Vehicle'!M33+'New Vehicle'!O33+'New Vehicle'!Q33</f>
        <v>-2251347</v>
      </c>
      <c r="F20" s="47">
        <f>'Used Vehicle'!B40+'Used Vehicle'!F40+'Used Vehicle'!H40+'Used Vehicle'!J40+'Used Vehicle'!L40+'Used Vehicle'!N40+'Used Vehicle'!P40</f>
        <v>0</v>
      </c>
      <c r="G20" s="13">
        <f>'Used Vehicle'!C40+'Used Vehicle'!G40+'Used Vehicle'!I40+'Used Vehicle'!K40+'Used Vehicle'!M40+'Used Vehicle'!O40+'Used Vehicle'!Q40</f>
        <v>0</v>
      </c>
      <c r="H20" s="47">
        <f>Service!B43+Service!F43+Service!H43+Service!J43+Service!L43+Service!N43+Service!P43</f>
        <v>0</v>
      </c>
      <c r="I20" s="13">
        <f>Service!C43+Service!G43+Service!I43+Service!K43+Service!M43+Service!O43+Service!Q43</f>
        <v>0</v>
      </c>
      <c r="J20" s="47">
        <f>'Parts &amp; Accessories'!B46+'Parts &amp; Accessories'!F46+'Parts &amp; Accessories'!H46+'Parts &amp; Accessories'!J46+'Parts &amp; Accessories'!L46+'Parts &amp; Accessories'!N46+'Parts &amp; Accessories'!P46</f>
        <v>0</v>
      </c>
      <c r="K20" s="13">
        <f>'Parts &amp; Accessories'!C46+'Parts &amp; Accessories'!G46+'Parts &amp; Accessories'!I46+'Parts &amp; Accessories'!K46+'Parts &amp; Accessories'!M46+'Parts &amp; Accessories'!O46+'Parts &amp; Accessories'!Q46</f>
        <v>0</v>
      </c>
    </row>
    <row r="21" spans="1:11">
      <c r="A21" s="5" t="s">
        <v>12</v>
      </c>
      <c r="B21" s="47">
        <f>'Dealership Totals'!B22+'Dealership Totals'!J22+'Dealership Totals'!N22+'Dealership Totals'!R22+'Dealership Totals'!V22+'Dealership Totals'!Z22+'Dealership Totals'!AD22</f>
        <v>4335</v>
      </c>
      <c r="C21" s="13">
        <f>'Dealership Totals'!C22+'Dealership Totals'!K22+'Dealership Totals'!O22+'Dealership Totals'!S22+'Dealership Totals'!W22+'Dealership Totals'!AA22+'Dealership Totals'!AE22</f>
        <v>27807</v>
      </c>
      <c r="D21" s="47">
        <f>'New Vehicle'!B34+'New Vehicle'!F34+'New Vehicle'!H34+'New Vehicle'!J34+'New Vehicle'!L34+'New Vehicle'!N34+'New Vehicle'!P34</f>
        <v>0</v>
      </c>
      <c r="E21" s="13">
        <f>'New Vehicle'!C34+'New Vehicle'!G34+'New Vehicle'!I34+'New Vehicle'!K34+'New Vehicle'!M34+'New Vehicle'!O34+'New Vehicle'!Q34</f>
        <v>489</v>
      </c>
      <c r="F21" s="47">
        <f>'Used Vehicle'!B41+'Used Vehicle'!F41+'Used Vehicle'!H41+'Used Vehicle'!J41+'Used Vehicle'!L41+'Used Vehicle'!N41+'Used Vehicle'!P41</f>
        <v>0</v>
      </c>
      <c r="G21" s="13">
        <f>'Used Vehicle'!C41+'Used Vehicle'!G41+'Used Vehicle'!I41+'Used Vehicle'!K41+'Used Vehicle'!M41+'Used Vehicle'!O41+'Used Vehicle'!Q41</f>
        <v>0</v>
      </c>
      <c r="H21" s="47">
        <f>Service!B44+Service!F44+Service!H44+Service!J44+Service!L44+Service!N44+Service!P44</f>
        <v>2930</v>
      </c>
      <c r="I21" s="13">
        <f>Service!C44+Service!G44+Service!I44+Service!K44+Service!M44+Service!O44+Service!Q44</f>
        <v>20445</v>
      </c>
      <c r="J21" s="47">
        <f>'Parts &amp; Accessories'!B47+'Parts &amp; Accessories'!F47+'Parts &amp; Accessories'!H47+'Parts &amp; Accessories'!J47+'Parts &amp; Accessories'!L47+'Parts &amp; Accessories'!N47+'Parts &amp; Accessories'!P47</f>
        <v>1405</v>
      </c>
      <c r="K21" s="13">
        <f>'Parts &amp; Accessories'!C47+'Parts &amp; Accessories'!G47+'Parts &amp; Accessories'!I47+'Parts &amp; Accessories'!K47+'Parts &amp; Accessories'!M47+'Parts &amp; Accessories'!O47+'Parts &amp; Accessories'!Q47</f>
        <v>6873</v>
      </c>
    </row>
    <row r="22" spans="1:11">
      <c r="A22" s="11" t="s">
        <v>54</v>
      </c>
      <c r="B22" s="16">
        <f>'Dealership Totals'!B23+'Dealership Totals'!J23+'Dealership Totals'!N23+'Dealership Totals'!R23+'Dealership Totals'!V23+'Dealership Totals'!Z23+'Dealership Totals'!AD23</f>
        <v>1239647</v>
      </c>
      <c r="C22" s="17">
        <f>'Dealership Totals'!C23+'Dealership Totals'!K23+'Dealership Totals'!O23+'Dealership Totals'!S23+'Dealership Totals'!W23+'Dealership Totals'!AA23+'Dealership Totals'!AE23</f>
        <v>13295483</v>
      </c>
      <c r="D22" s="16">
        <f>'New Vehicle'!B35+'New Vehicle'!F35+'New Vehicle'!H35+'New Vehicle'!J35+'New Vehicle'!L35+'New Vehicle'!N35+'New Vehicle'!P35</f>
        <v>473255</v>
      </c>
      <c r="E22" s="17">
        <f>'New Vehicle'!C35+'New Vehicle'!G35+'New Vehicle'!I35+'New Vehicle'!K35+'New Vehicle'!M35+'New Vehicle'!O35+'New Vehicle'!Q35</f>
        <v>5010369</v>
      </c>
      <c r="F22" s="16">
        <f>'Used Vehicle'!B42+'Used Vehicle'!F42+'Used Vehicle'!H42+'Used Vehicle'!J42+'Used Vehicle'!L42+'Used Vehicle'!N42+'Used Vehicle'!P42</f>
        <v>538884</v>
      </c>
      <c r="G22" s="17">
        <f>'Used Vehicle'!C42+'Used Vehicle'!G42+'Used Vehicle'!I42+'Used Vehicle'!K42+'Used Vehicle'!M42+'Used Vehicle'!O42+'Used Vehicle'!Q42</f>
        <v>5713583</v>
      </c>
      <c r="H22" s="16">
        <f>Service!B45+Service!F45+Service!H45+Service!J45+Service!L45+Service!N45+Service!P45</f>
        <v>166464</v>
      </c>
      <c r="I22" s="17">
        <f>Service!C45+Service!G45+Service!I45+Service!K45+Service!M45+Service!O45+Service!Q45</f>
        <v>1853913</v>
      </c>
      <c r="J22" s="16">
        <f>'Parts &amp; Accessories'!B48+'Parts &amp; Accessories'!F48+'Parts &amp; Accessories'!H48+'Parts &amp; Accessories'!J48+'Parts &amp; Accessories'!L48+'Parts &amp; Accessories'!N48+'Parts &amp; Accessories'!P48</f>
        <v>60154</v>
      </c>
      <c r="K22" s="17">
        <f>'Parts &amp; Accessories'!C48+'Parts &amp; Accessories'!G48+'Parts &amp; Accessories'!I48+'Parts &amp; Accessories'!K48+'Parts &amp; Accessories'!M48+'Parts &amp; Accessories'!O48+'Parts &amp; Accessories'!Q48</f>
        <v>716348</v>
      </c>
    </row>
    <row r="23" spans="1:11">
      <c r="A23" s="4"/>
      <c r="B23" s="22"/>
      <c r="C23" s="23"/>
      <c r="D23" s="22">
        <f>'New Vehicle'!B36+'New Vehicle'!F36+'New Vehicle'!H36+'New Vehicle'!J36+'New Vehicle'!L36+'New Vehicle'!N36+'New Vehicle'!P36</f>
        <v>0</v>
      </c>
      <c r="E23" s="23">
        <f>'New Vehicle'!C36+'New Vehicle'!G36+'New Vehicle'!I36+'New Vehicle'!K36+'New Vehicle'!M36+'New Vehicle'!O36+'New Vehicle'!Q36</f>
        <v>0</v>
      </c>
      <c r="F23" s="47">
        <f>'Used Vehicle'!B43+'Used Vehicle'!F43+'Used Vehicle'!H43+'Used Vehicle'!J43+'Used Vehicle'!L43+'Used Vehicle'!N43+'Used Vehicle'!P43</f>
        <v>0</v>
      </c>
      <c r="G23" s="13">
        <f>'Used Vehicle'!C43+'Used Vehicle'!G43+'Used Vehicle'!I43+'Used Vehicle'!K43+'Used Vehicle'!M43+'Used Vehicle'!O43+'Used Vehicle'!Q43</f>
        <v>0</v>
      </c>
      <c r="H23" s="22"/>
      <c r="I23" s="23"/>
      <c r="J23" s="22"/>
      <c r="K23" s="23"/>
    </row>
    <row r="24" spans="1:11">
      <c r="A24" s="5" t="s">
        <v>13</v>
      </c>
      <c r="B24" s="47">
        <f>'Dealership Totals'!B25+'Dealership Totals'!J25+'Dealership Totals'!N25+'Dealership Totals'!R25+'Dealership Totals'!V25+'Dealership Totals'!Z25+'Dealership Totals'!AD25</f>
        <v>231904</v>
      </c>
      <c r="C24" s="13">
        <f>'Dealership Totals'!C25+'Dealership Totals'!K25+'Dealership Totals'!O25+'Dealership Totals'!S25+'Dealership Totals'!W25+'Dealership Totals'!AA25+'Dealership Totals'!AE25</f>
        <v>2558832</v>
      </c>
      <c r="D24" s="47">
        <f>'New Vehicle'!B37+'New Vehicle'!F37+'New Vehicle'!H37+'New Vehicle'!J37+'New Vehicle'!L37+'New Vehicle'!N37+'New Vehicle'!P72</f>
        <v>68826</v>
      </c>
      <c r="E24" s="13">
        <f>'New Vehicle'!C37+'New Vehicle'!G37+'New Vehicle'!I37+'New Vehicle'!K37+'New Vehicle'!M37+'New Vehicle'!O37+'New Vehicle'!Q72</f>
        <v>759157</v>
      </c>
      <c r="F24" s="47">
        <f>'Used Vehicle'!B44+'Used Vehicle'!F44+'Used Vehicle'!H44+'Used Vehicle'!J44+'Used Vehicle'!L44+'Used Vehicle'!N44+'Used Vehicle'!P44</f>
        <v>52017</v>
      </c>
      <c r="G24" s="13">
        <f>'Used Vehicle'!C44+'Used Vehicle'!G44+'Used Vehicle'!I44+'Used Vehicle'!K44+'Used Vehicle'!M44+'Used Vehicle'!O44+'Used Vehicle'!Q44</f>
        <v>670902</v>
      </c>
      <c r="H24" s="47">
        <f>Service!B47+Service!F47+Service!H47+Service!J47+Service!L47+Service!N47+Service!P47</f>
        <v>69912</v>
      </c>
      <c r="I24" s="13">
        <f>Service!C47+Service!G47+Service!I47+Service!K47+Service!M47+Service!O47+Service!Q47</f>
        <v>721653</v>
      </c>
      <c r="J24" s="47">
        <f>'Parts &amp; Accessories'!B50+'Parts &amp; Accessories'!F50+'Parts &amp; Accessories'!H50+'Parts &amp; Accessories'!J50+'Parts &amp; Accessories'!L50+'Parts &amp; Accessories'!N50+'Parts &amp; Accessories'!P50</f>
        <v>32123</v>
      </c>
      <c r="K24" s="13">
        <f>'Parts &amp; Accessories'!C50+'Parts &amp; Accessories'!G50+'Parts &amp; Accessories'!I50+'Parts &amp; Accessories'!K50+'Parts &amp; Accessories'!M50+'Parts &amp; Accessories'!O50+'Parts &amp; Accessories'!Q50</f>
        <v>291956</v>
      </c>
    </row>
    <row r="25" spans="1:11">
      <c r="A25" s="5" t="s">
        <v>14</v>
      </c>
      <c r="B25" s="47">
        <f>'Dealership Totals'!B26+'Dealership Totals'!J26+'Dealership Totals'!N26+'Dealership Totals'!R26+'Dealership Totals'!V26+'Dealership Totals'!Z26+'Dealership Totals'!AD26</f>
        <v>700187</v>
      </c>
      <c r="C25" s="13">
        <f>'Dealership Totals'!C26+'Dealership Totals'!K26+'Dealership Totals'!O26+'Dealership Totals'!S26+'Dealership Totals'!W26+'Dealership Totals'!AA26+'Dealership Totals'!AE26</f>
        <v>7542289</v>
      </c>
      <c r="D25" s="47">
        <f>'New Vehicle'!B38+'New Vehicle'!F38+'New Vehicle'!H38+'New Vehicle'!J38+'New Vehicle'!L38+'New Vehicle'!N38+'New Vehicle'!P38</f>
        <v>294083</v>
      </c>
      <c r="E25" s="13">
        <f>'New Vehicle'!C38+'New Vehicle'!G38+'New Vehicle'!I38+'New Vehicle'!K38+'New Vehicle'!M38+'New Vehicle'!O38+'New Vehicle'!Q38</f>
        <v>3306450</v>
      </c>
      <c r="F25" s="47">
        <f>'Used Vehicle'!B45+'Used Vehicle'!F45+'Used Vehicle'!H45+'Used Vehicle'!J45+'Used Vehicle'!L45+'Used Vehicle'!N45+'Used Vehicle'!P45</f>
        <v>232707</v>
      </c>
      <c r="G25" s="13">
        <f>'Used Vehicle'!C45+'Used Vehicle'!G45+'Used Vehicle'!I45+'Used Vehicle'!K45+'Used Vehicle'!M45+'Used Vehicle'!O45+'Used Vehicle'!Q45</f>
        <v>2320087</v>
      </c>
      <c r="H25" s="47">
        <f>Service!B48+Service!F48+Service!H48+Service!J48+Service!L48+Service!N48+Service!P48</f>
        <v>104286</v>
      </c>
      <c r="I25" s="13">
        <f>Service!C48+Service!G48+Service!I48+Service!K48+Service!M48+Service!O48+Service!Q48</f>
        <v>1202491</v>
      </c>
      <c r="J25" s="47">
        <f>'Parts &amp; Accessories'!B51+'Parts &amp; Accessories'!F51+'Parts &amp; Accessories'!H51+'Parts &amp; Accessories'!J51+'Parts &amp; Accessories'!L51+'Parts &amp; Accessories'!N51+'Parts &amp; Accessories'!P51</f>
        <v>69111</v>
      </c>
      <c r="K25" s="13">
        <f>'Parts &amp; Accessories'!C51+'Parts &amp; Accessories'!G51+'Parts &amp; Accessories'!I51+'Parts &amp; Accessories'!K51+'Parts &amp; Accessories'!M51+'Parts &amp; Accessories'!O51+'Parts &amp; Accessories'!Q51</f>
        <v>713261</v>
      </c>
    </row>
    <row r="26" spans="1:11">
      <c r="A26" s="5" t="s">
        <v>15</v>
      </c>
      <c r="B26" s="47">
        <f>'Dealership Totals'!B27+'Dealership Totals'!J27+'Dealership Totals'!N27+'Dealership Totals'!R27+'Dealership Totals'!V27+'Dealership Totals'!Z27+'Dealership Totals'!AD27</f>
        <v>101658</v>
      </c>
      <c r="C26" s="13">
        <f>'Dealership Totals'!C27+'Dealership Totals'!K27+'Dealership Totals'!O27+'Dealership Totals'!S27+'Dealership Totals'!W27+'Dealership Totals'!AA27+'Dealership Totals'!AE27</f>
        <v>1115603</v>
      </c>
      <c r="D26" s="47">
        <f>'New Vehicle'!B39+'New Vehicle'!F39+'New Vehicle'!H39+'New Vehicle'!J39+'New Vehicle'!L39+'New Vehicle'!N39+'New Vehicle'!P39</f>
        <v>35227.695852337209</v>
      </c>
      <c r="E26" s="13">
        <f>'New Vehicle'!C39+'New Vehicle'!G39+'New Vehicle'!I39+'New Vehicle'!K39+'New Vehicle'!M39+'New Vehicle'!O39+'New Vehicle'!Q39</f>
        <v>366302</v>
      </c>
      <c r="F26" s="47">
        <f>'Used Vehicle'!B46+'Used Vehicle'!F46+'Used Vehicle'!H46+'Used Vehicle'!J46+'Used Vehicle'!L46+'Used Vehicle'!N46+'Used Vehicle'!P46</f>
        <v>31404.758099398299</v>
      </c>
      <c r="G26" s="13">
        <f>'Used Vehicle'!C46+'Used Vehicle'!G46+'Used Vehicle'!I46+'Used Vehicle'!K46+'Used Vehicle'!M46+'Used Vehicle'!O46+'Used Vehicle'!Q46</f>
        <v>316164</v>
      </c>
      <c r="H26" s="47">
        <f>Service!B49+Service!F49+Service!H49+Service!J49+Service!L49+Service!N49+Service!P49</f>
        <v>21457.325956617631</v>
      </c>
      <c r="I26" s="13">
        <f>Service!C49+Service!G49+Service!I49+Service!K49+Service!M49+Service!O49+Service!Q49</f>
        <v>251073</v>
      </c>
      <c r="J26" s="47">
        <f>'Parts &amp; Accessories'!B52+'Parts &amp; Accessories'!F52+'Parts &amp; Accessories'!H52+'Parts &amp; Accessories'!J52+'Parts &amp; Accessories'!L52+'Parts &amp; Accessories'!N52+'Parts &amp; Accessories'!P52</f>
        <v>13568.220091646859</v>
      </c>
      <c r="K26" s="13">
        <f>'Parts &amp; Accessories'!C52+'Parts &amp; Accessories'!G52+'Parts &amp; Accessories'!I52+'Parts &amp; Accessories'!K52+'Parts &amp; Accessories'!M52+'Parts &amp; Accessories'!O52+'Parts &amp; Accessories'!Q52</f>
        <v>182064</v>
      </c>
    </row>
    <row r="27" spans="1:11">
      <c r="A27" s="5" t="s">
        <v>16</v>
      </c>
      <c r="B27" s="47">
        <f>'Dealership Totals'!B28+'Dealership Totals'!J28+'Dealership Totals'!N28+'Dealership Totals'!R28+'Dealership Totals'!V28+'Dealership Totals'!Z28+'Dealership Totals'!AD28</f>
        <v>345913</v>
      </c>
      <c r="C27" s="13">
        <f>'Dealership Totals'!C28+'Dealership Totals'!K28+'Dealership Totals'!O28+'Dealership Totals'!S28+'Dealership Totals'!W28+'Dealership Totals'!AA28+'Dealership Totals'!AE28</f>
        <v>3278232</v>
      </c>
      <c r="D27" s="47">
        <f>'New Vehicle'!B40+'New Vehicle'!F40+'New Vehicle'!H40+'New Vehicle'!J40+'New Vehicle'!L40+'New Vehicle'!N40+'New Vehicle'!P40</f>
        <v>75102</v>
      </c>
      <c r="E27" s="13">
        <f>'New Vehicle'!C40+'New Vehicle'!G40+'New Vehicle'!I40+'New Vehicle'!K40+'New Vehicle'!M40+'New Vehicle'!O40+'New Vehicle'!Q40</f>
        <v>686399</v>
      </c>
      <c r="F27" s="47">
        <f>'Used Vehicle'!B47+'Used Vehicle'!F47+'Used Vehicle'!H47+'Used Vehicle'!J47+'Used Vehicle'!L47+'Used Vehicle'!N47+'Used Vehicle'!P47</f>
        <v>79197</v>
      </c>
      <c r="G27" s="13">
        <f>'Used Vehicle'!C47+'Used Vehicle'!G47+'Used Vehicle'!I47+'Used Vehicle'!K47+'Used Vehicle'!M47+'Used Vehicle'!O47+'Used Vehicle'!Q47</f>
        <v>718508</v>
      </c>
      <c r="H27" s="47">
        <f>Service!B50+Service!F50+Service!H50+Service!J50+Service!L50+Service!N50+Service!P50</f>
        <v>132623</v>
      </c>
      <c r="I27" s="13">
        <f>Service!C50+Service!G50+Service!I50+Service!K50+Service!M50+Service!O50+Service!Q50</f>
        <v>1339994</v>
      </c>
      <c r="J27" s="47">
        <f>'Parts &amp; Accessories'!B53+'Parts &amp; Accessories'!F53+'Parts &amp; Accessories'!H53+'Parts &amp; Accessories'!J53+'Parts &amp; Accessories'!L53+'Parts &amp; Accessories'!N53+'Parts &amp; Accessories'!P53</f>
        <v>58991</v>
      </c>
      <c r="K27" s="13">
        <f>'Parts &amp; Accessories'!C53+'Parts &amp; Accessories'!G53+'Parts &amp; Accessories'!I53+'Parts &amp; Accessories'!K53+'Parts &amp; Accessories'!M53+'Parts &amp; Accessories'!O53+'Parts &amp; Accessories'!Q53</f>
        <v>533331</v>
      </c>
    </row>
    <row r="28" spans="1:11">
      <c r="A28" s="5" t="s">
        <v>17</v>
      </c>
      <c r="B28" s="47">
        <f>'Dealership Totals'!B29+'Dealership Totals'!J29+'Dealership Totals'!N29+'Dealership Totals'!R29+'Dealership Totals'!V29+'Dealership Totals'!Z29+'Dealership Totals'!AD29</f>
        <v>13972</v>
      </c>
      <c r="C28" s="13">
        <f>'Dealership Totals'!C29+'Dealership Totals'!K29+'Dealership Totals'!O29+'Dealership Totals'!S29+'Dealership Totals'!W29+'Dealership Totals'!AA29+'Dealership Totals'!AE29</f>
        <v>212084</v>
      </c>
      <c r="D28" s="47">
        <f>'New Vehicle'!B41+'New Vehicle'!F41+'New Vehicle'!H41+'New Vehicle'!J41+'New Vehicle'!L41+'New Vehicle'!N41+'New Vehicle'!P41</f>
        <v>923</v>
      </c>
      <c r="E28" s="13">
        <f>'New Vehicle'!C41+'New Vehicle'!G41+'New Vehicle'!I41+'New Vehicle'!K41+'New Vehicle'!M41+'New Vehicle'!O41+'New Vehicle'!Q41</f>
        <v>38443</v>
      </c>
      <c r="F28" s="47">
        <f>'Used Vehicle'!B48+'Used Vehicle'!F48+'Used Vehicle'!H48+'Used Vehicle'!J48+'Used Vehicle'!L48+'Used Vehicle'!N48+'Used Vehicle'!P48</f>
        <v>1003</v>
      </c>
      <c r="G28" s="13">
        <f>'Used Vehicle'!C48+'Used Vehicle'!G48+'Used Vehicle'!I48+'Used Vehicle'!K48+'Used Vehicle'!M48+'Used Vehicle'!O48+'Used Vehicle'!Q48</f>
        <v>27803</v>
      </c>
      <c r="H28" s="47">
        <f>Service!B51+Service!F51+Service!H51+Service!J51+Service!L51+Service!N51+Service!P51</f>
        <v>12142</v>
      </c>
      <c r="I28" s="13">
        <f>Service!C51+Service!G51+Service!I51+Service!K51+Service!M51+Service!O51+Service!Q51</f>
        <v>135214</v>
      </c>
      <c r="J28" s="47">
        <f>'Parts &amp; Accessories'!B54+'Parts &amp; Accessories'!F54+'Parts &amp; Accessories'!H54+'Parts &amp; Accessories'!J54+'Parts &amp; Accessories'!L54+'Parts &amp; Accessories'!N54+'Parts &amp; Accessories'!P54</f>
        <v>-96</v>
      </c>
      <c r="K28" s="13">
        <f>'Parts &amp; Accessories'!C54+'Parts &amp; Accessories'!G54+'Parts &amp; Accessories'!I54+'Parts &amp; Accessories'!K54+'Parts &amp; Accessories'!M54+'Parts &amp; Accessories'!O54+'Parts &amp; Accessories'!Q54</f>
        <v>10624</v>
      </c>
    </row>
    <row r="29" spans="1:11">
      <c r="A29" s="5" t="s">
        <v>18</v>
      </c>
      <c r="B29" s="47">
        <f>'Dealership Totals'!B30+'Dealership Totals'!J30+'Dealership Totals'!N30+'Dealership Totals'!R30+'Dealership Totals'!V30+'Dealership Totals'!Z30+'Dealership Totals'!AD30</f>
        <v>149915</v>
      </c>
      <c r="C29" s="13">
        <f>'Dealership Totals'!C30+'Dealership Totals'!K30+'Dealership Totals'!O30+'Dealership Totals'!S30+'Dealership Totals'!W30+'Dealership Totals'!AA30+'Dealership Totals'!AE30</f>
        <v>2088181</v>
      </c>
      <c r="D29" s="47">
        <f>'New Vehicle'!B42+'New Vehicle'!F42+'New Vehicle'!H42+'New Vehicle'!J42+'New Vehicle'!L42+'New Vehicle'!N42+'New Vehicle'!P42</f>
        <v>50827.437934947862</v>
      </c>
      <c r="E29" s="13">
        <f>'New Vehicle'!C42+'New Vehicle'!G42+'New Vehicle'!I42+'New Vehicle'!K42+'New Vehicle'!M42+'New Vehicle'!O42+'New Vehicle'!Q42</f>
        <v>806082</v>
      </c>
      <c r="F29" s="47">
        <f>'Used Vehicle'!B49+'Used Vehicle'!F49+'Used Vehicle'!H49+'Used Vehicle'!J49+'Used Vehicle'!L49+'Used Vehicle'!N49+'Used Vehicle'!P49</f>
        <v>29943.594997965782</v>
      </c>
      <c r="G29" s="13">
        <f>'Used Vehicle'!C49+'Used Vehicle'!G49+'Used Vehicle'!I49+'Used Vehicle'!K49+'Used Vehicle'!M49+'Used Vehicle'!O49+'Used Vehicle'!Q49</f>
        <v>438429</v>
      </c>
      <c r="H29" s="47">
        <f>Service!B52+Service!F52+Service!H52+Service!J52+Service!L52+Service!N52+Service!P52</f>
        <v>56633.075298173484</v>
      </c>
      <c r="I29" s="13">
        <f>Service!C52+Service!G52+Service!I52+Service!K52+Service!M52+Service!O52+Service!Q52</f>
        <v>678921</v>
      </c>
      <c r="J29" s="47">
        <f>'Parts &amp; Accessories'!B55+'Parts &amp; Accessories'!F55+'Parts &amp; Accessories'!H55+'Parts &amp; Accessories'!J55+'Parts &amp; Accessories'!L55+'Parts &amp; Accessories'!N55+'Parts &amp; Accessories'!P55</f>
        <v>12510.891768912872</v>
      </c>
      <c r="K29" s="13">
        <f>'Parts &amp; Accessories'!C55+'Parts &amp; Accessories'!G55+'Parts &amp; Accessories'!I55+'Parts &amp; Accessories'!K55+'Parts &amp; Accessories'!M55+'Parts &amp; Accessories'!O55+'Parts &amp; Accessories'!Q55</f>
        <v>164749</v>
      </c>
    </row>
    <row r="30" spans="1:11">
      <c r="A30" s="5" t="s">
        <v>19</v>
      </c>
      <c r="B30" s="47">
        <f>'Dealership Totals'!B31+'Dealership Totals'!J31+'Dealership Totals'!N31+'Dealership Totals'!R31+'Dealership Totals'!V31+'Dealership Totals'!Z31+'Dealership Totals'!AD31</f>
        <v>177683</v>
      </c>
      <c r="C30" s="13">
        <f>'Dealership Totals'!C31+'Dealership Totals'!K31+'Dealership Totals'!O31+'Dealership Totals'!S31+'Dealership Totals'!W31+'Dealership Totals'!AA31+'Dealership Totals'!AE31</f>
        <v>1677526</v>
      </c>
      <c r="D30" s="47">
        <f>'New Vehicle'!B43+'New Vehicle'!F43+'New Vehicle'!H43+'New Vehicle'!J43+'New Vehicle'!L43+'New Vehicle'!N43+'New Vehicle'!P43</f>
        <v>65161.925119376458</v>
      </c>
      <c r="E30" s="13">
        <f>'New Vehicle'!C43+'New Vehicle'!G43+'New Vehicle'!I43+'New Vehicle'!K43+'New Vehicle'!M43+'New Vehicle'!O43+'New Vehicle'!Q43</f>
        <v>615888</v>
      </c>
      <c r="F30" s="47">
        <f>'Used Vehicle'!B50+'Used Vehicle'!F50+'Used Vehicle'!H50+'Used Vehicle'!J50+'Used Vehicle'!L50+'Used Vehicle'!N50+'Used Vehicle'!P50</f>
        <v>44027.485150210916</v>
      </c>
      <c r="G30" s="13">
        <f>'Used Vehicle'!C50+'Used Vehicle'!G50+'Used Vehicle'!I50+'Used Vehicle'!K50+'Used Vehicle'!M50+'Used Vehicle'!O50+'Used Vehicle'!Q50</f>
        <v>432329</v>
      </c>
      <c r="H30" s="47">
        <f>Service!B53+Service!F53+Service!H53+Service!J53+Service!L53+Service!N53+Service!P53</f>
        <v>49420.176666452535</v>
      </c>
      <c r="I30" s="13">
        <f>Service!C53+Service!G53+Service!I53+Service!K53+Service!M53+Service!O53+Service!Q53</f>
        <v>463787</v>
      </c>
      <c r="J30" s="47">
        <f>'Parts &amp; Accessories'!B56+'Parts &amp; Accessories'!F56+'Parts &amp; Accessories'!H56+'Parts &amp; Accessories'!J56+'Parts &amp; Accessories'!L56+'Parts &amp; Accessories'!N56+'Parts &amp; Accessories'!P56</f>
        <v>19073.413063960088</v>
      </c>
      <c r="K30" s="13">
        <f>'Parts &amp; Accessories'!C56+'Parts &amp; Accessories'!G56+'Parts &amp; Accessories'!I56+'Parts &amp; Accessories'!K56+'Parts &amp; Accessories'!M56+'Parts &amp; Accessories'!O56+'Parts &amp; Accessories'!Q56</f>
        <v>165522</v>
      </c>
    </row>
    <row r="31" spans="1:11">
      <c r="A31" s="5" t="s">
        <v>20</v>
      </c>
      <c r="B31" s="47">
        <f>'Dealership Totals'!B32+'Dealership Totals'!J32+'Dealership Totals'!N32+'Dealership Totals'!R32+'Dealership Totals'!V32+'Dealership Totals'!Z32+'Dealership Totals'!AD32</f>
        <v>3968</v>
      </c>
      <c r="C31" s="13">
        <f>'Dealership Totals'!C32+'Dealership Totals'!K32+'Dealership Totals'!O32+'Dealership Totals'!S32+'Dealership Totals'!W32+'Dealership Totals'!AA32+'Dealership Totals'!AE32</f>
        <v>42205</v>
      </c>
      <c r="D31" s="47">
        <f>'New Vehicle'!B44+'New Vehicle'!F44+'New Vehicle'!H44+'New Vehicle'!J44+'New Vehicle'!L44+'New Vehicle'!N44+'New Vehicle'!P44</f>
        <v>1193.0623969508147</v>
      </c>
      <c r="E31" s="13">
        <f>'New Vehicle'!C44+'New Vehicle'!G44+'New Vehicle'!I44+'New Vehicle'!K44+'New Vehicle'!M44+'New Vehicle'!O44+'New Vehicle'!Q44</f>
        <v>14663</v>
      </c>
      <c r="F31" s="47">
        <f>'Used Vehicle'!B51+'Used Vehicle'!F51+'Used Vehicle'!H51+'Used Vehicle'!J51+'Used Vehicle'!L51+'Used Vehicle'!N51+'Used Vehicle'!P51</f>
        <v>1055.4713389434914</v>
      </c>
      <c r="G31" s="13">
        <f>'Used Vehicle'!C51+'Used Vehicle'!G51+'Used Vehicle'!I51+'Used Vehicle'!K51+'Used Vehicle'!M51+'Used Vehicle'!O51+'Used Vehicle'!Q51</f>
        <v>13838</v>
      </c>
      <c r="H31" s="47">
        <f>Service!B54+Service!F54+Service!H54+Service!J54+Service!L54+Service!N54+Service!P54</f>
        <v>1127.1221601250509</v>
      </c>
      <c r="I31" s="13">
        <f>Service!C54+Service!G54+Service!I54+Service!K54+Service!M54+Service!O54+Service!Q54</f>
        <v>10198</v>
      </c>
      <c r="J31" s="47">
        <f>'Parts &amp; Accessories'!B57+'Parts &amp; Accessories'!F57+'Parts &amp; Accessories'!H57+'Parts &amp; Accessories'!J57+'Parts &amp; Accessories'!L57+'Parts &amp; Accessories'!N57+'Parts &amp; Accessories'!P57</f>
        <v>592.34410398064279</v>
      </c>
      <c r="K31" s="13">
        <f>'Parts &amp; Accessories'!C57+'Parts &amp; Accessories'!G57+'Parts &amp; Accessories'!I57+'Parts &amp; Accessories'!K57+'Parts &amp; Accessories'!M57+'Parts &amp; Accessories'!O57+'Parts &amp; Accessories'!Q57</f>
        <v>3506</v>
      </c>
    </row>
    <row r="32" spans="1:11">
      <c r="A32" s="4" t="s">
        <v>55</v>
      </c>
      <c r="B32" s="24">
        <f>SUM(B24:B31)</f>
        <v>1725200</v>
      </c>
      <c r="C32" s="25">
        <f>SUM(C24:C31)</f>
        <v>18514952</v>
      </c>
      <c r="D32" s="24">
        <f>'New Vehicle'!B45+'New Vehicle'!F45+'New Vehicle'!H45+'New Vehicle'!J45+'New Vehicle'!L45+'New Vehicle'!N45+'New Vehicle'!P45</f>
        <v>600370.12130361237</v>
      </c>
      <c r="E32" s="25">
        <f>'New Vehicle'!C45+'New Vehicle'!G45+'New Vehicle'!I45+'New Vehicle'!K45+'New Vehicle'!M45+'New Vehicle'!O45+'New Vehicle'!Q45</f>
        <v>6708548</v>
      </c>
      <c r="F32" s="24">
        <f>'Used Vehicle'!B52+'Used Vehicle'!F52+'Used Vehicle'!H52+'Used Vehicle'!J52+'Used Vehicle'!L52+'Used Vehicle'!N52+'Used Vehicle'!P52</f>
        <v>471355.30958651844</v>
      </c>
      <c r="G32" s="25">
        <f>'Used Vehicle'!C52+'Used Vehicle'!G52+'Used Vehicle'!I52+'Used Vehicle'!K52+'Used Vehicle'!M52+'Used Vehicle'!O52+'Used Vehicle'!Q52</f>
        <v>4938060</v>
      </c>
      <c r="H32" s="24">
        <f>Service!B55+Service!F55+Service!H55+Service!J55+Service!L55+Service!N55+Service!P55</f>
        <v>447600.70008136868</v>
      </c>
      <c r="I32" s="25">
        <f>Service!C55+Service!G55+Service!I55+Service!K55+Service!M55+Service!O55+Service!Q55</f>
        <v>4803331</v>
      </c>
      <c r="J32" s="24">
        <f>'Parts &amp; Accessories'!B58+'Parts &amp; Accessories'!F58+'Parts &amp; Accessories'!H58+'Parts &amp; Accessories'!J58+'Parts &amp; Accessories'!L58+'Parts &amp; Accessories'!N58+'Parts &amp; Accessories'!P58</f>
        <v>205873.86902850046</v>
      </c>
      <c r="K32" s="25">
        <f>'Parts &amp; Accessories'!C58+'Parts &amp; Accessories'!G58+'Parts &amp; Accessories'!I58+'Parts &amp; Accessories'!K58+'Parts &amp; Accessories'!M58+'Parts &amp; Accessories'!O58+'Parts &amp; Accessories'!Q58</f>
        <v>2065013</v>
      </c>
    </row>
    <row r="33" spans="1:11">
      <c r="A33" s="5" t="s">
        <v>21</v>
      </c>
      <c r="B33" s="47">
        <f>'Dealership Totals'!B34+'Dealership Totals'!J34+'Dealership Totals'!N34+'Dealership Totals'!R34+'Dealership Totals'!V34+'Dealership Totals'!Z34+'Dealership Totals'!AD34</f>
        <v>4811</v>
      </c>
      <c r="C33" s="13">
        <f>'Dealership Totals'!C34+'Dealership Totals'!K34+'Dealership Totals'!O34+'Dealership Totals'!S34+'Dealership Totals'!W34+'Dealership Totals'!AA34+'Dealership Totals'!AE34</f>
        <v>133515</v>
      </c>
      <c r="D33" s="47">
        <f>'New Vehicle'!B46+'New Vehicle'!F46+'New Vehicle'!H46+'New Vehicle'!J46+'New Vehicle'!L46+'New Vehicle'!N46+'New Vehicle'!P46</f>
        <v>1032</v>
      </c>
      <c r="E33" s="13">
        <f>'New Vehicle'!C46+'New Vehicle'!G46+'New Vehicle'!I46+'New Vehicle'!K46+'New Vehicle'!M46+'New Vehicle'!O46+'New Vehicle'!Q46</f>
        <v>12707</v>
      </c>
      <c r="F33" s="47">
        <f>'Used Vehicle'!B53+'Used Vehicle'!F53+'Used Vehicle'!H53+'Used Vehicle'!J53+'Used Vehicle'!L53+'Used Vehicle'!N53+'Used Vehicle'!P53</f>
        <v>2943</v>
      </c>
      <c r="G33" s="13">
        <f>'Used Vehicle'!C53+'Used Vehicle'!G53+'Used Vehicle'!I53+'Used Vehicle'!K53+'Used Vehicle'!M53+'Used Vehicle'!O53+'Used Vehicle'!Q53</f>
        <v>18550</v>
      </c>
      <c r="H33" s="47">
        <f>Service!B56+Service!F56+Service!H56+Service!J56+Service!L56+Service!N56+Service!P56</f>
        <v>-2764</v>
      </c>
      <c r="I33" s="13">
        <f>Service!C56+Service!G56+Service!I56+Service!K56+Service!M56+Service!O56+Service!Q56</f>
        <v>64848</v>
      </c>
      <c r="J33" s="47">
        <f>'Parts &amp; Accessories'!B59+'Parts &amp; Accessories'!F59+'Parts &amp; Accessories'!H59+'Parts &amp; Accessories'!J59+'Parts &amp; Accessories'!L59+'Parts &amp; Accessories'!N59+'Parts &amp; Accessories'!P59</f>
        <v>3600</v>
      </c>
      <c r="K33" s="13">
        <f>'Parts &amp; Accessories'!C59+'Parts &amp; Accessories'!G59+'Parts &amp; Accessories'!I59+'Parts &amp; Accessories'!K59+'Parts &amp; Accessories'!M59+'Parts &amp; Accessories'!O59+'Parts &amp; Accessories'!Q59</f>
        <v>37410</v>
      </c>
    </row>
    <row r="34" spans="1:11">
      <c r="A34" s="5" t="s">
        <v>22</v>
      </c>
      <c r="B34" s="47">
        <f>'Dealership Totals'!B35+'Dealership Totals'!J35+'Dealership Totals'!N35+'Dealership Totals'!R35+'Dealership Totals'!V35+'Dealership Totals'!Z35+'Dealership Totals'!AD35</f>
        <v>20182</v>
      </c>
      <c r="C34" s="13">
        <f>'Dealership Totals'!C35+'Dealership Totals'!K35+'Dealership Totals'!O35+'Dealership Totals'!S35+'Dealership Totals'!W35+'Dealership Totals'!AA35+'Dealership Totals'!AE35</f>
        <v>224373</v>
      </c>
      <c r="D34" s="47">
        <f>'New Vehicle'!B47+'New Vehicle'!F47+'New Vehicle'!H47+'New Vehicle'!J47+'New Vehicle'!L47+'New Vehicle'!N47+'New Vehicle'!P47</f>
        <v>5152</v>
      </c>
      <c r="E34" s="13">
        <f>'New Vehicle'!C47+'New Vehicle'!G47+'New Vehicle'!I47+'New Vehicle'!K47+'New Vehicle'!M47+'New Vehicle'!O47+'New Vehicle'!Q47</f>
        <v>68286</v>
      </c>
      <c r="F34" s="47">
        <f>'Used Vehicle'!B54+'Used Vehicle'!F54+'Used Vehicle'!H54+'Used Vehicle'!J54+'Used Vehicle'!L54+'Used Vehicle'!N54+'Used Vehicle'!P54</f>
        <v>3814</v>
      </c>
      <c r="G34" s="13">
        <f>'Used Vehicle'!C54+'Used Vehicle'!G54+'Used Vehicle'!I54+'Used Vehicle'!K54+'Used Vehicle'!M54+'Used Vehicle'!O54+'Used Vehicle'!Q54</f>
        <v>62789</v>
      </c>
      <c r="H34" s="47">
        <f>Service!B57+Service!F57+Service!H57+Service!J57+Service!L57+Service!N57+Service!P57</f>
        <v>9444</v>
      </c>
      <c r="I34" s="13">
        <f>Service!C57+Service!G57+Service!I57+Service!K57+Service!M57+Service!O57+Service!Q57</f>
        <v>76665</v>
      </c>
      <c r="J34" s="47">
        <f>'Parts &amp; Accessories'!B60+'Parts &amp; Accessories'!F60+'Parts &amp; Accessories'!H60+'Parts &amp; Accessories'!J60+'Parts &amp; Accessories'!L60+'Parts &amp; Accessories'!N60+'Parts &amp; Accessories'!P60</f>
        <v>1772</v>
      </c>
      <c r="K34" s="13">
        <f>'Parts &amp; Accessories'!C60+'Parts &amp; Accessories'!G60+'Parts &amp; Accessories'!I60+'Parts &amp; Accessories'!K60+'Parts &amp; Accessories'!M60+'Parts &amp; Accessories'!O60+'Parts &amp; Accessories'!Q60</f>
        <v>16633</v>
      </c>
    </row>
    <row r="35" spans="1:11">
      <c r="A35" s="5" t="s">
        <v>23</v>
      </c>
      <c r="B35" s="47">
        <f>'Dealership Totals'!B36+'Dealership Totals'!J36+'Dealership Totals'!N36+'Dealership Totals'!R36+'Dealership Totals'!V36+'Dealership Totals'!Z36+'Dealership Totals'!AD36</f>
        <v>9560</v>
      </c>
      <c r="C35" s="13">
        <f>'Dealership Totals'!C36+'Dealership Totals'!K36+'Dealership Totals'!O36+'Dealership Totals'!S36+'Dealership Totals'!W36+'Dealership Totals'!AA36+'Dealership Totals'!AE36</f>
        <v>109355</v>
      </c>
      <c r="D35" s="47">
        <f>'New Vehicle'!B48+'New Vehicle'!F48+'New Vehicle'!H48+'New Vehicle'!J48+'New Vehicle'!L48+'New Vehicle'!N48+'New Vehicle'!P48</f>
        <v>3318</v>
      </c>
      <c r="E35" s="13">
        <f>'New Vehicle'!C48+'New Vehicle'!G48+'New Vehicle'!I48+'New Vehicle'!K48+'New Vehicle'!M48+'New Vehicle'!O48+'New Vehicle'!Q48</f>
        <v>41821</v>
      </c>
      <c r="F35" s="47">
        <f>'Used Vehicle'!B55+'Used Vehicle'!F55+'Used Vehicle'!H55+'Used Vehicle'!J55+'Used Vehicle'!L55+'Used Vehicle'!N55+'Used Vehicle'!P55</f>
        <v>3080</v>
      </c>
      <c r="G35" s="13">
        <f>'Used Vehicle'!C55+'Used Vehicle'!G55+'Used Vehicle'!I55+'Used Vehicle'!K55+'Used Vehicle'!M55+'Used Vehicle'!O55+'Used Vehicle'!Q55</f>
        <v>40410</v>
      </c>
      <c r="H35" s="47">
        <f>Service!B58+Service!F58+Service!H58+Service!J58+Service!L58+Service!N58+Service!P58</f>
        <v>838</v>
      </c>
      <c r="I35" s="13">
        <f>Service!C58+Service!G58+Service!I58+Service!K58+Service!M58+Service!O58+Service!Q58</f>
        <v>5327</v>
      </c>
      <c r="J35" s="47">
        <f>'Parts &amp; Accessories'!B61+'Parts &amp; Accessories'!F61+'Parts &amp; Accessories'!H61+'Parts &amp; Accessories'!J61+'Parts &amp; Accessories'!L61+'Parts &amp; Accessories'!N61+'Parts &amp; Accessories'!P61</f>
        <v>2324</v>
      </c>
      <c r="K35" s="13">
        <f>'Parts &amp; Accessories'!C61+'Parts &amp; Accessories'!G61+'Parts &amp; Accessories'!I61+'Parts &amp; Accessories'!K61+'Parts &amp; Accessories'!M61+'Parts &amp; Accessories'!O61+'Parts &amp; Accessories'!Q61</f>
        <v>21797</v>
      </c>
    </row>
    <row r="36" spans="1:11">
      <c r="A36" s="5" t="s">
        <v>24</v>
      </c>
      <c r="B36" s="47">
        <f>'Dealership Totals'!B37+'Dealership Totals'!J37+'Dealership Totals'!N37+'Dealership Totals'!R37+'Dealership Totals'!V37+'Dealership Totals'!Z37+'Dealership Totals'!AD37</f>
        <v>21026</v>
      </c>
      <c r="C36" s="13">
        <f>'Dealership Totals'!C37+'Dealership Totals'!K37+'Dealership Totals'!O37+'Dealership Totals'!S37+'Dealership Totals'!W37+'Dealership Totals'!AA37+'Dealership Totals'!AE37</f>
        <v>213094</v>
      </c>
      <c r="D36" s="47">
        <f>'New Vehicle'!B49+'New Vehicle'!F49+'New Vehicle'!H49+'New Vehicle'!J49+'New Vehicle'!L49+'New Vehicle'!N49+'New Vehicle'!P49</f>
        <v>3079</v>
      </c>
      <c r="E36" s="13">
        <f>'New Vehicle'!C49+'New Vehicle'!G49+'New Vehicle'!I49+'New Vehicle'!K49+'New Vehicle'!M49+'New Vehicle'!O49+'New Vehicle'!Q49</f>
        <v>8842</v>
      </c>
      <c r="F36" s="47">
        <f>'Used Vehicle'!B56+'Used Vehicle'!F56+'Used Vehicle'!H56+'Used Vehicle'!J56+'Used Vehicle'!L36+'Used Vehicle'!N56+'Used Vehicle'!P56</f>
        <v>742</v>
      </c>
      <c r="G36" s="13">
        <f>'Used Vehicle'!C56+'Used Vehicle'!G56+'Used Vehicle'!I56+'Used Vehicle'!K56+'Used Vehicle'!M36+'Used Vehicle'!O56+'Used Vehicle'!Q56</f>
        <v>6380</v>
      </c>
      <c r="H36" s="47">
        <f>Service!B59+Service!F59+Service!H59+Service!J59+Service!L59+Service!N59+Service!P59</f>
        <v>14335</v>
      </c>
      <c r="I36" s="13">
        <f>Service!C59+Service!G59+Service!I59+Service!K59+Service!M59+Service!O59+Service!Q59</f>
        <v>165457</v>
      </c>
      <c r="J36" s="47">
        <f>'Parts &amp; Accessories'!B62+'Parts &amp; Accessories'!F62+'Parts &amp; Accessories'!H62+'Parts &amp; Accessories'!J62+'Parts &amp; Accessories'!L62+'Parts &amp; Accessories'!N62+'Parts &amp; Accessories'!P62</f>
        <v>3760</v>
      </c>
      <c r="K36" s="13">
        <f>'Parts &amp; Accessories'!C62+'Parts &amp; Accessories'!G62+'Parts &amp; Accessories'!I62+'Parts &amp; Accessories'!K62+'Parts &amp; Accessories'!M62+'Parts &amp; Accessories'!O62+'Parts &amp; Accessories'!Q62</f>
        <v>33685</v>
      </c>
    </row>
    <row r="37" spans="1:11">
      <c r="A37" s="5" t="s">
        <v>25</v>
      </c>
      <c r="B37" s="47">
        <f>'Dealership Totals'!B38+'Dealership Totals'!J38+'Dealership Totals'!N38+'Dealership Totals'!R38+'Dealership Totals'!V38+'Dealership Totals'!Z38+'Dealership Totals'!AD38</f>
        <v>29739</v>
      </c>
      <c r="C37" s="13">
        <f>'Dealership Totals'!C38+'Dealership Totals'!K38+'Dealership Totals'!O38+'Dealership Totals'!S38+'Dealership Totals'!W38+'Dealership Totals'!AA38+'Dealership Totals'!AE38</f>
        <v>280927</v>
      </c>
      <c r="D37" s="47">
        <f>'New Vehicle'!B50+'New Vehicle'!F50+'New Vehicle'!H50+'New Vehicle'!J50+'New Vehicle'!L50+'New Vehicle'!N50+'New Vehicle'!P50</f>
        <v>10313.105265411876</v>
      </c>
      <c r="E37" s="13">
        <f>'New Vehicle'!C50+'New Vehicle'!G50+'New Vehicle'!I50+'New Vehicle'!K50+'New Vehicle'!M50+'New Vehicle'!O50+'New Vehicle'!Q50</f>
        <v>96879</v>
      </c>
      <c r="F37" s="47">
        <f>'Used Vehicle'!B57+'Used Vehicle'!F57+'Used Vehicle'!H57+'Used Vehicle'!J57+'Used Vehicle'!L57+'Used Vehicle'!N57+'Used Vehicle'!P57</f>
        <v>8478.3943384509967</v>
      </c>
      <c r="G37" s="13">
        <f>'Used Vehicle'!C57+'Used Vehicle'!G57+'Used Vehicle'!I57+'Used Vehicle'!K57+'Used Vehicle'!M57+'Used Vehicle'!O57+'Used Vehicle'!Q57</f>
        <v>91282</v>
      </c>
      <c r="H37" s="47">
        <f>Service!B60+Service!F60+Service!H60+Service!J60+Service!L60+Service!N60+Service!P60</f>
        <v>7805.8035481038951</v>
      </c>
      <c r="I37" s="13">
        <f>Service!C60+Service!G60+Service!I60+Service!K60+Service!M60+Service!O60+Service!Q60</f>
        <v>69093</v>
      </c>
      <c r="J37" s="47">
        <f>'Parts &amp; Accessories'!B63+'Parts &amp; Accessories'!F63+'Parts &amp; Accessories'!H63+'Parts &amp; Accessories'!J63+'Parts &amp; Accessories'!L63+'Parts &amp; Accessories'!N63+'Parts &amp; Accessories'!P63</f>
        <v>3141.6968480332325</v>
      </c>
      <c r="K37" s="13">
        <f>'Parts &amp; Accessories'!C63+'Parts &amp; Accessories'!G63+'Parts &amp; Accessories'!I63+'Parts &amp; Accessories'!K63+'Parts &amp; Accessories'!M63+'Parts &amp; Accessories'!O63+'Parts &amp; Accessories'!Q63</f>
        <v>23673</v>
      </c>
    </row>
    <row r="38" spans="1:11">
      <c r="A38" s="5" t="s">
        <v>26</v>
      </c>
      <c r="B38" s="47">
        <f>'Dealership Totals'!B39+'Dealership Totals'!J39+'Dealership Totals'!N39+'Dealership Totals'!R39+'Dealership Totals'!V39+'Dealership Totals'!Z39+'Dealership Totals'!AD39</f>
        <v>24925</v>
      </c>
      <c r="C38" s="13">
        <f>'Dealership Totals'!C39+'Dealership Totals'!K39+'Dealership Totals'!O39+'Dealership Totals'!S39+'Dealership Totals'!W39+'Dealership Totals'!AA39+'Dealership Totals'!AE39</f>
        <v>277862</v>
      </c>
      <c r="D38" s="47">
        <f>'New Vehicle'!B51+'New Vehicle'!F51+'New Vehicle'!H51+'New Vehicle'!J51+'New Vehicle'!L51+'New Vehicle'!N51+'New Vehicle'!P51</f>
        <v>45</v>
      </c>
      <c r="E38" s="13">
        <f>'New Vehicle'!C51+'New Vehicle'!G51+'New Vehicle'!I51+'New Vehicle'!K51+'New Vehicle'!M51+'New Vehicle'!O51+'New Vehicle'!Q51</f>
        <v>53111</v>
      </c>
      <c r="F38" s="47">
        <f>'Used Vehicle'!B58+'Used Vehicle'!F58+'Used Vehicle'!H58+'Used Vehicle'!J58+'Used Vehicle'!L58+'Used Vehicle'!N58+'Used Vehicle'!P58</f>
        <v>-191</v>
      </c>
      <c r="G38" s="13">
        <f>'Used Vehicle'!C58+'Used Vehicle'!G58+'Used Vehicle'!I58+'Used Vehicle'!K58+'Used Vehicle'!M58+'Used Vehicle'!O58+'Used Vehicle'!Q58</f>
        <v>44996</v>
      </c>
      <c r="H38" s="47">
        <f>Service!B61+Service!F61+Service!H61+Service!J61+Service!L61+Service!N61+Service!P61</f>
        <v>23846</v>
      </c>
      <c r="I38" s="13">
        <f>Service!C61+Service!G61+Service!I61+Service!K61+Service!M61+Service!O61+Service!Q61</f>
        <v>160959</v>
      </c>
      <c r="J38" s="47">
        <f>'Parts &amp; Accessories'!B64+'Parts &amp; Accessories'!F64+'Parts &amp; Accessories'!H64+'Parts &amp; Accessories'!J64+'Parts &amp; Accessories'!L64+'Parts &amp; Accessories'!N64+'Parts &amp; Accessories'!P64</f>
        <v>1225</v>
      </c>
      <c r="K38" s="13">
        <f>'Parts &amp; Accessories'!C64+'Parts &amp; Accessories'!G64+'Parts &amp; Accessories'!I64+'Parts &amp; Accessories'!K64+'Parts &amp; Accessories'!M64+'Parts &amp; Accessories'!O64+'Parts &amp; Accessories'!Q64</f>
        <v>18796</v>
      </c>
    </row>
    <row r="39" spans="1:11">
      <c r="A39" s="5" t="s">
        <v>27</v>
      </c>
      <c r="B39" s="47">
        <f>'Dealership Totals'!B40+'Dealership Totals'!J40+'Dealership Totals'!N40+'Dealership Totals'!R40+'Dealership Totals'!V40+'Dealership Totals'!Z40+'Dealership Totals'!AD40</f>
        <v>117334</v>
      </c>
      <c r="C39" s="13">
        <f>'Dealership Totals'!C40+'Dealership Totals'!K40+'Dealership Totals'!O40+'Dealership Totals'!S40+'Dealership Totals'!W40+'Dealership Totals'!AA40+'Dealership Totals'!AE40</f>
        <v>1809934</v>
      </c>
      <c r="D39" s="47">
        <f>'New Vehicle'!B52+'New Vehicle'!F52+'New Vehicle'!H52+'New Vehicle'!J52+'New Vehicle'!L52+'New Vehicle'!N52+'New Vehicle'!Q52</f>
        <v>136078</v>
      </c>
      <c r="E39" s="13">
        <f>'New Vehicle'!C52+'New Vehicle'!G52+'New Vehicle'!I52+'New Vehicle'!K52+'New Vehicle'!M52+'New Vehicle'!O52+'New Vehicle'!Q52</f>
        <v>696461</v>
      </c>
      <c r="F39" s="47">
        <f>'Used Vehicle'!B59+'Used Vehicle'!F59+'Used Vehicle'!H59+'Used Vehicle'!J59+'Used Vehicle'!L59+'Used Vehicle'!N59+'Used Vehicle'!P59</f>
        <v>25360.716622770389</v>
      </c>
      <c r="G39" s="13">
        <f>'Used Vehicle'!C59+'Used Vehicle'!G59+'Used Vehicle'!I59+'Used Vehicle'!K59+'Used Vehicle'!M59+'Used Vehicle'!O59+'Used Vehicle'!Q59</f>
        <v>691570</v>
      </c>
      <c r="H39" s="47">
        <f>Service!B62+Service!F62+Service!H62+Service!J62+Service!L62+Service!N62+Service!P62</f>
        <v>23034.826609708573</v>
      </c>
      <c r="I39" s="13">
        <f>Service!C62+Service!G62+Service!I62+Service!K62+Service!M62+Service!O62+Service!Q62</f>
        <v>248317</v>
      </c>
      <c r="J39" s="47">
        <f>'Parts &amp; Accessories'!B65+'Parts &amp; Accessories'!F65+'Parts &amp; Accessories'!H65+'Parts &amp; Accessories'!J65+'Parts &amp; Accessories'!L65+'Parts &amp; Accessories'!N65+'Parts &amp; Accessories'!P65</f>
        <v>9612.7083467163447</v>
      </c>
      <c r="K39" s="13">
        <f>'Parts &amp; Accessories'!C65+'Parts &amp; Accessories'!G65+'Parts &amp; Accessories'!I65+'Parts &amp; Accessories'!K65+'Parts &amp; Accessories'!M65+'Parts &amp; Accessories'!O65+'Parts &amp; Accessories'!Q65</f>
        <v>173586</v>
      </c>
    </row>
    <row r="40" spans="1:11">
      <c r="A40" s="5" t="s">
        <v>28</v>
      </c>
      <c r="B40" s="47">
        <f>'Dealership Totals'!B41+'Dealership Totals'!J41+'Dealership Totals'!N41+'Dealership Totals'!R41+'Dealership Totals'!V41+'Dealership Totals'!Z41+'Dealership Totals'!AD41</f>
        <v>15973</v>
      </c>
      <c r="C40" s="13">
        <f>'Dealership Totals'!C41+'Dealership Totals'!K41+'Dealership Totals'!O41+'Dealership Totals'!S41+'Dealership Totals'!W41+'Dealership Totals'!AA41+'Dealership Totals'!AE41</f>
        <v>131249</v>
      </c>
      <c r="D40" s="47">
        <f>'New Vehicle'!B53+'New Vehicle'!F53+'New Vehicle'!H53+'New Vehicle'!J53+'New Vehicle'!L53+'New Vehicle'!N53+'New Vehicle'!P53</f>
        <v>5158.7889980942591</v>
      </c>
      <c r="E40" s="13">
        <f>'New Vehicle'!C53+'New Vehicle'!G53+'New Vehicle'!I53+'New Vehicle'!K53+'New Vehicle'!M53+'New Vehicle'!O53+'New Vehicle'!Q53</f>
        <v>38409</v>
      </c>
      <c r="F40" s="47">
        <f>'Used Vehicle'!B60+'Used Vehicle'!F60+'Used Vehicle'!H60+'Used Vehicle'!J60+'Used Vehicle'!L60+'Used Vehicle'!N60+'Used Vehicle'!P60</f>
        <v>3868.7945868396823</v>
      </c>
      <c r="G40" s="13">
        <f>'Used Vehicle'!C60+'Used Vehicle'!G60+'Used Vehicle'!I60+'Used Vehicle'!K60+'Used Vehicle'!M60+'Used Vehicle'!O60+'Used Vehicle'!Q60</f>
        <v>39510</v>
      </c>
      <c r="H40" s="47">
        <f>Service!B63+Service!F63+Service!H63+Service!J63+Service!L63+Service!N63+Service!P63</f>
        <v>4869.9513500781568</v>
      </c>
      <c r="I40" s="13">
        <f>Service!C63+Service!G63+Service!I63+Service!K63+Service!M63+Service!O63+Service!Q63</f>
        <v>38512</v>
      </c>
      <c r="J40" s="47">
        <f>'Parts &amp; Accessories'!B66+'Parts &amp; Accessories'!F66+'Parts &amp; Accessories'!H66+'Parts &amp; Accessories'!J66+'Parts &amp; Accessories'!L66+'Parts &amp; Accessories'!N66+'Parts &amp; Accessories'!P66</f>
        <v>2075.4650649879018</v>
      </c>
      <c r="K40" s="13">
        <f>'Parts &amp; Accessories'!C66+'Parts &amp; Accessories'!G66+'Parts &amp; Accessories'!I66+'Parts &amp; Accessories'!K66+'Parts &amp; Accessories'!M66+'Parts &amp; Accessories'!O66+'Parts &amp; Accessories'!Q66</f>
        <v>14818</v>
      </c>
    </row>
    <row r="41" spans="1:11">
      <c r="A41" s="5" t="s">
        <v>29</v>
      </c>
      <c r="B41" s="47">
        <f>'Dealership Totals'!B42+'Dealership Totals'!J42+'Dealership Totals'!N42+'Dealership Totals'!R42+'Dealership Totals'!V42+'Dealership Totals'!Z42+'Dealership Totals'!AD42</f>
        <v>3748</v>
      </c>
      <c r="C41" s="13">
        <f>'Dealership Totals'!C42+'Dealership Totals'!K42+'Dealership Totals'!O42+'Dealership Totals'!S42+'Dealership Totals'!W42+'Dealership Totals'!AA42+'Dealership Totals'!AE42</f>
        <v>270172</v>
      </c>
      <c r="D41" s="47">
        <f>'New Vehicle'!B54+'New Vehicle'!F54+'New Vehicle'!H54+'New Vehicle'!J54+'New Vehicle'!L54+'New Vehicle'!N54+'New Vehicle'!P54</f>
        <v>1540</v>
      </c>
      <c r="E41" s="13">
        <f>'New Vehicle'!C54+'New Vehicle'!G54+'New Vehicle'!I54+'New Vehicle'!K54+'New Vehicle'!M54+'New Vehicle'!O54+'New Vehicle'!Q54</f>
        <v>87723</v>
      </c>
      <c r="F41" s="47">
        <f>'Used Vehicle'!B61+'Used Vehicle'!F61+'Used Vehicle'!H61+'Used Vehicle'!J61+'Used Vehicle'!L61+'Used Vehicle'!N61+'Used Vehicle'!P61</f>
        <v>1660</v>
      </c>
      <c r="G41" s="13">
        <f>'Used Vehicle'!C61+'Used Vehicle'!G61+'Used Vehicle'!I61+'Used Vehicle'!K61+'Used Vehicle'!M61+'Used Vehicle'!O61+'Used Vehicle'!Q61</f>
        <v>78983</v>
      </c>
      <c r="H41" s="47">
        <f>Service!B64+Service!F64+Service!H64+Service!J64+Service!L64+Service!N64+Service!P64</f>
        <v>472</v>
      </c>
      <c r="I41" s="13">
        <f>Service!C64+Service!G64+Service!I64+Service!K64+Service!M64+Service!O64+Service!Q64</f>
        <v>73802</v>
      </c>
      <c r="J41" s="47">
        <f>'Parts &amp; Accessories'!B67+'Parts &amp; Accessories'!F67+'Parts &amp; Accessories'!H67+'Parts &amp; Accessories'!J67+'Parts &amp; Accessories'!L67+'Parts &amp; Accessories'!N67+'Parts &amp; Accessories'!P67</f>
        <v>76</v>
      </c>
      <c r="K41" s="13">
        <f>'Parts &amp; Accessories'!C67+'Parts &amp; Accessories'!G67+'Parts &amp; Accessories'!I67+'Parts &amp; Accessories'!K67+'Parts &amp; Accessories'!M67+'Parts &amp; Accessories'!O67+'Parts &amp; Accessories'!Q67</f>
        <v>29664</v>
      </c>
    </row>
    <row r="42" spans="1:11">
      <c r="A42" s="5" t="s">
        <v>30</v>
      </c>
      <c r="B42" s="47">
        <f>'Dealership Totals'!B43+'Dealership Totals'!J43+'Dealership Totals'!N43+'Dealership Totals'!R43+'Dealership Totals'!V43+'Dealership Totals'!Z43+'Dealership Totals'!AD43</f>
        <v>69166</v>
      </c>
      <c r="C42" s="13">
        <f>'Dealership Totals'!C43+'Dealership Totals'!K43+'Dealership Totals'!O43+'Dealership Totals'!S43+'Dealership Totals'!W43+'Dealership Totals'!AA43+'Dealership Totals'!AE43</f>
        <v>800615</v>
      </c>
      <c r="D42" s="47">
        <f>'New Vehicle'!B55+'New Vehicle'!F55+'New Vehicle'!H55+'New Vehicle'!J55+'New Vehicle'!L55+'New Vehicle'!N55+'New Vehicle'!P55</f>
        <v>22904.37455300743</v>
      </c>
      <c r="E42" s="13">
        <f>'New Vehicle'!C55+'New Vehicle'!G55+'New Vehicle'!I55+'New Vehicle'!K55+'New Vehicle'!M55+'New Vehicle'!O55+'New Vehicle'!Q55</f>
        <v>267722</v>
      </c>
      <c r="F42" s="47">
        <f>'Used Vehicle'!B62+'Used Vehicle'!F62+'Used Vehicle'!H62+'Used Vehicle'!J62+'Used Vehicle'!L62+'Used Vehicle'!N62+'Used Vehicle'!P62</f>
        <v>24525.797755936703</v>
      </c>
      <c r="G42" s="13">
        <f>'Used Vehicle'!C62+'Used Vehicle'!G62+'Used Vehicle'!I62+'Used Vehicle'!K62+'Used Vehicle'!M62+'Used Vehicle'!O62+'Used Vehicle'!Q62</f>
        <v>290421</v>
      </c>
      <c r="H42" s="47">
        <f>Service!B65+Service!F65+Service!H65+Service!J65+Service!L65+Service!N65+Service!P65</f>
        <v>15469.302616646324</v>
      </c>
      <c r="I42" s="13">
        <f>Service!C65+Service!G65+Service!I65+Service!K65+Service!M65+Service!O65+Service!Q65</f>
        <v>159888</v>
      </c>
      <c r="J42" s="47">
        <f>'Parts &amp; Accessories'!B68+'Parts &amp; Accessories'!F68+'Parts &amp; Accessories'!H68+'Parts &amp; Accessories'!J68+'Parts &amp; Accessories'!L68+'Parts &amp; Accessories'!N68+'Parts &amp; Accessories'!P68</f>
        <v>6266.525074409542</v>
      </c>
      <c r="K42" s="13">
        <f>'Parts &amp; Accessories'!C68+'Parts &amp; Accessories'!G68+'Parts &amp; Accessories'!I68+'Parts &amp; Accessories'!K68+'Parts &amp; Accessories'!M68+'Parts &amp; Accessories'!O68+'Parts &amp; Accessories'!Q68</f>
        <v>82584</v>
      </c>
    </row>
    <row r="43" spans="1:11">
      <c r="A43" s="5" t="s">
        <v>31</v>
      </c>
      <c r="B43" s="47">
        <f>'Dealership Totals'!B44+'Dealership Totals'!J44+'Dealership Totals'!N44+'Dealership Totals'!R44+'Dealership Totals'!V44+'Dealership Totals'!Z44+'Dealership Totals'!AD44</f>
        <v>35513</v>
      </c>
      <c r="C43" s="13">
        <f>'Dealership Totals'!C44+'Dealership Totals'!K44+'Dealership Totals'!O44+'Dealership Totals'!S44+'Dealership Totals'!W44+'Dealership Totals'!AA44+'Dealership Totals'!AE44</f>
        <v>450701</v>
      </c>
      <c r="D43" s="47">
        <f>'New Vehicle'!B56+'New Vehicle'!F56+'New Vehicle'!H56+'New Vehicle'!J56+'New Vehicle'!L56+'New Vehicle'!N56+'New Vehicle'!P56</f>
        <v>6669</v>
      </c>
      <c r="E43" s="13">
        <f>'New Vehicle'!C56+'New Vehicle'!G56+'New Vehicle'!I56+'New Vehicle'!K56+'New Vehicle'!M56+'New Vehicle'!O56+'New Vehicle'!Q56</f>
        <v>130401</v>
      </c>
      <c r="F43" s="47">
        <f>'Used Vehicle'!B63+'Used Vehicle'!F63+'Used Vehicle'!H63+'Used Vehicle'!J63+'Used Vehicle'!L63+'Used Vehicle'!N63+'Used Vehicle'!P63</f>
        <v>4990</v>
      </c>
      <c r="G43" s="13">
        <f>'Used Vehicle'!C63+'Used Vehicle'!G63+'Used Vehicle'!I63+'Used Vehicle'!K63+'Used Vehicle'!M63+'Used Vehicle'!O63+'Used Vehicle'!Q63</f>
        <v>109341</v>
      </c>
      <c r="H43" s="47">
        <f>Service!B66+Service!F66+Service!H66+Service!J66+Service!L66+Service!N66+Service!P66</f>
        <v>21554</v>
      </c>
      <c r="I43" s="13">
        <f>Service!C66+Service!G66+Service!I66+Service!K66+Service!M66+Service!O66+Service!Q66</f>
        <v>180268</v>
      </c>
      <c r="J43" s="47">
        <f>'Parts &amp; Accessories'!B69+'Parts &amp; Accessories'!F69+'Parts &amp; Accessories'!H69+'Parts &amp; Accessories'!J69+'Parts &amp; Accessories'!L69+'Parts &amp; Accessories'!N69+'Parts &amp; Accessories'!P69</f>
        <v>2300</v>
      </c>
      <c r="K43" s="13">
        <f>'Parts &amp; Accessories'!C69+'Parts &amp; Accessories'!G69+'Parts &amp; Accessories'!I69+'Parts &amp; Accessories'!K69+'Parts &amp; Accessories'!M69+'Parts &amp; Accessories'!O69+'Parts &amp; Accessories'!Q69</f>
        <v>30691</v>
      </c>
    </row>
    <row r="44" spans="1:11">
      <c r="A44" s="5" t="s">
        <v>32</v>
      </c>
      <c r="B44" s="47">
        <f>'Dealership Totals'!B45+'Dealership Totals'!J45+'Dealership Totals'!N45+'Dealership Totals'!R45+'Dealership Totals'!V45+'Dealership Totals'!Z45+'Dealership Totals'!AD45</f>
        <v>-4162</v>
      </c>
      <c r="C44" s="13">
        <f>'Dealership Totals'!C45+'Dealership Totals'!K45+'Dealership Totals'!O45+'Dealership Totals'!S45+'Dealership Totals'!W45+'Dealership Totals'!AA45+'Dealership Totals'!AE45</f>
        <v>0</v>
      </c>
      <c r="D44" s="47">
        <f>'New Vehicle'!B57+'New Vehicle'!F57+'New Vehicle'!H57+'New Vehicle'!J57+'New Vehicle'!L57+'New Vehicle'!N57+'New Vehicle'!P57</f>
        <v>-2247.1531444722809</v>
      </c>
      <c r="E44" s="13">
        <f>'New Vehicle'!C57+'New Vehicle'!G57+'New Vehicle'!I57+'New Vehicle'!K57+'New Vehicle'!M57+'New Vehicle'!O57+'New Vehicle'!Q57</f>
        <v>0</v>
      </c>
      <c r="F44" s="47">
        <f>'Used Vehicle'!B64+'Used Vehicle'!F64+'Used Vehicle'!H64+'Used Vehicle'!J64+'Used Vehicle'!L64+'Used Vehicle'!N64+'Used Vehicle'!P64</f>
        <v>-399.93171452431426</v>
      </c>
      <c r="G44" s="13">
        <f>'Used Vehicle'!C64+'Used Vehicle'!G64+'Used Vehicle'!I64+'Used Vehicle'!K64+'Used Vehicle'!M64+'Used Vehicle'!O64+'Used Vehicle'!Q64</f>
        <v>0</v>
      </c>
      <c r="H44" s="47">
        <f>Service!B67+Service!F67+Service!H67+Service!J67+Service!L67+Service!N67+Service!P67</f>
        <v>-1288.7723710413054</v>
      </c>
      <c r="I44" s="13">
        <f>Service!C67+Service!G67+Service!I67+Service!K67+Service!M67+Service!O67+Service!Q67</f>
        <v>0</v>
      </c>
      <c r="J44" s="47">
        <f>'Parts &amp; Accessories'!B70+'Parts &amp; Accessories'!F70+'Parts &amp; Accessories'!H70+'Parts &amp; Accessories'!J70+'Parts &amp; Accessories'!L70+'Parts &amp; Accessories'!N70+'Parts &amp; Accessories'!P70</f>
        <v>-226.14276996209932</v>
      </c>
      <c r="K44" s="13">
        <f>'Parts &amp; Accessories'!C70+'Parts &amp; Accessories'!G70+'Parts &amp; Accessories'!I70+'Parts &amp; Accessories'!K70+'Parts &amp; Accessories'!M70+'Parts &amp; Accessories'!O70+'Parts &amp; Accessories'!Q70</f>
        <v>0</v>
      </c>
    </row>
    <row r="45" spans="1:11">
      <c r="A45" s="7" t="s">
        <v>33</v>
      </c>
      <c r="B45" s="47">
        <f>'Dealership Totals'!B46+'Dealership Totals'!J46+'Dealership Totals'!N46+'Dealership Totals'!R46+'Dealership Totals'!V46+'Dealership Totals'!Z46+'Dealership Totals'!AD46</f>
        <v>28106</v>
      </c>
      <c r="C45" s="13">
        <f>'Dealership Totals'!C46+'Dealership Totals'!K46+'Dealership Totals'!O46+'Dealership Totals'!S46+'Dealership Totals'!W46+'Dealership Totals'!AA46+'Dealership Totals'!AE46</f>
        <v>271874</v>
      </c>
      <c r="D45" s="47">
        <f>'New Vehicle'!B58+'New Vehicle'!F58+'New Vehicle'!H58+'New Vehicle'!J58+'New Vehicle'!L58+'New Vehicle'!N58+'New Vehicle'!P58</f>
        <v>10879.625468405387</v>
      </c>
      <c r="E45" s="13">
        <f>'New Vehicle'!C58+'New Vehicle'!G58+'New Vehicle'!I58+'New Vehicle'!K58+'New Vehicle'!M58+'New Vehicle'!O58+'New Vehicle'!Q58</f>
        <v>116455</v>
      </c>
      <c r="F45" s="47">
        <f>'Used Vehicle'!B65+'Used Vehicle'!F65+'Used Vehicle'!H65+'Used Vehicle'!J65+'Used Vehicle'!L65+'Used Vehicle'!N65+'Used Vehicle'!P65</f>
        <v>9537.9484593477646</v>
      </c>
      <c r="G45" s="13">
        <f>'Used Vehicle'!C65+'Used Vehicle'!G65+'Used Vehicle'!I65+'Used Vehicle'!K65+'Used Vehicle'!M65+'Used Vehicle'!O65+'Used Vehicle'!Q65</f>
        <v>105911</v>
      </c>
      <c r="H45" s="47">
        <f>Service!B68+Service!F68+Service!H68+Service!J68+Service!L68+Service!N68+Service!P68</f>
        <v>5555.5810903406782</v>
      </c>
      <c r="I45" s="13">
        <f>Service!C68+Service!G68+Service!I68+Service!K68+Service!M68+Service!O68+Service!Q68</f>
        <v>34010</v>
      </c>
      <c r="J45" s="47">
        <f>'Parts &amp; Accessories'!B71+'Parts &amp; Accessories'!F71+'Parts &amp; Accessories'!H71+'Parts &amp; Accessories'!J71+'Parts &amp; Accessories'!L71+'Parts &amp; Accessories'!N71+'Parts &amp; Accessories'!P71</f>
        <v>2132.8449819061689</v>
      </c>
      <c r="K45" s="13">
        <f>'Parts &amp; Accessories'!C71+'Parts &amp; Accessories'!G71+'Parts &amp; Accessories'!I71+'Parts &amp; Accessories'!K71+'Parts &amp; Accessories'!M71+'Parts &amp; Accessories'!O71+'Parts &amp; Accessories'!Q71</f>
        <v>15498</v>
      </c>
    </row>
    <row r="46" spans="1:11">
      <c r="A46" s="5" t="s">
        <v>34</v>
      </c>
      <c r="B46" s="47">
        <f>'Dealership Totals'!B47+'Dealership Totals'!J47+'Dealership Totals'!N47+'Dealership Totals'!R47+'Dealership Totals'!V47+'Dealership Totals'!Z47+'Dealership Totals'!AD47</f>
        <v>90349</v>
      </c>
      <c r="C46" s="13">
        <f>'Dealership Totals'!C47+'Dealership Totals'!K47+'Dealership Totals'!O47+'Dealership Totals'!S47+'Dealership Totals'!W47+'Dealership Totals'!AA47+'Dealership Totals'!AE47</f>
        <v>954499</v>
      </c>
      <c r="D46" s="47">
        <f>'New Vehicle'!B59+'New Vehicle'!F59+'New Vehicle'!H59+'New Vehicle'!J59+'New Vehicle'!L59+'New Vehicle'!N59+'New Vehicle'!P59</f>
        <v>27380.444166077814</v>
      </c>
      <c r="E46" s="13">
        <f>'New Vehicle'!C59+'New Vehicle'!G59+'New Vehicle'!I59+'New Vehicle'!K59+'New Vehicle'!M59+'New Vehicle'!O59+'New Vehicle'!Q59</f>
        <v>289296</v>
      </c>
      <c r="F46" s="47">
        <f>'Used Vehicle'!B66+'Used Vehicle'!F66+'Used Vehicle'!H66+'Used Vehicle'!J66+'Used Vehicle'!L66+'Used Vehicle'!N66+'Used Vehicle'!P66</f>
        <v>21962.743645746345</v>
      </c>
      <c r="G46" s="13">
        <f>'Used Vehicle'!C66+'Used Vehicle'!G66+'Used Vehicle'!I66+'Used Vehicle'!K66+'Used Vehicle'!M66+'Used Vehicle'!O66+'Used Vehicle'!Q66</f>
        <v>226339</v>
      </c>
      <c r="H46" s="47">
        <f>Service!B69+Service!F69+Service!H69+Service!J69+Service!L69+Service!N69+Service!P69</f>
        <v>34689.734031391192</v>
      </c>
      <c r="I46" s="13">
        <f>Service!C69+Service!G69+Service!I69+Service!K69+Service!M69+Service!O69+Service!Q69</f>
        <v>348601</v>
      </c>
      <c r="J46" s="47">
        <f>'Parts &amp; Accessories'!B72+'Parts &amp; Accessories'!F72+'Parts &amp; Accessories'!H72+'Parts &amp; Accessories'!J72+'Parts &amp; Accessories'!L72+'Parts &amp; Accessories'!N72+'Parts &amp; Accessories'!P72</f>
        <v>6316.0781567846516</v>
      </c>
      <c r="K46" s="13">
        <f>'Parts &amp; Accessories'!C72+'Parts &amp; Accessories'!G72+'Parts &amp; Accessories'!I72+'Parts &amp; Accessories'!K72+'Parts &amp; Accessories'!M72+'Parts &amp; Accessories'!O72+'Parts &amp; Accessories'!Q72</f>
        <v>90263</v>
      </c>
    </row>
    <row r="47" spans="1:11">
      <c r="A47" s="5" t="s">
        <v>35</v>
      </c>
      <c r="B47" s="47">
        <f>'Dealership Totals'!B48+'Dealership Totals'!J48+'Dealership Totals'!N48+'Dealership Totals'!R48+'Dealership Totals'!V48+'Dealership Totals'!Z48+'Dealership Totals'!AD48</f>
        <v>584</v>
      </c>
      <c r="C47" s="13">
        <f>'Dealership Totals'!C48+'Dealership Totals'!K48+'Dealership Totals'!O48+'Dealership Totals'!S48+'Dealership Totals'!W48+'Dealership Totals'!AA48+'Dealership Totals'!AE48</f>
        <v>65938</v>
      </c>
      <c r="D47" s="47">
        <f>'New Vehicle'!B60+'New Vehicle'!F60+'New Vehicle'!H60+'New Vehicle'!J60+'New Vehicle'!L60+'New Vehicle'!N60+'New Vehicle'!P60</f>
        <v>204</v>
      </c>
      <c r="E47" s="13">
        <f>'New Vehicle'!C60+'New Vehicle'!G60+'New Vehicle'!I60+'New Vehicle'!K60+'New Vehicle'!M60+'New Vehicle'!O60+'New Vehicle'!Q60</f>
        <v>23809</v>
      </c>
      <c r="F47" s="47">
        <f>'Used Vehicle'!B67+'Used Vehicle'!F67+'Used Vehicle'!H67+'Used Vehicle'!J67+'Used Vehicle'!L67+'Used Vehicle'!N67+'Used Vehicle'!P67</f>
        <v>146</v>
      </c>
      <c r="G47" s="13">
        <f>'Used Vehicle'!C67+'Used Vehicle'!G67+'Used Vehicle'!I67+'Used Vehicle'!K67+'Used Vehicle'!M67+'Used Vehicle'!O67+'Used Vehicle'!Q67</f>
        <v>17860</v>
      </c>
      <c r="H47" s="47">
        <f>Service!B70+Service!F70+Service!H70+Service!J70+Service!L70+Service!N70+Service!P70</f>
        <v>175</v>
      </c>
      <c r="I47" s="13">
        <f>Service!C70+Service!G70+Service!I70+Service!K70+Service!M70+Service!O70+Service!Q70</f>
        <v>18084</v>
      </c>
      <c r="J47" s="47">
        <f>'Parts &amp; Accessories'!B73+'Parts &amp; Accessories'!F73+'Parts &amp; Accessories'!H73+'Parts &amp; Accessories'!J73+'Parts &amp; Accessories'!L73+'Parts &amp; Accessories'!N73+'Parts &amp; Accessories'!P73</f>
        <v>59</v>
      </c>
      <c r="K47" s="13">
        <f>'Parts &amp; Accessories'!C73+'Parts &amp; Accessories'!G73+'Parts &amp; Accessories'!I73+'Parts &amp; Accessories'!K73+'Parts &amp; Accessories'!M73+'Parts &amp; Accessories'!O73+'Parts &amp; Accessories'!Q73</f>
        <v>6185</v>
      </c>
    </row>
    <row r="48" spans="1:11">
      <c r="A48" s="5" t="s">
        <v>36</v>
      </c>
      <c r="B48" s="47">
        <f>'Dealership Totals'!B49+'Dealership Totals'!J49+'Dealership Totals'!N49+'Dealership Totals'!R49+'Dealership Totals'!V49+'Dealership Totals'!Z49+'Dealership Totals'!AD49</f>
        <v>9269</v>
      </c>
      <c r="C48" s="13">
        <f>'Dealership Totals'!C49+'Dealership Totals'!K49+'Dealership Totals'!O49+'Dealership Totals'!S49+'Dealership Totals'!W49+'Dealership Totals'!AA49+'Dealership Totals'!AE49</f>
        <v>103871</v>
      </c>
      <c r="D48" s="47">
        <f>'New Vehicle'!B61+'New Vehicle'!F61+'New Vehicle'!H61+'New Vehicle'!J61+'New Vehicle'!L61+'New Vehicle'!N61+'New Vehicle'!P61</f>
        <v>2925</v>
      </c>
      <c r="E48" s="13">
        <f>'New Vehicle'!C61+'New Vehicle'!G61+'New Vehicle'!I61+'New Vehicle'!K61+'New Vehicle'!M61+'New Vehicle'!O61+'New Vehicle'!Q61</f>
        <v>32230</v>
      </c>
      <c r="F48" s="47">
        <f>'Used Vehicle'!B68+'Used Vehicle'!F68+'Used Vehicle'!H68+'Used Vehicle'!J68+'Used Vehicle'!L68+'Used Vehicle'!N68+'Used Vehicle'!P68</f>
        <v>2310</v>
      </c>
      <c r="G48" s="13">
        <f>'Used Vehicle'!C68+'Used Vehicle'!G68+'Used Vehicle'!I68+'Used Vehicle'!K68+'Used Vehicle'!M68+'Used Vehicle'!O68+'Used Vehicle'!Q68</f>
        <v>26653</v>
      </c>
      <c r="H48" s="47">
        <f>Service!B71+Service!F71+Service!H71+Service!J71+Service!L71+Service!N71+Service!P71</f>
        <v>2774</v>
      </c>
      <c r="I48" s="13">
        <f>Service!C71+Service!G71+Service!I71+Service!K71+Service!M71+Service!O71+Service!Q71</f>
        <v>32322</v>
      </c>
      <c r="J48" s="47">
        <f>'Parts &amp; Accessories'!B74+'Parts &amp; Accessories'!F74+'Parts &amp; Accessories'!H74+'Parts &amp; Accessories'!J74+'Parts &amp; Accessories'!L74+'Parts &amp; Accessories'!N74+'Parts &amp; Accessories'!P74</f>
        <v>1260</v>
      </c>
      <c r="K48" s="13">
        <f>'Parts &amp; Accessories'!C74+'Parts &amp; Accessories'!G74+'Parts &amp; Accessories'!I74+'Parts &amp; Accessories'!K74+'Parts &amp; Accessories'!M74+'Parts &amp; Accessories'!O74+'Parts &amp; Accessories'!Q74</f>
        <v>12666</v>
      </c>
    </row>
    <row r="49" spans="1:11">
      <c r="A49" s="4" t="s">
        <v>56</v>
      </c>
      <c r="B49" s="24">
        <f>SUM(B33:B48)</f>
        <v>476123</v>
      </c>
      <c r="C49" s="25">
        <f>SUM(C33:C48)</f>
        <v>6097979</v>
      </c>
      <c r="D49" s="24">
        <f>'New Vehicle'!B62+'New Vehicle'!F62+'New Vehicle'!H62+'New Vehicle'!J62+'New Vehicle'!L62+'New Vehicle'!N62+'New Vehicle'!P62</f>
        <v>157678.93372732919</v>
      </c>
      <c r="E49" s="25">
        <f>'New Vehicle'!C62+'New Vehicle'!G62+'New Vehicle'!I62+'New Vehicle'!K62+'New Vehicle'!M62+'New Vehicle'!O62+'New Vehicle'!Q62</f>
        <v>1964152</v>
      </c>
      <c r="F49" s="24">
        <f>'Used Vehicle'!B69+'Used Vehicle'!F69+'Used Vehicle'!H69+'Used Vehicle'!J69+'Used Vehicle'!L69+'Used Vehicle'!N69+'Used Vehicle'!P69</f>
        <v>112828.46369456756</v>
      </c>
      <c r="G49" s="25">
        <f>'Used Vehicle'!C69+'Used Vehicle'!G69+'Used Vehicle'!I69+'Used Vehicle'!K69+'Used Vehicle'!M69+'Used Vehicle'!O69+'Used Vehicle'!Q69</f>
        <v>1850995</v>
      </c>
      <c r="H49" s="24">
        <f>Service!B72+Service!F72+Service!H72+Service!J72+Service!L72+Service!N72+Service!P72</f>
        <v>160810.42687522751</v>
      </c>
      <c r="I49" s="25">
        <f>Service!C72+Service!G72+Service!I72+Service!K72+Service!M72+Service!O72+Service!Q72</f>
        <v>1676153</v>
      </c>
      <c r="J49" s="24">
        <f>'Parts &amp; Accessories'!B75+'Parts &amp; Accessories'!F75+'Parts &amp; Accessories'!H75+'Parts &amp; Accessories'!J75+'Parts &amp; Accessories'!L75+'Parts &amp; Accessories'!N75+'Parts &amp; Accessories'!P75</f>
        <v>45695.175702875742</v>
      </c>
      <c r="K49" s="25">
        <f>'Parts &amp; Accessories'!C75+'Parts &amp; Accessories'!G75+'Parts &amp; Accessories'!I75+'Parts &amp; Accessories'!K75+'Parts &amp; Accessories'!M75+'Parts &amp; Accessories'!O75+'Parts &amp; Accessories'!Q75</f>
        <v>607949</v>
      </c>
    </row>
    <row r="50" spans="1:11">
      <c r="A50" s="5" t="s">
        <v>37</v>
      </c>
      <c r="B50" s="47">
        <f>'Dealership Totals'!B51+'Dealership Totals'!J51+'Dealership Totals'!N51+'Dealership Totals'!R51+'Dealership Totals'!V51+'Dealership Totals'!Z51+'Dealership Totals'!AD51</f>
        <v>350902</v>
      </c>
      <c r="C50" s="13">
        <f>'Dealership Totals'!C51+'Dealership Totals'!K51+'Dealership Totals'!O51+'Dealership Totals'!S51+'Dealership Totals'!W51+'Dealership Totals'!AA51+'Dealership Totals'!AE51</f>
        <v>4008736</v>
      </c>
      <c r="D50" s="47">
        <f>'New Vehicle'!B63+'New Vehicle'!F63+'New Vehicle'!H63+'New Vehicle'!J63+'New Vehicle'!L63+'New Vehicle'!N63+'New Vehicle'!P63</f>
        <v>114717.20440675788</v>
      </c>
      <c r="E50" s="13">
        <f>'New Vehicle'!C63+'New Vehicle'!G63+'New Vehicle'!I63+'New Vehicle'!K63+'New Vehicle'!M63+'New Vehicle'!O63+'New Vehicle'!Q63</f>
        <v>1316038</v>
      </c>
      <c r="F50" s="47">
        <f>'Used Vehicle'!B70+'Used Vehicle'!F70+'Used Vehicle'!H70+'Used Vehicle'!J70+'Used Vehicle'!L70+'Used Vehicle'!N70+'Used Vehicle'!P70</f>
        <v>99952.371105543774</v>
      </c>
      <c r="G50" s="13">
        <f>'Used Vehicle'!C70+'Used Vehicle'!G70+'Used Vehicle'!I70+'Used Vehicle'!K70+'Used Vehicle'!M70+'Used Vehicle'!O70+'Used Vehicle'!Q70</f>
        <v>1140602</v>
      </c>
      <c r="H50" s="47">
        <f>Service!B73+Service!F73+Service!H73+Service!J73+Service!L73+Service!N73+Service!P73</f>
        <v>97859.866897925094</v>
      </c>
      <c r="I50" s="13">
        <f>Service!C73+Service!G73+Service!I73+Service!K73+Service!M73+Service!O73+Service!Q73</f>
        <v>1108214</v>
      </c>
      <c r="J50" s="47">
        <f>'Parts &amp; Accessories'!B76+'Parts &amp; Accessories'!F76+'Parts &amp; Accessories'!H76+'Parts &amp; Accessories'!J76+'Parts &amp; Accessories'!L76+'Parts &amp; Accessories'!N76+'Parts &amp; Accessories'!P76</f>
        <v>38372.557589773241</v>
      </c>
      <c r="K50" s="13">
        <f>'Parts &amp; Accessories'!C76+'Parts &amp; Accessories'!G76+'Parts &amp; Accessories'!I76+'Parts &amp; Accessories'!K76+'Parts &amp; Accessories'!M76+'Parts &amp; Accessories'!O76+'Parts &amp; Accessories'!Q76</f>
        <v>443882</v>
      </c>
    </row>
    <row r="51" spans="1:11">
      <c r="A51" s="5" t="s">
        <v>38</v>
      </c>
      <c r="B51" s="47">
        <f>'Dealership Totals'!B52+'Dealership Totals'!J52+'Dealership Totals'!N52+'Dealership Totals'!R52+'Dealership Totals'!V52+'Dealership Totals'!Z52+'Dealership Totals'!AD52</f>
        <v>-382</v>
      </c>
      <c r="C51" s="13">
        <f>'Dealership Totals'!C52+'Dealership Totals'!K52+'Dealership Totals'!O52+'Dealership Totals'!S52+'Dealership Totals'!W52+'Dealership Totals'!AA52+'Dealership Totals'!AE52</f>
        <v>2896</v>
      </c>
      <c r="D51" s="47">
        <f>'New Vehicle'!B64+'New Vehicle'!F64+'New Vehicle'!H64+'New Vehicle'!J64+'New Vehicle'!L64+'New Vehicle'!N64+'New Vehicle'!P64</f>
        <v>-134</v>
      </c>
      <c r="E51" s="13">
        <f>'New Vehicle'!C64+'New Vehicle'!G64+'New Vehicle'!I64+'New Vehicle'!K64+'New Vehicle'!M64+'New Vehicle'!O64+'New Vehicle'!Q64</f>
        <v>1014</v>
      </c>
      <c r="F51" s="47">
        <f>'Used Vehicle'!B71+'Used Vehicle'!F71+'Used Vehicle'!H71+'Used Vehicle'!J71+'Used Vehicle'!L71+'Used Vehicle'!N71+'Used Vehicle'!P71</f>
        <v>-76</v>
      </c>
      <c r="G51" s="13">
        <f>'Used Vehicle'!C71+'Used Vehicle'!G71+'Used Vehicle'!I71+'Used Vehicle'!K71+'Used Vehicle'!M71+'Used Vehicle'!O71+'Used Vehicle'!Q71</f>
        <v>579</v>
      </c>
      <c r="H51" s="47">
        <f>Service!B74+Service!F74+Service!H74+Service!J74+Service!L74+Service!N74+Service!P74</f>
        <v>-115</v>
      </c>
      <c r="I51" s="13">
        <f>Service!C74+Service!G74+Service!I74+Service!K74+Service!M74+Service!O74+Service!Q74</f>
        <v>869</v>
      </c>
      <c r="J51" s="47">
        <f>'Parts &amp; Accessories'!B77+'Parts &amp; Accessories'!F77+'Parts &amp; Accessories'!H77+'Parts &amp; Accessories'!J77+'Parts &amp; Accessories'!L77+'Parts &amp; Accessories'!N77+'Parts &amp; Accessories'!P77</f>
        <v>-57</v>
      </c>
      <c r="K51" s="13">
        <f>'Parts &amp; Accessories'!C77+'Parts &amp; Accessories'!G77+'Parts &amp; Accessories'!I77+'Parts &amp; Accessories'!K77+'Parts &amp; Accessories'!M77+'Parts &amp; Accessories'!O77+'Parts &amp; Accessories'!Q77</f>
        <v>434</v>
      </c>
    </row>
    <row r="52" spans="1:11">
      <c r="A52" s="5" t="s">
        <v>39</v>
      </c>
      <c r="B52" s="47">
        <f>'Dealership Totals'!B53+'Dealership Totals'!J53+'Dealership Totals'!N53+'Dealership Totals'!R53+'Dealership Totals'!V53+'Dealership Totals'!Z53+'Dealership Totals'!AD53</f>
        <v>389</v>
      </c>
      <c r="C52" s="13">
        <f>'Dealership Totals'!C53+'Dealership Totals'!K53+'Dealership Totals'!O53+'Dealership Totals'!S53+'Dealership Totals'!W53+'Dealership Totals'!AA53+'Dealership Totals'!AE53</f>
        <v>20651</v>
      </c>
      <c r="D52" s="47">
        <f>'New Vehicle'!B65+'New Vehicle'!F65+'New Vehicle'!H65+'New Vehicle'!J65+'New Vehicle'!L65+'New Vehicle'!N65+'New Vehicle'!P65</f>
        <v>137</v>
      </c>
      <c r="E52" s="13">
        <f>'New Vehicle'!C65+'New Vehicle'!G65+'New Vehicle'!I65+'New Vehicle'!K65+'New Vehicle'!M65+'New Vehicle'!O65+'New Vehicle'!Q65</f>
        <v>3540</v>
      </c>
      <c r="F52" s="47">
        <f>'Used Vehicle'!B72+'Used Vehicle'!F72+'Used Vehicle'!H72+'Used Vehicle'!J72+'Used Vehicle'!L72+'Used Vehicle'!N72+'Used Vehicle'!P72</f>
        <v>97</v>
      </c>
      <c r="G52" s="13">
        <f>'Used Vehicle'!C72+'Used Vehicle'!G72+'Used Vehicle'!I72+'Used Vehicle'!K72+'Used Vehicle'!M72+'Used Vehicle'!O72+'Used Vehicle'!Q72</f>
        <v>3444</v>
      </c>
      <c r="H52" s="47">
        <f>Service!B75+Service!F75+Service!H75+Service!J75+Service!L75+Service!N75+Service!P75</f>
        <v>116</v>
      </c>
      <c r="I52" s="13">
        <f>Service!C75+Service!G75+Service!I75+Service!K75+Service!M75+Service!O75+Service!Q75</f>
        <v>9610</v>
      </c>
      <c r="J52" s="47">
        <f>'Parts &amp; Accessories'!B78+'Parts &amp; Accessories'!F78+'Parts &amp; Accessories'!H78+'Parts &amp; Accessories'!J78+'Parts &amp; Accessories'!L78+'Parts &amp; Accessories'!N78+'Parts &amp; Accessories'!P78</f>
        <v>39</v>
      </c>
      <c r="K52" s="13">
        <f>'Parts &amp; Accessories'!C78+'Parts &amp; Accessories'!G78+'Parts &amp; Accessories'!I78+'Parts &amp; Accessories'!K78+'Parts &amp; Accessories'!M78+'Parts &amp; Accessories'!O78+'Parts &amp; Accessories'!Q78</f>
        <v>4057</v>
      </c>
    </row>
    <row r="53" spans="1:11">
      <c r="A53" s="5" t="s">
        <v>40</v>
      </c>
      <c r="B53" s="47">
        <f>'Dealership Totals'!B54+'Dealership Totals'!J54+'Dealership Totals'!N54+'Dealership Totals'!R54+'Dealership Totals'!V54+'Dealership Totals'!Z54+'Dealership Totals'!AD54</f>
        <v>1014</v>
      </c>
      <c r="C53" s="13">
        <f>'Dealership Totals'!C54+'Dealership Totals'!K54+'Dealership Totals'!O54+'Dealership Totals'!S54+'Dealership Totals'!W54+'Dealership Totals'!AA54+'Dealership Totals'!AE54</f>
        <v>7506</v>
      </c>
      <c r="D53" s="47">
        <f>'New Vehicle'!B66+'New Vehicle'!F66+'New Vehicle'!H66+'New Vehicle'!J66+'New Vehicle'!L66+'New Vehicle'!N66+'New Vehicle'!P66</f>
        <v>355</v>
      </c>
      <c r="E53" s="13">
        <f>'New Vehicle'!C66+'New Vehicle'!G66+'New Vehicle'!I66+'New Vehicle'!K66+'New Vehicle'!M66+'New Vehicle'!O66+'New Vehicle'!Q66</f>
        <v>2627</v>
      </c>
      <c r="F53" s="47">
        <f>'Used Vehicle'!B73+'Used Vehicle'!F73+'Used Vehicle'!H73+'Used Vehicle'!J73+'Used Vehicle'!L73+'Used Vehicle'!N73+'Used Vehicle'!P73</f>
        <v>203</v>
      </c>
      <c r="G53" s="13">
        <f>'Used Vehicle'!C73+'Used Vehicle'!G73+'Used Vehicle'!I73+'Used Vehicle'!K73+'Used Vehicle'!M73+'Used Vehicle'!O73+'Used Vehicle'!Q73</f>
        <v>1501</v>
      </c>
      <c r="H53" s="47">
        <f>Service!B76+Service!F76+Service!H76+Service!J76+Service!L76+Service!N76+Service!P76</f>
        <v>304</v>
      </c>
      <c r="I53" s="13">
        <f>Service!C76+Service!G76+Service!I76+Service!K76+Service!M76+Service!O76+Service!Q76</f>
        <v>2252</v>
      </c>
      <c r="J53" s="47">
        <f>'Parts &amp; Accessories'!B79+'Parts &amp; Accessories'!F79+'Parts &amp; Accessories'!H79+'Parts &amp; Accessories'!J79+'Parts &amp; Accessories'!L79+'Parts &amp; Accessories'!N79+'Parts &amp; Accessories'!P79</f>
        <v>152</v>
      </c>
      <c r="K53" s="13">
        <f>'Parts &amp; Accessories'!C79+'Parts &amp; Accessories'!G79+'Parts &amp; Accessories'!I79+'Parts &amp; Accessories'!K79+'Parts &amp; Accessories'!M79+'Parts &amp; Accessories'!O79+'Parts &amp; Accessories'!Q79</f>
        <v>1126</v>
      </c>
    </row>
    <row r="54" spans="1:11">
      <c r="A54" s="5" t="s">
        <v>41</v>
      </c>
      <c r="B54" s="47">
        <f>'Dealership Totals'!B55+'Dealership Totals'!J55+'Dealership Totals'!N55+'Dealership Totals'!R55+'Dealership Totals'!V55+'Dealership Totals'!Z55+'Dealership Totals'!AD55</f>
        <v>5732</v>
      </c>
      <c r="C54" s="13">
        <f>'Dealership Totals'!C55+'Dealership Totals'!K55+'Dealership Totals'!O55+'Dealership Totals'!S55+'Dealership Totals'!W55+'Dealership Totals'!AA55+'Dealership Totals'!AE55</f>
        <v>53358</v>
      </c>
      <c r="D54" s="47">
        <f>'New Vehicle'!B67+'New Vehicle'!F67+'New Vehicle'!H67+'New Vehicle'!J67+'New Vehicle'!L67+'New Vehicle'!N67+'New Vehicle'!P67</f>
        <v>2006</v>
      </c>
      <c r="E54" s="13">
        <f>'New Vehicle'!C67+'New Vehicle'!G67+'New Vehicle'!I67+'New Vehicle'!K67+'New Vehicle'!M67+'New Vehicle'!O67+'New Vehicle'!Q67</f>
        <v>18675</v>
      </c>
      <c r="F54" s="47">
        <f>'Used Vehicle'!B74+'Used Vehicle'!F74+'Used Vehicle'!H74+'Used Vehicle'!J74+'Used Vehicle'!L74+'Used Vehicle'!N74+'Used Vehicle'!P74</f>
        <v>1720</v>
      </c>
      <c r="G54" s="13">
        <f>'Used Vehicle'!C74+'Used Vehicle'!G74+'Used Vehicle'!I74+'Used Vehicle'!K74+'Used Vehicle'!M74+'Used Vehicle'!O74+'Used Vehicle'!Q74</f>
        <v>16007</v>
      </c>
      <c r="H54" s="47">
        <f>Service!B77+Service!F77+Service!H77+Service!J77+Service!L77+Service!N77+Service!P77</f>
        <v>1146</v>
      </c>
      <c r="I54" s="13">
        <f>Service!C77+Service!G77+Service!I77+Service!K77+Service!M77+Service!O77+Service!Q77</f>
        <v>10672</v>
      </c>
      <c r="J54" s="47">
        <f>'Parts &amp; Accessories'!B80+'Parts &amp; Accessories'!F80+'Parts &amp; Accessories'!H80+'Parts &amp; Accessories'!J80+'Parts &amp; Accessories'!L80+'Parts &amp; Accessories'!N80+'Parts &amp; Accessories'!P80</f>
        <v>860</v>
      </c>
      <c r="K54" s="13">
        <f>'Parts &amp; Accessories'!C80+'Parts &amp; Accessories'!G80+'Parts &amp; Accessories'!I80+'Parts &amp; Accessories'!K80+'Parts &amp; Accessories'!M80+'Parts &amp; Accessories'!O80+'Parts &amp; Accessories'!Q80</f>
        <v>8004</v>
      </c>
    </row>
    <row r="55" spans="1:11">
      <c r="A55" s="5" t="s">
        <v>42</v>
      </c>
      <c r="B55" s="47">
        <f>'Dealership Totals'!B56+'Dealership Totals'!J56+'Dealership Totals'!N56+'Dealership Totals'!R56+'Dealership Totals'!V56+'Dealership Totals'!Z56+'Dealership Totals'!AD56</f>
        <v>9115</v>
      </c>
      <c r="C55" s="13">
        <f>'Dealership Totals'!C56+'Dealership Totals'!K56+'Dealership Totals'!O56+'Dealership Totals'!S56+'Dealership Totals'!W56+'Dealership Totals'!AA56+'Dealership Totals'!AE56</f>
        <v>95769</v>
      </c>
      <c r="D55" s="47">
        <f>'New Vehicle'!B68+'New Vehicle'!F68+'New Vehicle'!H68+'New Vehicle'!J68+'New Vehicle'!L68+'New Vehicle'!N68+'New Vehicle'!P68</f>
        <v>3318</v>
      </c>
      <c r="E55" s="13">
        <f>'New Vehicle'!C68+'New Vehicle'!G68+'New Vehicle'!I68+'New Vehicle'!K68+'New Vehicle'!M68+'New Vehicle'!O68+'New Vehicle'!Q68</f>
        <v>32232</v>
      </c>
      <c r="F55" s="47">
        <f>'Used Vehicle'!B75+'Used Vehicle'!F75+'Used Vehicle'!H75+'Used Vehicle'!J75+'Used Vehicle'!L75+'Used Vehicle'!N75+'Used Vehicle'!P75</f>
        <v>2505</v>
      </c>
      <c r="G55" s="13">
        <f>'Used Vehicle'!C75+'Used Vehicle'!G75+'Used Vehicle'!I75+'Used Vehicle'!K75+'Used Vehicle'!M75+'Used Vehicle'!O75+'Used Vehicle'!Q75</f>
        <v>28623</v>
      </c>
      <c r="H55" s="47">
        <f>Service!B78+Service!F78+Service!H78+Service!J78+Service!L78+Service!N78+Service!P78</f>
        <v>2267</v>
      </c>
      <c r="I55" s="13">
        <f>Service!C78+Service!G78+Service!I78+Service!K78+Service!M78+Service!O78+Service!Q78</f>
        <v>24508</v>
      </c>
      <c r="J55" s="47">
        <f>'Parts &amp; Accessories'!B81+'Parts &amp; Accessories'!F81+'Parts &amp; Accessories'!H81+'Parts &amp; Accessories'!J81+'Parts &amp; Accessories'!L81+'Parts &amp; Accessories'!N81+'Parts &amp; Accessories'!P81</f>
        <v>1025</v>
      </c>
      <c r="K55" s="13">
        <f>'Parts &amp; Accessories'!C81+'Parts &amp; Accessories'!G81+'Parts &amp; Accessories'!I81+'Parts &amp; Accessories'!K81+'Parts &amp; Accessories'!M81+'Parts &amp; Accessories'!O81+'Parts &amp; Accessories'!Q81</f>
        <v>10406</v>
      </c>
    </row>
    <row r="56" spans="1:11">
      <c r="A56" s="5" t="s">
        <v>43</v>
      </c>
      <c r="B56" s="47">
        <f>'Dealership Totals'!B57+'Dealership Totals'!J57+'Dealership Totals'!N57+'Dealership Totals'!R57+'Dealership Totals'!V57+'Dealership Totals'!Z57+'Dealership Totals'!AD57</f>
        <v>30640</v>
      </c>
      <c r="C56" s="13">
        <f>'Dealership Totals'!C57+'Dealership Totals'!K57+'Dealership Totals'!O57+'Dealership Totals'!S57+'Dealership Totals'!W57+'Dealership Totals'!AA57+'Dealership Totals'!AE57</f>
        <v>492141</v>
      </c>
      <c r="D56" s="47">
        <f>'New Vehicle'!B69+'New Vehicle'!F69+'New Vehicle'!H69+'New Vehicle'!J69+'New Vehicle'!L69+'New Vehicle'!N69+'New Vehicle'!P69</f>
        <v>10619.463137834307</v>
      </c>
      <c r="E56" s="13">
        <f>'New Vehicle'!C69+'New Vehicle'!G69+'New Vehicle'!I69+'New Vehicle'!K69+'New Vehicle'!M69+'New Vehicle'!O69+'New Vehicle'!Q69</f>
        <v>171906</v>
      </c>
      <c r="F56" s="47">
        <f>'Used Vehicle'!B76+'Used Vehicle'!F76+'Used Vehicle'!H76+'Used Vehicle'!J76+'Used Vehicle'!L76+'Used Vehicle'!N76+'Used Vehicle'!P76</f>
        <v>8290.8903877861285</v>
      </c>
      <c r="G56" s="13">
        <f>'Used Vehicle'!C76+'Used Vehicle'!G76+'Used Vehicle'!I76+'Used Vehicle'!K76+'Used Vehicle'!M76+'Used Vehicle'!O76+'Used Vehicle'!Q76</f>
        <v>123014</v>
      </c>
      <c r="H56" s="47">
        <f>Service!B79+Service!F79+Service!H79+Service!J79+Service!L79+Service!N79+Service!P79</f>
        <v>9089.698421875335</v>
      </c>
      <c r="I56" s="13">
        <f>Service!C79+Service!G79+Service!I79+Service!K79+Service!M79+Service!O79+Service!Q79</f>
        <v>148391</v>
      </c>
      <c r="J56" s="47">
        <f>'Parts &amp; Accessories'!B82+'Parts &amp; Accessories'!F82+'Parts &amp; Accessories'!H82+'Parts &amp; Accessories'!J82+'Parts &amp; Accessories'!L82+'Parts &amp; Accessories'!N82+'Parts &amp; Accessories'!P82</f>
        <v>2639.9480525042291</v>
      </c>
      <c r="K56" s="13">
        <f>'Parts &amp; Accessories'!C82+'Parts &amp; Accessories'!G82+'Parts &amp; Accessories'!I82+'Parts &amp; Accessories'!K82+'Parts &amp; Accessories'!M82+'Parts &amp; Accessories'!O82+'Parts &amp; Accessories'!Q82</f>
        <v>48830</v>
      </c>
    </row>
    <row r="57" spans="1:11">
      <c r="A57" s="5" t="s">
        <v>44</v>
      </c>
      <c r="B57" s="47">
        <f>'Dealership Totals'!B58+'Dealership Totals'!J58+'Dealership Totals'!N58+'Dealership Totals'!R58+'Dealership Totals'!V58+'Dealership Totals'!Z58+'Dealership Totals'!AD58</f>
        <v>45107</v>
      </c>
      <c r="C57" s="13">
        <f>'Dealership Totals'!C58+'Dealership Totals'!K58+'Dealership Totals'!O58+'Dealership Totals'!S58+'Dealership Totals'!W58+'Dealership Totals'!AA58+'Dealership Totals'!AE58</f>
        <v>556159</v>
      </c>
      <c r="D57" s="47">
        <f>'New Vehicle'!B70+'New Vehicle'!F70+'New Vehicle'!H70+'New Vehicle'!J70+'New Vehicle'!L70+'New Vehicle'!N70+'New Vehicle'!P70</f>
        <v>15705.386287231537</v>
      </c>
      <c r="E57" s="13">
        <f>'New Vehicle'!C70+'New Vehicle'!G70+'New Vehicle'!I70+'New Vehicle'!K70+'New Vehicle'!M70+'New Vehicle'!O70+'New Vehicle'!Q70</f>
        <v>183098</v>
      </c>
      <c r="F57" s="47">
        <f>'Used Vehicle'!B77+'Used Vehicle'!F77+'Used Vehicle'!H77+'Used Vehicle'!J77+'Used Vehicle'!L77+'Used Vehicle'!N77+'Used Vehicle'!P77</f>
        <v>11100.72373182587</v>
      </c>
      <c r="G57" s="13">
        <f>'Used Vehicle'!C77+'Used Vehicle'!G77+'Used Vehicle'!I77+'Used Vehicle'!K77+'Used Vehicle'!M77+'Used Vehicle'!O77+'Used Vehicle'!Q77</f>
        <v>157298</v>
      </c>
      <c r="H57" s="47">
        <f>Service!B80+Service!F80+Service!H80+Service!J80+Service!L80+Service!N80+Service!P80</f>
        <v>13201.57404552365</v>
      </c>
      <c r="I57" s="13">
        <f>Service!C80+Service!G80+Service!I80+Service!K80+Service!M80+Service!O80+Service!Q80</f>
        <v>153591</v>
      </c>
      <c r="J57" s="47">
        <f>'Parts &amp; Accessories'!B83+'Parts &amp; Accessories'!F83+'Parts &amp; Accessories'!H83+'Parts &amp; Accessories'!J83+'Parts &amp; Accessories'!L83+'Parts &amp; Accessories'!N83+'Parts &amp; Accessories'!P83</f>
        <v>5099.315935418942</v>
      </c>
      <c r="K57" s="13">
        <f>'Parts &amp; Accessories'!C83+'Parts &amp; Accessories'!G83+'Parts &amp; Accessories'!I83+'Parts &amp; Accessories'!K83+'Parts &amp; Accessories'!M83+'Parts &amp; Accessories'!O83+'Parts &amp; Accessories'!Q83</f>
        <v>62172</v>
      </c>
    </row>
    <row r="58" spans="1:11">
      <c r="A58" s="4" t="s">
        <v>57</v>
      </c>
      <c r="B58" s="24">
        <f>SUM(B50:B57)</f>
        <v>442517</v>
      </c>
      <c r="C58" s="25">
        <f>SUM(C50:C57)</f>
        <v>5237216</v>
      </c>
      <c r="D58" s="24">
        <f>'New Vehicle'!B71+'New Vehicle'!F71+'New Vehicle'!H71+'New Vehicle'!J71+'New Vehicle'!L71+'New Vehicle'!N71+'New Vehicle'!P71</f>
        <v>146724.05383182372</v>
      </c>
      <c r="E58" s="25">
        <f>'New Vehicle'!C71+'New Vehicle'!G71+'New Vehicle'!I71+'New Vehicle'!K71+'New Vehicle'!M71+'New Vehicle'!O71+'New Vehicle'!Q71</f>
        <v>1729130</v>
      </c>
      <c r="F58" s="24">
        <f>'Used Vehicle'!B78+'Used Vehicle'!F78+'Used Vehicle'!H78+'Used Vehicle'!J78+'Used Vehicle'!L78+'Used Vehicle'!N78+'Used Vehicle'!P78</f>
        <v>123792.98522515577</v>
      </c>
      <c r="G58" s="25">
        <f>'Used Vehicle'!C78+'Used Vehicle'!G78+'Used Vehicle'!I78+'Used Vehicle'!K78+'Used Vehicle'!M78+'Used Vehicle'!O78+'Used Vehicle'!Q78</f>
        <v>1471068</v>
      </c>
      <c r="H58" s="24">
        <f>Service!B81+Service!F81+Service!H81+Service!J81+Service!L81+Service!N81+Service!P81</f>
        <v>123869.13936532408</v>
      </c>
      <c r="I58" s="25">
        <f>Service!C81+Service!G81+Service!I81+Service!K81+Service!M81+Service!O81+Service!Q81</f>
        <v>1458107</v>
      </c>
      <c r="J58" s="24">
        <f>'Parts &amp; Accessories'!B84+'Parts &amp; Accessories'!F84+'Parts &amp; Accessories'!H84+'Parts &amp; Accessories'!J84+'Parts &amp; Accessories'!L84+'Parts &amp; Accessories'!N84+'Parts &amp; Accessories'!P84</f>
        <v>48130.821577696406</v>
      </c>
      <c r="K58" s="25">
        <f>'Parts &amp; Accessories'!C84+'Parts &amp; Accessories'!G84+'Parts &amp; Accessories'!I84+'Parts &amp; Accessories'!K84+'Parts &amp; Accessories'!M84+'Parts &amp; Accessories'!O84+'Parts &amp; Accessories'!Q84</f>
        <v>578911</v>
      </c>
    </row>
    <row r="59" spans="1:11">
      <c r="A59" s="8" t="s">
        <v>45</v>
      </c>
      <c r="B59" s="47">
        <f>'Dealership Totals'!B60+'Dealership Totals'!J60+'Dealership Totals'!N60+'Dealership Totals'!R60+'Dealership Totals'!V60+'Dealership Totals'!Z60+'Dealership Totals'!AD60</f>
        <v>0</v>
      </c>
      <c r="C59" s="13">
        <f>'Dealership Totals'!C60+'Dealership Totals'!K60+'Dealership Totals'!O60+'Dealership Totals'!S60+'Dealership Totals'!W60+'Dealership Totals'!AA60+'Dealership Totals'!AE60</f>
        <v>0</v>
      </c>
      <c r="D59" s="47">
        <f>'New Vehicle'!B72+'New Vehicle'!F72+'New Vehicle'!H72+'New Vehicle'!J72+'New Vehicle'!L72+'New Vehicle'!N72+'New Vehicle'!P72</f>
        <v>0</v>
      </c>
      <c r="E59" s="13">
        <f>'New Vehicle'!C72+'New Vehicle'!G72+'New Vehicle'!I72+'New Vehicle'!K72+'New Vehicle'!M72+'New Vehicle'!O72+'New Vehicle'!Q72</f>
        <v>0</v>
      </c>
      <c r="F59" s="47">
        <f>'Used Vehicle'!B79+'Used Vehicle'!F79+'Used Vehicle'!H79+'Used Vehicle'!J79+'Used Vehicle'!L79+'Used Vehicle'!N79+'Used Vehicle'!P79</f>
        <v>0</v>
      </c>
      <c r="G59" s="13">
        <f>'Used Vehicle'!C79+'Used Vehicle'!G79+'Used Vehicle'!I79+'Used Vehicle'!K79+'Used Vehicle'!M79+'Used Vehicle'!O79+'Used Vehicle'!Q79</f>
        <v>0</v>
      </c>
      <c r="H59" s="47">
        <f>Service!B82+Service!F82+Service!H82+Service!J82+Service!L82+Service!N82+Service!P82</f>
        <v>0</v>
      </c>
      <c r="I59" s="13">
        <f>Service!C82+Service!G82+Service!I82+Service!K82+Service!M82+Service!O82+Service!Q82</f>
        <v>0</v>
      </c>
      <c r="J59" s="47">
        <f>'Parts &amp; Accessories'!B85+'Parts &amp; Accessories'!F85+'Parts &amp; Accessories'!H85+'Parts &amp; Accessories'!J85+'Parts &amp; Accessories'!L85+'Parts &amp; Accessories'!N85+'Parts &amp; Accessories'!P85</f>
        <v>0</v>
      </c>
      <c r="K59" s="13">
        <f>'Parts &amp; Accessories'!C85+'Parts &amp; Accessories'!G85+'Parts &amp; Accessories'!I85+'Parts &amp; Accessories'!K85+'Parts &amp; Accessories'!M85+'Parts &amp; Accessories'!O85+'Parts &amp; Accessories'!Q85</f>
        <v>0</v>
      </c>
    </row>
    <row r="60" spans="1:11">
      <c r="A60" s="5" t="s">
        <v>46</v>
      </c>
      <c r="B60" s="47">
        <f>'Dealership Totals'!B61+'Dealership Totals'!J61+'Dealership Totals'!N61+'Dealership Totals'!R61+'Dealership Totals'!V61+'Dealership Totals'!Z61+'Dealership Totals'!AD61</f>
        <v>13581</v>
      </c>
      <c r="C60" s="13">
        <f>'Dealership Totals'!C61+'Dealership Totals'!K61+'Dealership Totals'!O61+'Dealership Totals'!S61+'Dealership Totals'!W61+'Dealership Totals'!AA61+'Dealership Totals'!AE61</f>
        <v>148769</v>
      </c>
      <c r="D60" s="47">
        <f>'New Vehicle'!B73+'New Vehicle'!F73+'New Vehicle'!H73+'New Vehicle'!J73+'New Vehicle'!L73+'New Vehicle'!N73+'New Vehicle'!P73</f>
        <v>3735.3778719941756</v>
      </c>
      <c r="E60" s="13">
        <f>'New Vehicle'!C73+'New Vehicle'!G73+'New Vehicle'!I73+'New Vehicle'!K73+'New Vehicle'!M73+'New Vehicle'!O73+'New Vehicle'!Q73</f>
        <v>34321</v>
      </c>
      <c r="F60" s="47">
        <f>'Used Vehicle'!B80+'Used Vehicle'!F80+'Used Vehicle'!H80+'Used Vehicle'!J80+'Used Vehicle'!L80+'Used Vehicle'!N80+'Used Vehicle'!P80</f>
        <v>990.46112502944266</v>
      </c>
      <c r="G60" s="13">
        <f>'Used Vehicle'!C80+'Used Vehicle'!G80+'Used Vehicle'!I80+'Used Vehicle'!K80+'Used Vehicle'!M80+'Used Vehicle'!O80+'Used Vehicle'!Q80</f>
        <v>14816</v>
      </c>
      <c r="H60" s="47">
        <f>Service!B83+Service!F83+Service!H83+Service!J83+Service!L83+Service!N83+Service!P83</f>
        <v>6977.7771996316997</v>
      </c>
      <c r="I60" s="13">
        <f>Service!C83+Service!G83+Service!I83+Service!K83+Service!M83+Service!O83+Service!Q83</f>
        <v>88040</v>
      </c>
      <c r="J60" s="47">
        <f>'Parts &amp; Accessories'!B86+'Parts &amp; Accessories'!F86+'Parts &amp; Accessories'!H86+'Parts &amp; Accessories'!J86+'Parts &amp; Accessories'!L86+'Parts &amp; Accessories'!N86+'Parts &amp; Accessories'!P86</f>
        <v>1877.3838033446821</v>
      </c>
      <c r="K60" s="13">
        <f>'Parts &amp; Accessories'!C86+'Parts &amp; Accessories'!G86+'Parts &amp; Accessories'!I86+'Parts &amp; Accessories'!K86+'Parts &amp; Accessories'!M86+'Parts &amp; Accessories'!O86+'Parts &amp; Accessories'!Q86</f>
        <v>11592</v>
      </c>
    </row>
    <row r="61" spans="1:11">
      <c r="A61" s="7" t="s">
        <v>47</v>
      </c>
      <c r="B61" s="47">
        <f>'Dealership Totals'!B62+'Dealership Totals'!J62+'Dealership Totals'!N62+'Dealership Totals'!R62+'Dealership Totals'!V62+'Dealership Totals'!Z62+'Dealership Totals'!AD62</f>
        <v>-13697</v>
      </c>
      <c r="C61" s="13">
        <f>'Dealership Totals'!C62+'Dealership Totals'!K62+'Dealership Totals'!O62+'Dealership Totals'!S62+'Dealership Totals'!W62+'Dealership Totals'!AA62+'Dealership Totals'!AE62</f>
        <v>501342</v>
      </c>
      <c r="D61" s="47">
        <f>'New Vehicle'!B74+'New Vehicle'!F74+'New Vehicle'!H74+'New Vehicle'!J74+'New Vehicle'!L74+'New Vehicle'!N74+'New Vehicle'!P74</f>
        <v>273.5547846941181</v>
      </c>
      <c r="E61" s="13">
        <f>'New Vehicle'!C74+'New Vehicle'!G74+'New Vehicle'!I74+'New Vehicle'!K74+'New Vehicle'!M74+'New Vehicle'!O74+'New Vehicle'!Q74</f>
        <v>116378</v>
      </c>
      <c r="F61" s="47">
        <f>'Used Vehicle'!B81+'Used Vehicle'!F81+'Used Vehicle'!H81+'Used Vehicle'!J81+'Used Vehicle'!L81+'Used Vehicle'!N81+'Used Vehicle'!P81</f>
        <v>962.69180531466122</v>
      </c>
      <c r="G61" s="13">
        <f>'Used Vehicle'!C81+'Used Vehicle'!G81+'Used Vehicle'!I81+'Used Vehicle'!K81+'Used Vehicle'!M81+'Used Vehicle'!O81+'Used Vehicle'!Q81</f>
        <v>76654</v>
      </c>
      <c r="H61" s="47">
        <f>Service!B84+Service!F84+Service!H84+Service!J84+Service!L84+Service!N84+Service!P84</f>
        <v>-13809.03567375431</v>
      </c>
      <c r="I61" s="13">
        <f>Service!C84+Service!G84+Service!I84+Service!K84+Service!M84+Service!O84+Service!Q84</f>
        <v>233185</v>
      </c>
      <c r="J61" s="47">
        <f>'Parts &amp; Accessories'!B87+'Parts &amp; Accessories'!F87+'Parts &amp; Accessories'!H87+'Parts &amp; Accessories'!J87+'Parts &amp; Accessories'!L87+'Parts &amp; Accessories'!N87+'Parts &amp; Accessories'!P87</f>
        <v>-1124.2109162544698</v>
      </c>
      <c r="K61" s="13">
        <f>'Parts &amp; Accessories'!C87+'Parts &amp; Accessories'!G87+'Parts &amp; Accessories'!I87+'Parts &amp; Accessories'!K87+'Parts &amp; Accessories'!M87+'Parts &amp; Accessories'!O87+'Parts &amp; Accessories'!Q87</f>
        <v>75125</v>
      </c>
    </row>
    <row r="62" spans="1:11">
      <c r="A62" s="7" t="s">
        <v>48</v>
      </c>
      <c r="B62" s="47">
        <f>'Dealership Totals'!B63+'Dealership Totals'!J63+'Dealership Totals'!N63+'Dealership Totals'!R63+'Dealership Totals'!V63+'Dealership Totals'!Z63+'Dealership Totals'!AD63</f>
        <v>50759</v>
      </c>
      <c r="C62" s="13">
        <f>'Dealership Totals'!C63+'Dealership Totals'!K63+'Dealership Totals'!O63+'Dealership Totals'!S63+'Dealership Totals'!W63+'Dealership Totals'!AA63+'Dealership Totals'!AE63</f>
        <v>556134</v>
      </c>
      <c r="D62" s="47">
        <f>'New Vehicle'!B75+'New Vehicle'!F75+'New Vehicle'!H75+'New Vehicle'!J75+'New Vehicle'!L75+'New Vehicle'!N75+'New Vehicle'!P75</f>
        <v>20103.921350720542</v>
      </c>
      <c r="E62" s="13">
        <f>'New Vehicle'!C75+'New Vehicle'!G75+'New Vehicle'!I75+'New Vehicle'!K75+'New Vehicle'!M75+'New Vehicle'!O75+'New Vehicle'!Q75</f>
        <v>226538</v>
      </c>
      <c r="F62" s="47">
        <f>'Used Vehicle'!B82+'Used Vehicle'!F82+'Used Vehicle'!H82+'Used Vehicle'!J82+'Used Vehicle'!L82+'Used Vehicle'!N82+'Used Vehicle'!P82</f>
        <v>15468.151260144323</v>
      </c>
      <c r="G62" s="13">
        <f>'Used Vehicle'!C82+'Used Vehicle'!G82+'Used Vehicle'!I82+'Used Vehicle'!K82+'Used Vehicle'!M82+'Used Vehicle'!O82+'Used Vehicle'!Q82</f>
        <v>173317</v>
      </c>
      <c r="H62" s="47">
        <f>Service!B85+Service!F85+Service!H85+Service!J85+Service!L85+Service!N85+Service!P85</f>
        <v>10955.644236740112</v>
      </c>
      <c r="I62" s="13">
        <f>Service!C85+Service!G85+Service!I85+Service!K85+Service!M85+Service!O85+Service!Q85</f>
        <v>114142</v>
      </c>
      <c r="J62" s="47">
        <f>'Parts &amp; Accessories'!B88+'Parts &amp; Accessories'!F88+'Parts &amp; Accessories'!H88+'Parts &amp; Accessories'!J88+'Parts &amp; Accessories'!L88+'Parts &amp; Accessories'!N88+'Parts &amp; Accessories'!P88</f>
        <v>4231.2831523950235</v>
      </c>
      <c r="K62" s="13">
        <f>'Parts &amp; Accessories'!C88+'Parts &amp; Accessories'!G88+'Parts &amp; Accessories'!I88+'Parts &amp; Accessories'!K88+'Parts &amp; Accessories'!M88+'Parts &amp; Accessories'!O88+'Parts &amp; Accessories'!Q88</f>
        <v>42137</v>
      </c>
    </row>
    <row r="63" spans="1:11">
      <c r="A63" s="7" t="s">
        <v>49</v>
      </c>
      <c r="B63" s="47">
        <f>'Dealership Totals'!B64+'Dealership Totals'!J64+'Dealership Totals'!N64+'Dealership Totals'!R64+'Dealership Totals'!V64+'Dealership Totals'!Z64+'Dealership Totals'!AD64</f>
        <v>43828</v>
      </c>
      <c r="C63" s="13">
        <f>'Dealership Totals'!C64+'Dealership Totals'!K64+'Dealership Totals'!O64+'Dealership Totals'!S64+'Dealership Totals'!W64+'Dealership Totals'!AA64+'Dealership Totals'!AE64</f>
        <v>440135</v>
      </c>
      <c r="D63" s="47">
        <f>'New Vehicle'!B76+'New Vehicle'!F76+'New Vehicle'!H76+'New Vehicle'!J76+'New Vehicle'!L76+'New Vehicle'!N76+'New Vehicle'!P76</f>
        <v>15106.037129825914</v>
      </c>
      <c r="E63" s="13">
        <f>'New Vehicle'!C76+'New Vehicle'!G76+'New Vehicle'!I76+'New Vehicle'!K76+'New Vehicle'!M76+'New Vehicle'!O76+'New Vehicle'!Q76</f>
        <v>151397</v>
      </c>
      <c r="F63" s="47">
        <f>'Used Vehicle'!B83+'Used Vehicle'!F83+'Used Vehicle'!H83+'Used Vehicle'!J83+'Used Vehicle'!L83+'Used Vehicle'!N83+'Used Vehicle'!P83</f>
        <v>10774.937303269737</v>
      </c>
      <c r="G63" s="13">
        <f>'Used Vehicle'!C83+'Used Vehicle'!G83+'Used Vehicle'!I83+'Used Vehicle'!K83+'Used Vehicle'!M83+'Used Vehicle'!O83+'Used Vehicle'!Q83</f>
        <v>112245</v>
      </c>
      <c r="H63" s="47">
        <f>Service!B86+Service!F86+Service!H86+Service!J86+Service!L86+Service!N86+Service!P86</f>
        <v>13412.347915462196</v>
      </c>
      <c r="I63" s="13">
        <f>Service!C86+Service!G86+Service!I86+Service!K86+Service!M86+Service!O86+Service!Q86</f>
        <v>132244</v>
      </c>
      <c r="J63" s="47">
        <f>'Parts &amp; Accessories'!B89+'Parts &amp; Accessories'!F89+'Parts &amp; Accessories'!H89+'Parts &amp; Accessories'!J89+'Parts &amp; Accessories'!L89+'Parts &amp; Accessories'!N89+'Parts &amp; Accessories'!P89</f>
        <v>4534.6776514421535</v>
      </c>
      <c r="K63" s="13">
        <f>'Parts &amp; Accessories'!C89+'Parts &amp; Accessories'!G89+'Parts &amp; Accessories'!I89+'Parts &amp; Accessories'!K89+'Parts &amp; Accessories'!M89+'Parts &amp; Accessories'!O89+'Parts &amp; Accessories'!Q89</f>
        <v>44249</v>
      </c>
    </row>
    <row r="64" spans="1:11">
      <c r="A64" s="4" t="s">
        <v>58</v>
      </c>
      <c r="B64" s="24">
        <f>SUM(B58:B63)</f>
        <v>536988</v>
      </c>
      <c r="C64" s="25">
        <f>SUM(C58:C63)</f>
        <v>6883596</v>
      </c>
      <c r="D64" s="24">
        <f>'New Vehicle'!B77+'New Vehicle'!F77+'New Vehicle'!H77+'New Vehicle'!J77+'New Vehicle'!L77+'New Vehicle'!N77+'New Vehicle'!P77</f>
        <v>185942.94496905847</v>
      </c>
      <c r="E64" s="25">
        <f>'New Vehicle'!C77+'New Vehicle'!G77+'New Vehicle'!I77+'New Vehicle'!K77+'New Vehicle'!M77+'New Vehicle'!O77+'New Vehicle'!Q77</f>
        <v>2257764</v>
      </c>
      <c r="F64" s="24">
        <f>'Used Vehicle'!B84+'Used Vehicle'!F84+'Used Vehicle'!H84+'Used Vehicle'!J84+'Used Vehicle'!L84+'Used Vehicle'!N84+'Used Vehicle'!P84</f>
        <v>151989.22671891394</v>
      </c>
      <c r="G64" s="25">
        <f>'Used Vehicle'!C84+'Used Vehicle'!G84+'Used Vehicle'!I84+'Used Vehicle'!K84+'Used Vehicle'!M84+'Used Vehicle'!O84+'Used Vehicle'!Q84</f>
        <v>1848100</v>
      </c>
      <c r="H64" s="24">
        <f>Service!B87+Service!F87+Service!H87+Service!J87+Service!L87+Service!N87+Service!P87</f>
        <v>141405.87304340379</v>
      </c>
      <c r="I64" s="25">
        <f>Service!C87+Service!G87+Service!I87+Service!K87+Service!M87+Service!O87+Service!Q87</f>
        <v>2025718</v>
      </c>
      <c r="J64" s="24">
        <f>'Parts &amp; Accessories'!B90+'Parts &amp; Accessories'!F90+'Parts &amp; Accessories'!H90+'Parts &amp; Accessories'!J90+'Parts &amp; Accessories'!L90+'Parts &amp; Accessories'!N90+'Parts &amp; Accessories'!P90</f>
        <v>57649.955268623795</v>
      </c>
      <c r="K64" s="25">
        <f>'Parts &amp; Accessories'!C90+'Parts &amp; Accessories'!G90+'Parts &amp; Accessories'!I90+'Parts &amp; Accessories'!K90+'Parts &amp; Accessories'!M90+'Parts &amp; Accessories'!O90+'Parts &amp; Accessories'!Q90</f>
        <v>752014</v>
      </c>
    </row>
    <row r="65" spans="1:11">
      <c r="A65" s="11" t="s">
        <v>59</v>
      </c>
      <c r="B65" s="16">
        <f>SUM(B64+B49+B32)</f>
        <v>2738311</v>
      </c>
      <c r="C65" s="17">
        <f>SUM(C64+C49+C32)</f>
        <v>31496527</v>
      </c>
      <c r="D65" s="16">
        <f>'New Vehicle'!B78+'New Vehicle'!F78+'New Vehicle'!H78+'New Vehicle'!J78+'New Vehicle'!L78+'New Vehicle'!N78+'New Vehicle'!P78</f>
        <v>943992</v>
      </c>
      <c r="E65" s="16">
        <f>'New Vehicle'!C78+'New Vehicle'!G78+'New Vehicle'!I78+'New Vehicle'!K78+'New Vehicle'!M78+'New Vehicle'!O78+'New Vehicle'!Q78</f>
        <v>10930464</v>
      </c>
      <c r="F65" s="16">
        <f>'Used Vehicle'!B85+'Used Vehicle'!F85+'Used Vehicle'!H85+'Used Vehicle'!J85+'Used Vehicle'!L85+'Used Vehicle'!N85+'Used Vehicle'!P85</f>
        <v>736173</v>
      </c>
      <c r="G65" s="17">
        <f>'Used Vehicle'!C85+'Used Vehicle'!G85+'Used Vehicle'!I85+'Used Vehicle'!K85+'Used Vehicle'!M85+'Used Vehicle'!O85+'Used Vehicle'!Q85</f>
        <v>8637155</v>
      </c>
      <c r="H65" s="16">
        <f>Service!B88+Service!F88+Service!H88+Service!J88+Service!L88+Service!N88+Service!P88</f>
        <v>749817</v>
      </c>
      <c r="I65" s="17">
        <f>Service!C88+Service!G88+Service!I88+Service!K88+Service!M88+Service!O88+Service!Q88</f>
        <v>8505202</v>
      </c>
      <c r="J65" s="16">
        <f>'Parts &amp; Accessories'!B91+'Parts &amp; Accessories'!F91+'Parts &amp; Accessories'!H91+'Parts &amp; Accessories'!J91+'Parts &amp; Accessories'!L91+'Parts &amp; Accessories'!N91+'Parts &amp; Accessories'!P91</f>
        <v>309219</v>
      </c>
      <c r="K65" s="17">
        <f>'Parts &amp; Accessories'!C91+'Parts &amp; Accessories'!G91+'Parts &amp; Accessories'!I91+'Parts &amp; Accessories'!K91+'Parts &amp; Accessories'!M91+'Parts &amp; Accessories'!O91+'Parts &amp; Accessories'!Q91</f>
        <v>3424976</v>
      </c>
    </row>
    <row r="66" spans="1:11">
      <c r="A66" s="4"/>
      <c r="B66" s="24"/>
      <c r="C66" s="25"/>
      <c r="D66" s="24">
        <f>'New Vehicle'!B79+'New Vehicle'!F79+'New Vehicle'!H79+'New Vehicle'!J79+'New Vehicle'!L79+'New Vehicle'!N79+'New Vehicle'!P79</f>
        <v>0</v>
      </c>
      <c r="E66" s="25">
        <f>'New Vehicle'!C79+'New Vehicle'!G79+'New Vehicle'!I79+'New Vehicle'!K79+'New Vehicle'!M79+'New Vehicle'!O79+'New Vehicle'!Q79</f>
        <v>0</v>
      </c>
      <c r="F66" s="24"/>
      <c r="G66" s="25"/>
      <c r="H66" s="24"/>
      <c r="I66" s="25"/>
      <c r="J66" s="24"/>
      <c r="K66" s="25"/>
    </row>
    <row r="67" spans="1:11">
      <c r="A67" s="12" t="s">
        <v>60</v>
      </c>
      <c r="B67" s="20">
        <f>B65+B22</f>
        <v>3977958</v>
      </c>
      <c r="C67" s="21">
        <f>C65+C22</f>
        <v>44792010</v>
      </c>
      <c r="D67" s="20">
        <f>'New Vehicle'!B80+'New Vehicle'!F80+'New Vehicle'!H80+'New Vehicle'!J80+'New Vehicle'!L80+'New Vehicle'!N80+'New Vehicle'!P80</f>
        <v>1417247</v>
      </c>
      <c r="E67" s="21">
        <f>'New Vehicle'!C80+'New Vehicle'!G80+'New Vehicle'!I80+'New Vehicle'!K80+'New Vehicle'!M80+'New Vehicle'!O80+'New Vehicle'!Q80</f>
        <v>15940833</v>
      </c>
      <c r="F67" s="20">
        <f>'Used Vehicle'!B87+'Used Vehicle'!F87+'Used Vehicle'!H87+'Used Vehicle'!J87+'Used Vehicle'!L87+'Used Vehicle'!N87+'Used Vehicle'!P87</f>
        <v>1275057</v>
      </c>
      <c r="G67" s="21">
        <f>'Used Vehicle'!C87+'Used Vehicle'!G87+'Used Vehicle'!I87+'Used Vehicle'!K87+'Used Vehicle'!M87+'Used Vehicle'!O87+'Used Vehicle'!Q87</f>
        <v>14350738</v>
      </c>
      <c r="H67" s="20">
        <f>Service!B90+Service!F90+Service!H90+Service!J90+Service!L90+Service!N90+Service!P90</f>
        <v>916281</v>
      </c>
      <c r="I67" s="21">
        <f>Service!C90+Service!G90+Service!I90+Service!K90+Service!M90+Service!O90+Service!Q90</f>
        <v>10359115</v>
      </c>
      <c r="J67" s="20">
        <f>'Parts &amp; Accessories'!B93+'Parts &amp; Accessories'!F93+'Parts &amp; Accessories'!H93+'Parts &amp; Accessories'!J93+'Parts &amp; Accessories'!L93+'Parts &amp; Accessories'!N93+'Parts &amp; Accessories'!P93</f>
        <v>369373</v>
      </c>
      <c r="K67" s="21">
        <f>'Parts &amp; Accessories'!C93+'Parts &amp; Accessories'!G93+'Parts &amp; Accessories'!I93+'Parts &amp; Accessories'!K93+'Parts &amp; Accessories'!M93+'Parts &amp; Accessories'!O93+'Parts &amp; Accessories'!Q93</f>
        <v>4141324</v>
      </c>
    </row>
    <row r="68" spans="1:11">
      <c r="A68" s="4"/>
      <c r="B68" s="22"/>
      <c r="C68" s="23"/>
      <c r="D68" s="22"/>
      <c r="E68" s="23"/>
      <c r="F68" s="22"/>
      <c r="G68" s="23"/>
      <c r="H68" s="22"/>
      <c r="I68" s="23"/>
      <c r="J68" s="22"/>
      <c r="K68" s="23"/>
    </row>
    <row r="69" spans="1:11">
      <c r="A69" s="4" t="s">
        <v>62</v>
      </c>
      <c r="B69" s="24">
        <f t="shared" ref="B69:K69" si="0">B8-B67</f>
        <v>1248784</v>
      </c>
      <c r="C69" s="25">
        <f t="shared" si="0"/>
        <v>14752073</v>
      </c>
      <c r="D69" s="24">
        <f>D8-D67</f>
        <v>494612</v>
      </c>
      <c r="E69" s="25">
        <f t="shared" si="0"/>
        <v>3306752</v>
      </c>
      <c r="F69" s="24">
        <f>F8-F67</f>
        <v>-202473</v>
      </c>
      <c r="G69" s="25">
        <f>G8-G67</f>
        <v>-1021452</v>
      </c>
      <c r="H69" s="24">
        <f t="shared" si="0"/>
        <v>40633</v>
      </c>
      <c r="I69" s="25">
        <f t="shared" si="0"/>
        <v>1588145</v>
      </c>
      <c r="J69" s="24">
        <f t="shared" si="0"/>
        <v>201003</v>
      </c>
      <c r="K69" s="25">
        <f t="shared" si="0"/>
        <v>2311568</v>
      </c>
    </row>
    <row r="70" spans="1:11">
      <c r="A70" s="9" t="s">
        <v>61</v>
      </c>
      <c r="B70" s="47">
        <f>'Dealership Totals'!B71+'Dealership Totals'!J71+'Dealership Totals'!N71+'Dealership Totals'!R71+'Dealership Totals'!V71+'Dealership Totals'!Z71+'Dealership Totals'!AD71</f>
        <v>613122</v>
      </c>
      <c r="C70" s="13">
        <f>'Dealership Totals'!C71+'Dealership Totals'!K71+'Dealership Totals'!O71+'Dealership Totals'!S71+'Dealership Totals'!W71+'Dealership Totals'!AA71+'Dealership Totals'!AE71</f>
        <v>6123670</v>
      </c>
      <c r="D70" s="47">
        <f>'New Vehicle'!B83+'New Vehicle'!F83+'New Vehicle'!H83+'New Vehicle'!J83+'New Vehicle'!L83+'New Vehicle'!N83+'New Vehicle'!P83</f>
        <v>194499</v>
      </c>
      <c r="E70" s="13">
        <f>'New Vehicle'!C83+'New Vehicle'!G83+'New Vehicle'!I83+'New Vehicle'!K83+'New Vehicle'!M83+'New Vehicle'!O83+'New Vehicle'!Q83</f>
        <v>1964802</v>
      </c>
      <c r="F70" s="47">
        <f>'Used Vehicle'!B90+'Used Vehicle'!F90+'Used Vehicle'!H90+'Used Vehicle'!J90+'Used Vehicle'!L90+'Used Vehicle'!N90+'Used Vehicle'!P90</f>
        <v>93789</v>
      </c>
      <c r="G70" s="13">
        <f>'Used Vehicle'!C90+'Used Vehicle'!G90+'Used Vehicle'!I90+'Used Vehicle'!K90+'Used Vehicle'!M90+'Used Vehicle'!O90+'Used Vehicle'!Q90</f>
        <v>1199660</v>
      </c>
      <c r="H70" s="47">
        <f>Service!B93+Service!F93+Service!H93+Service!J93+Service!L93+Service!N93+Service!P93</f>
        <v>0</v>
      </c>
      <c r="I70" s="13">
        <f>Service!C93+Service!G93+Service!I93+Service!K93+Service!M93+Service!O93+Service!Q93</f>
        <v>0</v>
      </c>
      <c r="J70" s="47">
        <f>'Parts &amp; Accessories'!B96+'Parts &amp; Accessories'!F96+'Parts &amp; Accessories'!H96+'Parts &amp; Accessories'!J96+'Parts &amp; Accessories'!L96+'Parts &amp; Accessories'!N96+'Parts &amp; Accessories'!P96</f>
        <v>0</v>
      </c>
      <c r="K70" s="13">
        <f>'Parts &amp; Accessories'!C96+'Parts &amp; Accessories'!G96+'Parts &amp; Accessories'!I96+'Parts &amp; Accessories'!K96+'Parts &amp; Accessories'!M96+'Parts &amp; Accessories'!O96+'Parts &amp; Accessories'!Q96</f>
        <v>0</v>
      </c>
    </row>
    <row r="71" spans="1:11">
      <c r="A71" s="4" t="s">
        <v>259</v>
      </c>
      <c r="B71" s="24">
        <f>SUM(B69:B70)</f>
        <v>1861906</v>
      </c>
      <c r="C71" s="25">
        <f t="shared" ref="C71:K71" si="1">SUM(C69:C70)</f>
        <v>20875743</v>
      </c>
      <c r="D71" s="24">
        <f t="shared" si="1"/>
        <v>689111</v>
      </c>
      <c r="E71" s="25">
        <f t="shared" si="1"/>
        <v>5271554</v>
      </c>
      <c r="F71" s="24">
        <f t="shared" si="1"/>
        <v>-108684</v>
      </c>
      <c r="G71" s="25">
        <f t="shared" si="1"/>
        <v>178208</v>
      </c>
      <c r="H71" s="24">
        <f t="shared" si="1"/>
        <v>40633</v>
      </c>
      <c r="I71" s="25">
        <f t="shared" si="1"/>
        <v>1588145</v>
      </c>
      <c r="J71" s="24">
        <f t="shared" si="1"/>
        <v>201003</v>
      </c>
      <c r="K71" s="25">
        <f t="shared" si="1"/>
        <v>2311568</v>
      </c>
    </row>
    <row r="72" spans="1:11">
      <c r="A72" s="10" t="s">
        <v>51</v>
      </c>
      <c r="B72" s="18">
        <f>'Dealership Totals'!B75+'Dealership Totals'!J75+'Dealership Totals'!N75+'Dealership Totals'!R75+'Dealership Totals'!V75+'Dealership Totals'!Z75+'Dealership Totals'!AD75</f>
        <v>0</v>
      </c>
      <c r="C72" s="19">
        <f>'Dealership Totals'!C75+'Dealership Totals'!K75+'Dealership Totals'!O75+'Dealership Totals'!S75+'Dealership Totals'!W75+'Dealership Totals'!AA75+'Dealership Totals'!AE75</f>
        <v>0</v>
      </c>
      <c r="D72" s="18"/>
      <c r="E72" s="19"/>
      <c r="F72" s="18"/>
      <c r="G72" s="19"/>
      <c r="H72" s="18"/>
      <c r="I72" s="19"/>
      <c r="J72" s="18"/>
      <c r="K72" s="19"/>
    </row>
    <row r="73" spans="1:11">
      <c r="A73" s="12" t="s">
        <v>70</v>
      </c>
      <c r="B73" s="20">
        <f>B71-B72</f>
        <v>1861906</v>
      </c>
      <c r="C73" s="21">
        <f t="shared" ref="C73:K73" si="2">C71-C72</f>
        <v>20875743</v>
      </c>
      <c r="D73" s="20">
        <f t="shared" si="2"/>
        <v>689111</v>
      </c>
      <c r="E73" s="21">
        <f t="shared" si="2"/>
        <v>5271554</v>
      </c>
      <c r="F73" s="20">
        <f t="shared" si="2"/>
        <v>-108684</v>
      </c>
      <c r="G73" s="21">
        <f t="shared" si="2"/>
        <v>178208</v>
      </c>
      <c r="H73" s="20">
        <f t="shared" si="2"/>
        <v>40633</v>
      </c>
      <c r="I73" s="21">
        <f t="shared" si="2"/>
        <v>1588145</v>
      </c>
      <c r="J73" s="20">
        <f t="shared" si="2"/>
        <v>201003</v>
      </c>
      <c r="K73" s="21">
        <f t="shared" si="2"/>
        <v>2311568</v>
      </c>
    </row>
  </sheetData>
  <mergeCells count="5">
    <mergeCell ref="B3:C3"/>
    <mergeCell ref="D3:E3"/>
    <mergeCell ref="F3:G3"/>
    <mergeCell ref="H3:I3"/>
    <mergeCell ref="J3:K3"/>
  </mergeCells>
  <printOptions horizontalCentered="1"/>
  <pageMargins left="0.1" right="0.1" top="0.1" bottom="0.1" header="0.1" footer="0.1"/>
  <pageSetup scale="5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C5EF78-892F-494E-B0F0-C70039332E94}">
  <dimension ref="A1:M162"/>
  <sheetViews>
    <sheetView topLeftCell="A8" workbookViewId="0">
      <selection activeCell="D14" sqref="D14"/>
    </sheetView>
  </sheetViews>
  <sheetFormatPr defaultRowHeight="15"/>
  <cols>
    <col min="2" max="2" width="23.5703125" bestFit="1" customWidth="1"/>
    <col min="3" max="3" width="15.85546875" customWidth="1"/>
    <col min="4" max="4" width="43.28515625" bestFit="1" customWidth="1"/>
    <col min="5" max="5" width="17.28515625" customWidth="1"/>
    <col min="6" max="6" width="18.28515625" bestFit="1" customWidth="1"/>
    <col min="7" max="7" width="18.28515625" customWidth="1"/>
    <col min="8" max="8" width="16.28515625" customWidth="1"/>
    <col min="9" max="9" width="6.5703125" bestFit="1" customWidth="1"/>
    <col min="12" max="12" width="14" bestFit="1" customWidth="1"/>
    <col min="13" max="13" width="9.85546875" bestFit="1" customWidth="1"/>
  </cols>
  <sheetData>
    <row r="1" spans="1:8">
      <c r="C1" s="327" t="s">
        <v>473</v>
      </c>
      <c r="D1" s="327"/>
      <c r="E1" s="327"/>
      <c r="F1" s="327"/>
      <c r="G1" s="327"/>
      <c r="H1" s="327"/>
    </row>
    <row r="2" spans="1:8">
      <c r="A2" t="s">
        <v>444</v>
      </c>
      <c r="B2" s="279" t="s">
        <v>548</v>
      </c>
      <c r="D2" t="s">
        <v>408</v>
      </c>
      <c r="E2" s="269">
        <v>0</v>
      </c>
      <c r="F2" s="269">
        <v>0</v>
      </c>
      <c r="G2" s="269">
        <v>0</v>
      </c>
    </row>
    <row r="3" spans="1:8">
      <c r="D3" t="s">
        <v>407</v>
      </c>
      <c r="E3" s="147" t="e">
        <f>SUM(E22:E1048576)</f>
        <v>#VALUE!</v>
      </c>
      <c r="F3" s="147" t="e">
        <f>SUM(F22:F1048576)</f>
        <v>#VALUE!</v>
      </c>
      <c r="G3" s="147" t="e">
        <f>SUM(G22:G1048576)</f>
        <v>#VALUE!</v>
      </c>
    </row>
    <row r="4" spans="1:8">
      <c r="D4" t="s">
        <v>320</v>
      </c>
      <c r="E4" s="147" t="e">
        <f>+E2-E3</f>
        <v>#VALUE!</v>
      </c>
      <c r="F4" s="147" t="e">
        <f>+F2-F3</f>
        <v>#VALUE!</v>
      </c>
      <c r="G4" s="147" t="e">
        <f>+G2-G3</f>
        <v>#VALUE!</v>
      </c>
    </row>
    <row r="5" spans="1:8" ht="23.25">
      <c r="A5" s="285" t="s">
        <v>425</v>
      </c>
      <c r="B5" s="123" t="s">
        <v>426</v>
      </c>
      <c r="E5" s="147"/>
      <c r="F5" s="147"/>
      <c r="G5" s="147"/>
    </row>
    <row r="6" spans="1:8">
      <c r="A6" s="212" t="s">
        <v>432</v>
      </c>
      <c r="B6" s="212"/>
      <c r="E6" s="147"/>
      <c r="F6" s="147"/>
      <c r="G6" s="147"/>
    </row>
    <row r="7" spans="1:8">
      <c r="A7" s="286">
        <v>4</v>
      </c>
      <c r="B7" s="284" t="s">
        <v>434</v>
      </c>
      <c r="C7" s="287"/>
      <c r="D7" s="159"/>
      <c r="E7" s="281">
        <v>2</v>
      </c>
      <c r="F7" s="281">
        <v>2</v>
      </c>
      <c r="G7" s="281">
        <v>2</v>
      </c>
    </row>
    <row r="8" spans="1:8" ht="26.25">
      <c r="A8" s="286">
        <v>5</v>
      </c>
      <c r="B8" s="280" t="s">
        <v>433</v>
      </c>
      <c r="C8" s="287" t="s">
        <v>436</v>
      </c>
      <c r="D8" s="159"/>
      <c r="E8" s="281">
        <v>1</v>
      </c>
      <c r="F8" s="281">
        <v>1</v>
      </c>
      <c r="G8" s="281">
        <v>1</v>
      </c>
    </row>
    <row r="9" spans="1:8" ht="26.25">
      <c r="A9" s="286">
        <v>3</v>
      </c>
      <c r="B9" s="280" t="s">
        <v>424</v>
      </c>
      <c r="C9" s="287" t="s">
        <v>435</v>
      </c>
      <c r="D9" s="159"/>
      <c r="E9" s="281">
        <v>400.5</v>
      </c>
      <c r="F9" s="281">
        <v>400.5</v>
      </c>
      <c r="G9" s="281">
        <v>400.5</v>
      </c>
    </row>
    <row r="10" spans="1:8">
      <c r="B10" s="280"/>
      <c r="C10" s="287"/>
      <c r="D10" s="159"/>
      <c r="E10" s="288"/>
      <c r="F10" s="288"/>
      <c r="G10" s="288"/>
    </row>
    <row r="11" spans="1:8">
      <c r="A11" s="212" t="s">
        <v>431</v>
      </c>
      <c r="C11" s="287"/>
      <c r="D11" s="159"/>
      <c r="E11" s="288"/>
      <c r="F11" s="288"/>
      <c r="G11" s="288"/>
    </row>
    <row r="12" spans="1:8">
      <c r="C12" s="287"/>
      <c r="D12" s="159"/>
      <c r="E12" s="288"/>
      <c r="F12" s="288"/>
      <c r="G12" s="288"/>
    </row>
    <row r="13" spans="1:8" ht="15" customHeight="1">
      <c r="A13" s="286">
        <v>1</v>
      </c>
      <c r="B13" s="280" t="s">
        <v>423</v>
      </c>
      <c r="C13" s="287"/>
      <c r="D13" s="281" t="s">
        <v>549</v>
      </c>
      <c r="E13" s="283"/>
      <c r="F13" s="283"/>
      <c r="G13" s="283"/>
    </row>
    <row r="14" spans="1:8" ht="28.5" customHeight="1">
      <c r="A14" s="286">
        <v>4</v>
      </c>
      <c r="B14" s="284" t="s">
        <v>434</v>
      </c>
      <c r="C14" s="287"/>
      <c r="D14" s="283"/>
      <c r="E14" s="281">
        <v>2</v>
      </c>
      <c r="F14" s="281">
        <v>2</v>
      </c>
      <c r="G14" s="281">
        <v>2</v>
      </c>
    </row>
    <row r="15" spans="1:8" ht="28.5" customHeight="1">
      <c r="A15" s="286">
        <v>5</v>
      </c>
      <c r="B15" s="280" t="s">
        <v>433</v>
      </c>
      <c r="C15" s="287" t="s">
        <v>437</v>
      </c>
      <c r="D15" s="283"/>
      <c r="E15" s="281">
        <v>3</v>
      </c>
      <c r="F15" s="281">
        <v>3</v>
      </c>
      <c r="G15" s="281">
        <v>3</v>
      </c>
    </row>
    <row r="16" spans="1:8" ht="28.5" customHeight="1">
      <c r="A16" s="286">
        <v>2</v>
      </c>
      <c r="B16" s="280" t="s">
        <v>427</v>
      </c>
      <c r="C16" s="287"/>
      <c r="D16" s="283"/>
      <c r="E16" s="281" t="s">
        <v>411</v>
      </c>
      <c r="F16" s="281" t="s">
        <v>410</v>
      </c>
      <c r="G16" s="281" t="s">
        <v>438</v>
      </c>
    </row>
    <row r="17" spans="1:12" ht="39" customHeight="1">
      <c r="A17" s="286">
        <v>3</v>
      </c>
      <c r="B17" s="280" t="s">
        <v>424</v>
      </c>
      <c r="C17" s="287"/>
      <c r="D17" s="282"/>
      <c r="E17" s="282" t="s">
        <v>428</v>
      </c>
      <c r="F17" s="282" t="s">
        <v>428</v>
      </c>
      <c r="G17" s="282" t="s">
        <v>428</v>
      </c>
    </row>
    <row r="18" spans="1:12" ht="26.25" customHeight="1"/>
    <row r="19" spans="1:12">
      <c r="A19" s="289" t="s">
        <v>439</v>
      </c>
      <c r="B19" t="s">
        <v>440</v>
      </c>
      <c r="C19" s="174"/>
    </row>
    <row r="20" spans="1:12">
      <c r="E20" s="268">
        <v>2024</v>
      </c>
      <c r="F20" s="268">
        <v>2023</v>
      </c>
      <c r="G20" s="268">
        <v>2022</v>
      </c>
      <c r="H20" s="267" t="s">
        <v>412</v>
      </c>
    </row>
    <row r="21" spans="1:12">
      <c r="C21" s="222" t="s">
        <v>405</v>
      </c>
      <c r="D21" s="222" t="s">
        <v>406</v>
      </c>
      <c r="E21" s="267" t="s">
        <v>409</v>
      </c>
      <c r="F21" s="267" t="s">
        <v>409</v>
      </c>
      <c r="G21" s="267" t="s">
        <v>409</v>
      </c>
      <c r="H21" s="267" t="s">
        <v>430</v>
      </c>
    </row>
    <row r="22" spans="1:12">
      <c r="C22" s="292" t="s">
        <v>489</v>
      </c>
      <c r="D22" s="293" t="s">
        <v>490</v>
      </c>
      <c r="E22" s="269" t="e">
        <f>ROUND([1]!TBLink(D$13,E$16,C22,E$14,E$15),0)</f>
        <v>#VALUE!</v>
      </c>
      <c r="F22" s="269" t="e">
        <f>IF(C22="","",ROUND([1]!TBLink(D$13,F$16,C22,F$14,F$15),0))</f>
        <v>#VALUE!</v>
      </c>
      <c r="G22" s="269" t="e">
        <f>IF(C22="","",ROUND([1]!TBLink(D$13,G$16,C22,G$14,G$15),0))</f>
        <v>#VALUE!</v>
      </c>
      <c r="H22" s="279" t="s">
        <v>445</v>
      </c>
      <c r="J22" s="1"/>
    </row>
    <row r="23" spans="1:12">
      <c r="C23" s="292" t="s">
        <v>513</v>
      </c>
      <c r="D23" s="293" t="s">
        <v>514</v>
      </c>
      <c r="E23" s="269" t="e">
        <f>ROUND([1]!TBLink(D$13,E$16,C23,E$14,E$15),0)</f>
        <v>#VALUE!</v>
      </c>
      <c r="F23" s="269" t="e">
        <f>IF(C23="","",ROUND([1]!TBLink(D$13,F$16,C23,F$14,F$15),0))</f>
        <v>#VALUE!</v>
      </c>
      <c r="G23" s="269" t="e">
        <f>IF(C23="","",ROUND([1]!TBLink(D$13,G$16,C23,G$14,G$15),0))</f>
        <v>#VALUE!</v>
      </c>
      <c r="H23" s="279" t="s">
        <v>445</v>
      </c>
      <c r="J23" s="298"/>
    </row>
    <row r="24" spans="1:12">
      <c r="C24" s="292" t="s">
        <v>519</v>
      </c>
      <c r="D24" s="293" t="s">
        <v>520</v>
      </c>
      <c r="E24" s="269" t="e">
        <f>ROUND([1]!TBLink(D$13,E$16,C24,E$14,E$15),0)</f>
        <v>#VALUE!</v>
      </c>
      <c r="F24" s="269" t="e">
        <f>IF(C24="","",ROUND([1]!TBLink(D$13,F$16,C24,F$14,F$15),0))</f>
        <v>#VALUE!</v>
      </c>
      <c r="G24" s="269" t="e">
        <f>IF(C24="","",ROUND([1]!TBLink(D$13,G$16,C24,G$14,G$15),0))</f>
        <v>#VALUE!</v>
      </c>
      <c r="H24" s="279" t="s">
        <v>445</v>
      </c>
    </row>
    <row r="25" spans="1:12">
      <c r="C25" s="292" t="s">
        <v>521</v>
      </c>
      <c r="D25" s="293" t="s">
        <v>522</v>
      </c>
      <c r="E25" s="269" t="e">
        <f>ROUND([1]!TBLink(D$13,E$16,C25,E$14,E$15),0)</f>
        <v>#VALUE!</v>
      </c>
      <c r="F25" s="269" t="e">
        <f>IF(C25="","",ROUND([1]!TBLink(D$13,F$16,C25,F$14,F$15),0))</f>
        <v>#VALUE!</v>
      </c>
      <c r="G25" s="269" t="e">
        <f>IF(C25="","",ROUND([1]!TBLink(D$13,G$16,C25,G$14,G$15),0))</f>
        <v>#VALUE!</v>
      </c>
      <c r="H25" s="279" t="s">
        <v>445</v>
      </c>
    </row>
    <row r="26" spans="1:12">
      <c r="C26" s="292" t="s">
        <v>534</v>
      </c>
      <c r="D26" s="293" t="s">
        <v>535</v>
      </c>
      <c r="E26" s="269" t="e">
        <f>ROUND([1]!TBLink(D$13,E$16,C26,E$14,E$15),0)</f>
        <v>#VALUE!</v>
      </c>
      <c r="F26" s="269" t="e">
        <f>IF(C26="","",ROUND([1]!TBLink(D$13,F$16,C26,F$14,F$15),0))</f>
        <v>#VALUE!</v>
      </c>
      <c r="G26" s="269" t="e">
        <f>IF(C26="","",ROUND([1]!TBLink(D$13,G$16,C26,G$14,G$15),0))</f>
        <v>#VALUE!</v>
      </c>
      <c r="H26" s="279" t="s">
        <v>445</v>
      </c>
    </row>
    <row r="27" spans="1:12">
      <c r="C27" s="292" t="s">
        <v>539</v>
      </c>
      <c r="D27" s="293" t="s">
        <v>540</v>
      </c>
      <c r="E27" s="269" t="e">
        <f>ROUND([1]!TBLink(D$13,E$16,C27,E$14,E$15),0)</f>
        <v>#VALUE!</v>
      </c>
      <c r="F27" s="269" t="e">
        <f>IF(C27="","",ROUND([1]!TBLink(D$13,F$16,C27,F$14,F$15),0))</f>
        <v>#VALUE!</v>
      </c>
      <c r="G27" s="269" t="e">
        <f>IF(C27="","",ROUND([1]!TBLink(D$13,G$16,C27,G$14,G$15),0))</f>
        <v>#VALUE!</v>
      </c>
      <c r="H27" s="279" t="s">
        <v>445</v>
      </c>
    </row>
    <row r="28" spans="1:12">
      <c r="C28" s="292" t="s">
        <v>541</v>
      </c>
      <c r="D28" s="293" t="s">
        <v>542</v>
      </c>
      <c r="E28" s="269" t="e">
        <f>ROUND([1]!TBLink(D$13,E$16,C28,E$14,E$15),0)</f>
        <v>#VALUE!</v>
      </c>
      <c r="F28" s="269" t="e">
        <f>IF(C28="","",ROUND([1]!TBLink(D$13,F$16,C28,F$14,F$15),0))</f>
        <v>#VALUE!</v>
      </c>
      <c r="G28" s="269" t="e">
        <f>IF(C28="","",ROUND([1]!TBLink(D$13,G$16,C28,G$14,G$15),0))</f>
        <v>#VALUE!</v>
      </c>
      <c r="H28" s="279" t="s">
        <v>445</v>
      </c>
    </row>
    <row r="29" spans="1:12">
      <c r="C29" s="292" t="s">
        <v>543</v>
      </c>
      <c r="D29" s="293" t="s">
        <v>544</v>
      </c>
      <c r="E29" s="269" t="e">
        <f>ROUND([1]!TBLink(D$13,E$16,C29,E$14,E$15),0)</f>
        <v>#VALUE!</v>
      </c>
      <c r="F29" s="269" t="e">
        <f>IF(C29="","",ROUND([1]!TBLink(D$13,F$16,C29,F$14,F$15),0))</f>
        <v>#VALUE!</v>
      </c>
      <c r="G29" s="269" t="e">
        <f>IF(C29="","",ROUND([1]!TBLink(D$13,G$16,C29,G$14,G$15),0))</f>
        <v>#VALUE!</v>
      </c>
      <c r="H29" s="279" t="s">
        <v>445</v>
      </c>
      <c r="L29" s="144"/>
    </row>
    <row r="30" spans="1:12">
      <c r="C30" s="292" t="s">
        <v>477</v>
      </c>
      <c r="D30" s="293" t="s">
        <v>478</v>
      </c>
      <c r="E30" s="269" t="e">
        <f>ROUND([1]!TBLink(D$13,E$16,C30,E$14,E$15),0)</f>
        <v>#VALUE!</v>
      </c>
      <c r="F30" s="269" t="e">
        <f>IF(C30="","",ROUND([1]!TBLink(D$13,F$16,C30,F$14,F$15),0))</f>
        <v>#VALUE!</v>
      </c>
      <c r="G30" s="269" t="e">
        <f>IF(C30="","",ROUND([1]!TBLink(D$13,G$16,C30,G$14,G$15),0))</f>
        <v>#VALUE!</v>
      </c>
      <c r="H30" s="279" t="s">
        <v>413</v>
      </c>
      <c r="L30" s="297"/>
    </row>
    <row r="31" spans="1:12">
      <c r="C31" s="292" t="s">
        <v>479</v>
      </c>
      <c r="D31" s="293" t="s">
        <v>480</v>
      </c>
      <c r="E31" s="269" t="e">
        <f>ROUND([1]!TBLink(D$13,E$16,C31,E$14,E$15),0)</f>
        <v>#VALUE!</v>
      </c>
      <c r="F31" s="269" t="e">
        <f>IF(C31="","",ROUND([1]!TBLink(D$13,F$16,C31,F$14,F$15),0))</f>
        <v>#VALUE!</v>
      </c>
      <c r="G31" s="269" t="e">
        <f>IF(C31="","",ROUND([1]!TBLink(D$13,G$16,C31,G$14,G$15),0))</f>
        <v>#VALUE!</v>
      </c>
      <c r="H31" s="279" t="s">
        <v>413</v>
      </c>
      <c r="L31" s="144"/>
    </row>
    <row r="32" spans="1:12">
      <c r="C32" s="292" t="s">
        <v>481</v>
      </c>
      <c r="D32" s="293" t="s">
        <v>482</v>
      </c>
      <c r="E32" s="269" t="e">
        <f>ROUND([1]!TBLink(D$13,E$16,C32,E$14,E$15),0)</f>
        <v>#VALUE!</v>
      </c>
      <c r="F32" s="269" t="e">
        <f>IF(C32="","",ROUND([1]!TBLink(D$13,F$16,C32,F$14,F$15),0))</f>
        <v>#VALUE!</v>
      </c>
      <c r="G32" s="269" t="e">
        <f>IF(C32="","",ROUND([1]!TBLink(D$13,G$16,C32,G$14,G$15),0))</f>
        <v>#VALUE!</v>
      </c>
      <c r="H32" s="279" t="s">
        <v>413</v>
      </c>
    </row>
    <row r="33" spans="3:13">
      <c r="C33" s="292" t="s">
        <v>483</v>
      </c>
      <c r="D33" s="293" t="s">
        <v>484</v>
      </c>
      <c r="E33" s="269" t="e">
        <f>ROUND([1]!TBLink(D$13,E$16,C33,E$14,E$15),0)</f>
        <v>#VALUE!</v>
      </c>
      <c r="F33" s="269" t="e">
        <f>IF(C33="","",ROUND([1]!TBLink(D$13,F$16,C33,F$14,F$15),0))</f>
        <v>#VALUE!</v>
      </c>
      <c r="G33" s="269" t="e">
        <f>IF(C33="","",ROUND([1]!TBLink(D$13,G$16,C33,G$14,G$15),0))</f>
        <v>#VALUE!</v>
      </c>
      <c r="H33" s="279" t="s">
        <v>413</v>
      </c>
    </row>
    <row r="34" spans="3:13">
      <c r="C34" s="292" t="s">
        <v>485</v>
      </c>
      <c r="D34" s="293" t="s">
        <v>486</v>
      </c>
      <c r="E34" s="269" t="e">
        <f>ROUND([1]!TBLink(D$13,E$16,C34,E$14,E$15),0)</f>
        <v>#VALUE!</v>
      </c>
      <c r="F34" s="269" t="e">
        <f>IF(C34="","",ROUND([1]!TBLink(D$13,F$16,C34,F$14,F$15),0))</f>
        <v>#VALUE!</v>
      </c>
      <c r="G34" s="269" t="e">
        <f>IF(C34="","",ROUND([1]!TBLink(D$13,G$16,C34,G$14,G$15),0))</f>
        <v>#VALUE!</v>
      </c>
      <c r="H34" s="279" t="s">
        <v>413</v>
      </c>
      <c r="L34" s="292"/>
    </row>
    <row r="35" spans="3:13">
      <c r="C35" s="292" t="s">
        <v>491</v>
      </c>
      <c r="D35" s="293" t="s">
        <v>492</v>
      </c>
      <c r="E35" s="269" t="e">
        <f>ROUND([1]!TBLink(D$13,E$16,C35,E$14,E$15),0)</f>
        <v>#VALUE!</v>
      </c>
      <c r="F35" s="269" t="e">
        <f>IF(C35="","",ROUND([1]!TBLink(D$13,F$16,C35,F$14,F$15),0))</f>
        <v>#VALUE!</v>
      </c>
      <c r="G35" s="269" t="e">
        <f>IF(C35="","",ROUND([1]!TBLink(D$13,G$16,C35,G$14,G$15),0))</f>
        <v>#VALUE!</v>
      </c>
      <c r="H35" s="279" t="s">
        <v>413</v>
      </c>
      <c r="L35" s="292"/>
    </row>
    <row r="36" spans="3:13">
      <c r="C36" s="292" t="s">
        <v>493</v>
      </c>
      <c r="D36" s="293" t="s">
        <v>494</v>
      </c>
      <c r="E36" s="269" t="e">
        <f>ROUND([1]!TBLink(D$13,E$16,C36,E$14,E$15),0)</f>
        <v>#VALUE!</v>
      </c>
      <c r="F36" s="269" t="e">
        <f>IF(C36="","",ROUND([1]!TBLink(D$13,F$16,C36,F$14,F$15),0))</f>
        <v>#VALUE!</v>
      </c>
      <c r="G36" s="269" t="e">
        <f>IF(C36="","",ROUND([1]!TBLink(D$13,G$16,C36,G$14,G$15),0))</f>
        <v>#VALUE!</v>
      </c>
      <c r="H36" s="279" t="s">
        <v>413</v>
      </c>
      <c r="L36" s="292"/>
    </row>
    <row r="37" spans="3:13">
      <c r="C37" s="292" t="s">
        <v>495</v>
      </c>
      <c r="D37" s="293" t="s">
        <v>496</v>
      </c>
      <c r="E37" s="269" t="e">
        <f>ROUND([1]!TBLink(D$13,E$16,C37,E$14,E$15),0)</f>
        <v>#VALUE!</v>
      </c>
      <c r="F37" s="269" t="e">
        <f>IF(C37="","",ROUND([1]!TBLink(D$13,F$16,C37,F$14,F$15),0))</f>
        <v>#VALUE!</v>
      </c>
      <c r="G37" s="269" t="e">
        <f>IF(C37="","",ROUND([1]!TBLink(D$13,G$16,C37,G$14,G$15),0))</f>
        <v>#VALUE!</v>
      </c>
      <c r="H37" s="279" t="s">
        <v>413</v>
      </c>
      <c r="L37" s="292"/>
    </row>
    <row r="38" spans="3:13">
      <c r="C38" s="292" t="s">
        <v>497</v>
      </c>
      <c r="D38" s="293" t="s">
        <v>498</v>
      </c>
      <c r="E38" s="269" t="e">
        <f>ROUND([1]!TBLink(D$13,E$16,C38,E$14,E$15),0)</f>
        <v>#VALUE!</v>
      </c>
      <c r="F38" s="269" t="e">
        <f>IF(C38="","",ROUND([1]!TBLink(D$13,F$16,C38,F$14,F$15),0))</f>
        <v>#VALUE!</v>
      </c>
      <c r="G38" s="269" t="e">
        <f>IF(C38="","",ROUND([1]!TBLink(D$13,G$16,C38,G$14,G$15),0))</f>
        <v>#VALUE!</v>
      </c>
      <c r="H38" s="279" t="s">
        <v>413</v>
      </c>
      <c r="L38" s="292"/>
    </row>
    <row r="39" spans="3:13">
      <c r="C39" s="292" t="s">
        <v>499</v>
      </c>
      <c r="D39" s="293" t="s">
        <v>500</v>
      </c>
      <c r="E39" s="269" t="e">
        <f>ROUND([1]!TBLink(D$13,E$16,C39,E$14,E$15),0)</f>
        <v>#VALUE!</v>
      </c>
      <c r="F39" s="269" t="e">
        <f>IF(C39="","",ROUND([1]!TBLink(D$13,F$16,C39,F$14,F$15),0))</f>
        <v>#VALUE!</v>
      </c>
      <c r="G39" s="269" t="e">
        <f>IF(C39="","",ROUND([1]!TBLink(D$13,G$16,C39,G$14,G$15),0))</f>
        <v>#VALUE!</v>
      </c>
      <c r="H39" s="279" t="s">
        <v>413</v>
      </c>
      <c r="L39" s="292"/>
    </row>
    <row r="40" spans="3:13">
      <c r="C40" s="292" t="s">
        <v>501</v>
      </c>
      <c r="D40" s="293" t="s">
        <v>502</v>
      </c>
      <c r="E40" s="269" t="e">
        <f>ROUND([1]!TBLink(D$13,E$16,C40,E$14,E$15),0)</f>
        <v>#VALUE!</v>
      </c>
      <c r="F40" s="269" t="e">
        <f>IF(C40="","",ROUND([1]!TBLink(D$13,F$16,C40,F$14,F$15),0))</f>
        <v>#VALUE!</v>
      </c>
      <c r="G40" s="269" t="e">
        <f>IF(C40="","",ROUND([1]!TBLink(D$13,G$16,C40,G$14,G$15),0))</f>
        <v>#VALUE!</v>
      </c>
      <c r="H40" s="279" t="s">
        <v>413</v>
      </c>
      <c r="L40" s="292"/>
    </row>
    <row r="41" spans="3:13">
      <c r="C41" s="292" t="s">
        <v>509</v>
      </c>
      <c r="D41" s="293" t="s">
        <v>510</v>
      </c>
      <c r="E41" s="269" t="e">
        <f>ROUND([1]!TBLink(D$13,E$16,C41,E$14,E$15),0)</f>
        <v>#VALUE!</v>
      </c>
      <c r="F41" s="269" t="e">
        <f>IF(C41="","",ROUND([1]!TBLink(D$13,F$16,C41,F$14,F$15),0))</f>
        <v>#VALUE!</v>
      </c>
      <c r="G41" s="269" t="e">
        <f>IF(C41="","",ROUND([1]!TBLink(D$13,G$16,C41,G$14,G$15),0))</f>
        <v>#VALUE!</v>
      </c>
      <c r="H41" s="279" t="s">
        <v>413</v>
      </c>
      <c r="L41" s="292"/>
    </row>
    <row r="42" spans="3:13">
      <c r="C42" s="292" t="s">
        <v>511</v>
      </c>
      <c r="D42" s="293" t="s">
        <v>512</v>
      </c>
      <c r="E42" s="269" t="e">
        <f>ROUND([1]!TBLink(D$13,E$16,C42,E$14,E$15),0)</f>
        <v>#VALUE!</v>
      </c>
      <c r="F42" s="269" t="e">
        <f>IF(C42="","",ROUND([1]!TBLink(D$13,F$16,C42,F$14,F$15),0))</f>
        <v>#VALUE!</v>
      </c>
      <c r="G42" s="269" t="e">
        <f>IF(C42="","",ROUND([1]!TBLink(D$13,G$16,C42,G$14,G$15),0))</f>
        <v>#VALUE!</v>
      </c>
      <c r="H42" s="279" t="s">
        <v>413</v>
      </c>
      <c r="L42" s="292"/>
    </row>
    <row r="43" spans="3:13">
      <c r="C43" s="292" t="s">
        <v>515</v>
      </c>
      <c r="D43" s="293" t="s">
        <v>516</v>
      </c>
      <c r="E43" s="269" t="e">
        <f>ROUND([1]!TBLink(D$13,E$16,C43,E$14,E$15),0)</f>
        <v>#VALUE!</v>
      </c>
      <c r="F43" s="269" t="e">
        <f>IF(C43="","",ROUND([1]!TBLink(D$13,F$16,C43,F$14,F$15),0))</f>
        <v>#VALUE!</v>
      </c>
      <c r="G43" s="269" t="e">
        <f>IF(C43="","",ROUND([1]!TBLink(D$13,G$16,C43,G$14,G$15),0))</f>
        <v>#VALUE!</v>
      </c>
      <c r="H43" s="279" t="s">
        <v>413</v>
      </c>
      <c r="L43" s="292"/>
      <c r="M43" s="117"/>
    </row>
    <row r="44" spans="3:13">
      <c r="C44" s="292" t="s">
        <v>517</v>
      </c>
      <c r="D44" s="293" t="s">
        <v>518</v>
      </c>
      <c r="E44" s="269" t="e">
        <f>ROUND([1]!TBLink(D$13,E$16,C44,E$14,E$15),0)</f>
        <v>#VALUE!</v>
      </c>
      <c r="F44" s="269" t="e">
        <f>IF(C44="","",ROUND([1]!TBLink(D$13,F$16,C44,F$14,F$15),0))</f>
        <v>#VALUE!</v>
      </c>
      <c r="G44" s="269" t="e">
        <f>IF(C44="","",ROUND([1]!TBLink(D$13,G$16,C44,G$14,G$15),0))</f>
        <v>#VALUE!</v>
      </c>
      <c r="H44" s="279" t="s">
        <v>413</v>
      </c>
      <c r="L44" s="292"/>
    </row>
    <row r="45" spans="3:13">
      <c r="C45" s="292" t="s">
        <v>523</v>
      </c>
      <c r="D45" s="293" t="s">
        <v>524</v>
      </c>
      <c r="E45" s="269" t="e">
        <f>ROUND([1]!TBLink(D$13,E$16,C45,E$14,E$15),0)</f>
        <v>#VALUE!</v>
      </c>
      <c r="F45" s="269" t="e">
        <f>IF(C45="","",ROUND([1]!TBLink(D$13,F$16,C45,F$14,F$15),0))</f>
        <v>#VALUE!</v>
      </c>
      <c r="G45" s="269" t="e">
        <f>IF(C45="","",ROUND([1]!TBLink(D$13,G$16,C45,G$14,G$15),0))</f>
        <v>#VALUE!</v>
      </c>
      <c r="H45" s="279" t="s">
        <v>413</v>
      </c>
      <c r="L45" s="292"/>
    </row>
    <row r="46" spans="3:13">
      <c r="C46" s="292" t="s">
        <v>525</v>
      </c>
      <c r="D46" s="293" t="s">
        <v>526</v>
      </c>
      <c r="E46" s="269" t="e">
        <f>ROUND([1]!TBLink(D$13,E$16,C46,E$14,E$15),0)</f>
        <v>#VALUE!</v>
      </c>
      <c r="F46" s="269" t="e">
        <f>IF(C46="","",ROUND([1]!TBLink(D$13,F$16,C46,F$14,F$15),0))</f>
        <v>#VALUE!</v>
      </c>
      <c r="G46" s="269" t="e">
        <f>IF(C46="","",ROUND([1]!TBLink(D$13,G$16,C46,G$14,G$15),0))</f>
        <v>#VALUE!</v>
      </c>
      <c r="H46" s="279" t="s">
        <v>413</v>
      </c>
      <c r="L46" s="292"/>
    </row>
    <row r="47" spans="3:13">
      <c r="C47" s="292" t="s">
        <v>527</v>
      </c>
      <c r="D47" s="293" t="s">
        <v>526</v>
      </c>
      <c r="E47" s="269" t="e">
        <f>ROUND([1]!TBLink(D$13,E$16,C47,E$14,E$15),0)</f>
        <v>#VALUE!</v>
      </c>
      <c r="F47" s="269" t="e">
        <f>IF(C47="","",ROUND([1]!TBLink(D$13,F$16,C47,F$14,F$15),0))</f>
        <v>#VALUE!</v>
      </c>
      <c r="G47" s="269" t="e">
        <f>IF(C47="","",ROUND([1]!TBLink(D$13,G$16,C47,G$14,G$15),0))</f>
        <v>#VALUE!</v>
      </c>
      <c r="H47" s="279" t="s">
        <v>413</v>
      </c>
      <c r="L47" s="292"/>
    </row>
    <row r="48" spans="3:13">
      <c r="C48" s="292" t="s">
        <v>528</v>
      </c>
      <c r="D48" s="293" t="s">
        <v>529</v>
      </c>
      <c r="E48" s="269" t="e">
        <f>ROUND([1]!TBLink(D$13,E$16,C48,E$14,E$15),0)</f>
        <v>#VALUE!</v>
      </c>
      <c r="F48" s="269" t="e">
        <f>IF(C48="","",ROUND([1]!TBLink(D$13,F$16,C48,F$14,F$15),0))</f>
        <v>#VALUE!</v>
      </c>
      <c r="G48" s="269" t="e">
        <f>IF(C48="","",ROUND([1]!TBLink(D$13,G$16,C48,G$14,G$15),0))</f>
        <v>#VALUE!</v>
      </c>
      <c r="H48" s="279" t="s">
        <v>413</v>
      </c>
      <c r="L48" s="292"/>
    </row>
    <row r="49" spans="3:12">
      <c r="C49" s="292" t="s">
        <v>530</v>
      </c>
      <c r="D49" s="293" t="s">
        <v>531</v>
      </c>
      <c r="E49" s="269" t="e">
        <f>ROUND([1]!TBLink(D$13,E$16,C49,E$14,E$15),0)</f>
        <v>#VALUE!</v>
      </c>
      <c r="F49" s="269" t="e">
        <f>IF(C49="","",ROUND([1]!TBLink(D$13,F$16,C49,F$14,F$15),0))</f>
        <v>#VALUE!</v>
      </c>
      <c r="G49" s="269" t="e">
        <f>IF(C49="","",ROUND([1]!TBLink(D$13,G$16,C49,G$14,G$15),0))</f>
        <v>#VALUE!</v>
      </c>
      <c r="H49" s="279" t="s">
        <v>413</v>
      </c>
      <c r="L49" s="292"/>
    </row>
    <row r="50" spans="3:12">
      <c r="C50" s="292" t="s">
        <v>532</v>
      </c>
      <c r="D50" s="293" t="s">
        <v>533</v>
      </c>
      <c r="E50" s="269" t="e">
        <f>ROUND([1]!TBLink(D$13,E$16,C50,E$14,E$15),0)</f>
        <v>#VALUE!</v>
      </c>
      <c r="F50" s="269" t="e">
        <f>IF(C50="","",ROUND([1]!TBLink(D$13,F$16,C50,F$14,F$15),0))</f>
        <v>#VALUE!</v>
      </c>
      <c r="G50" s="269" t="e">
        <f>IF(C50="","",ROUND([1]!TBLink(D$13,G$16,C50,G$14,G$15),0))</f>
        <v>#VALUE!</v>
      </c>
      <c r="H50" s="279" t="s">
        <v>413</v>
      </c>
      <c r="L50" s="292"/>
    </row>
    <row r="51" spans="3:12">
      <c r="C51" s="292" t="s">
        <v>536</v>
      </c>
      <c r="D51" s="293" t="s">
        <v>537</v>
      </c>
      <c r="E51" s="269" t="e">
        <f>ROUND([1]!TBLink(D$13,E$16,C51,E$14,E$15),0)</f>
        <v>#VALUE!</v>
      </c>
      <c r="F51" s="269" t="e">
        <f>IF(C51="","",ROUND([1]!TBLink(D$13,F$16,C51,F$14,F$15),0))</f>
        <v>#VALUE!</v>
      </c>
      <c r="G51" s="269" t="e">
        <f>IF(C51="","",ROUND([1]!TBLink(D$13,G$16,C51,G$14,G$15),0))</f>
        <v>#VALUE!</v>
      </c>
      <c r="H51" s="279" t="s">
        <v>413</v>
      </c>
      <c r="L51" s="292"/>
    </row>
    <row r="52" spans="3:12">
      <c r="C52" s="292" t="s">
        <v>538</v>
      </c>
      <c r="D52" s="293" t="s">
        <v>537</v>
      </c>
      <c r="E52" s="269" t="e">
        <f>ROUND([1]!TBLink(D$13,E$16,C52,E$14,E$15),0)</f>
        <v>#VALUE!</v>
      </c>
      <c r="F52" s="269" t="e">
        <f>IF(C52="","",ROUND([1]!TBLink(D$13,F$16,C52,F$14,F$15),0))</f>
        <v>#VALUE!</v>
      </c>
      <c r="G52" s="269" t="e">
        <f>IF(C52="","",ROUND([1]!TBLink(D$13,G$16,C52,G$14,G$15),0))</f>
        <v>#VALUE!</v>
      </c>
      <c r="H52" s="279" t="s">
        <v>413</v>
      </c>
    </row>
    <row r="53" spans="3:12">
      <c r="C53" s="292" t="s">
        <v>545</v>
      </c>
      <c r="D53" s="293" t="s">
        <v>546</v>
      </c>
      <c r="E53" s="269" t="e">
        <f>ROUND([1]!TBLink(D$13,E$16,C53,E$14,E$15),0)</f>
        <v>#VALUE!</v>
      </c>
      <c r="F53" s="269" t="e">
        <f>IF(C53="","",ROUND([1]!TBLink(D$13,F$16,C53,F$14,F$15),0))</f>
        <v>#VALUE!</v>
      </c>
      <c r="G53" s="269" t="e">
        <f>IF(C53="","",ROUND([1]!TBLink(D$13,G$16,C53,G$14,G$15),0))</f>
        <v>#VALUE!</v>
      </c>
      <c r="H53" s="279" t="s">
        <v>413</v>
      </c>
    </row>
    <row r="54" spans="3:12">
      <c r="C54" s="292" t="s">
        <v>487</v>
      </c>
      <c r="D54" s="293" t="s">
        <v>488</v>
      </c>
      <c r="E54" s="269" t="e">
        <f>ROUND([1]!TBLink(D$13,E$16,C54,E$14,E$15),0)</f>
        <v>#VALUE!</v>
      </c>
      <c r="F54" s="269" t="e">
        <f>IF(C54="","",ROUND([1]!TBLink(D$13,F$16,C54,F$14,F$15),0))</f>
        <v>#VALUE!</v>
      </c>
      <c r="G54" s="269" t="e">
        <f>IF(C54="","",ROUND([1]!TBLink(D$13,G$16,C54,G$14,G$15),0))</f>
        <v>#VALUE!</v>
      </c>
      <c r="H54" s="279" t="s">
        <v>414</v>
      </c>
    </row>
    <row r="55" spans="3:12">
      <c r="C55" s="292" t="s">
        <v>503</v>
      </c>
      <c r="D55" s="293" t="s">
        <v>504</v>
      </c>
      <c r="E55" s="269" t="e">
        <f>ROUND([1]!TBLink(D$13,E$16,C55,E$14,E$15),0)</f>
        <v>#VALUE!</v>
      </c>
      <c r="F55" s="269" t="e">
        <f>IF(C55="","",ROUND([1]!TBLink(D$13,F$16,C55,F$14,F$15),0))</f>
        <v>#VALUE!</v>
      </c>
      <c r="G55" s="269" t="e">
        <f>IF(C55="","",ROUND([1]!TBLink(D$13,G$16,C55,G$14,G$15),0))</f>
        <v>#VALUE!</v>
      </c>
      <c r="H55" s="279" t="s">
        <v>414</v>
      </c>
    </row>
    <row r="56" spans="3:12">
      <c r="C56" s="292" t="s">
        <v>507</v>
      </c>
      <c r="D56" s="293" t="s">
        <v>508</v>
      </c>
      <c r="E56" s="269" t="e">
        <f>ROUND([1]!TBLink(D$13,E$16,C56,E$14,E$15),0)</f>
        <v>#VALUE!</v>
      </c>
      <c r="F56" s="269" t="e">
        <f>IF(C56="","",ROUND([1]!TBLink(D$13,F$16,C56,F$14,F$15),0))</f>
        <v>#VALUE!</v>
      </c>
      <c r="G56" s="269" t="e">
        <f>IF(C56="","",ROUND([1]!TBLink(D$13,G$16,C56,G$14,G$15),0))</f>
        <v>#VALUE!</v>
      </c>
      <c r="H56" s="279" t="s">
        <v>414</v>
      </c>
    </row>
    <row r="57" spans="3:12">
      <c r="C57" s="292" t="s">
        <v>505</v>
      </c>
      <c r="D57" s="293" t="s">
        <v>506</v>
      </c>
      <c r="E57" s="269" t="e">
        <f>ROUND([1]!TBLink(D$13,E$16,C57,E$14,E$15),0)</f>
        <v>#VALUE!</v>
      </c>
      <c r="F57" s="269" t="e">
        <f>IF(C57="","",ROUND([1]!TBLink(D$13,F$16,C57,F$14,F$15),0))</f>
        <v>#VALUE!</v>
      </c>
      <c r="G57" s="269" t="e">
        <f>IF(C57="","",ROUND([1]!TBLink(D$13,G$16,C57,G$14,G$15),0))</f>
        <v>#VALUE!</v>
      </c>
      <c r="H57" s="279" t="s">
        <v>377</v>
      </c>
    </row>
    <row r="58" spans="3:12">
      <c r="E58" s="269" t="e">
        <f>ROUND([1]!TBLink(D$13,E$16,C58,E$14,E$15),0)</f>
        <v>#VALUE!</v>
      </c>
      <c r="F58" s="269" t="str">
        <f>IF(C58="","",ROUND([1]!TBLink(D$13,F$16,C58,F$14,F$15),0))</f>
        <v/>
      </c>
      <c r="G58" s="269" t="str">
        <f>IF(C58="","",ROUND([1]!TBLink(D$13,G$16,C58,G$14,G$15),0))</f>
        <v/>
      </c>
    </row>
    <row r="59" spans="3:12">
      <c r="E59" s="269" t="e">
        <f>ROUND([1]!TBLink(D$13,E$16,C59,E$14,E$15),0)</f>
        <v>#VALUE!</v>
      </c>
      <c r="F59" s="269" t="str">
        <f>IF(C59="","",ROUND([1]!TBLink(D$13,F$16,C59,F$14,F$15),0))</f>
        <v/>
      </c>
      <c r="G59" s="269" t="str">
        <f>IF(C59="","",ROUND([1]!TBLink(D$13,G$16,C59,G$14,G$15),0))</f>
        <v/>
      </c>
    </row>
    <row r="60" spans="3:12">
      <c r="E60" s="269" t="e">
        <f>ROUND([1]!TBLink(D$13,E$16,C60,E$14,E$15),0)</f>
        <v>#VALUE!</v>
      </c>
      <c r="F60" s="269" t="str">
        <f>IF(C60="","",ROUND([1]!TBLink(D$13,F$16,C60,F$14,F$15),0))</f>
        <v/>
      </c>
      <c r="G60" s="269" t="str">
        <f>IF(C60="","",ROUND([1]!TBLink(D$13,G$16,C60,G$14,G$15),0))</f>
        <v/>
      </c>
    </row>
    <row r="61" spans="3:12">
      <c r="E61" s="269" t="e">
        <f>ROUND([1]!TBLink(D$13,E$16,C61,E$14,E$15),0)</f>
        <v>#VALUE!</v>
      </c>
      <c r="F61" s="269" t="str">
        <f>IF(C61="","",ROUND([1]!TBLink(D$13,F$16,C61,F$14,F$15),0))</f>
        <v/>
      </c>
      <c r="G61" s="269" t="str">
        <f>IF(C61="","",ROUND([1]!TBLink(D$13,G$16,C61,G$14,G$15),0))</f>
        <v/>
      </c>
    </row>
    <row r="62" spans="3:12">
      <c r="E62" s="269" t="e">
        <f>ROUND([1]!TBLink(D$13,E$16,C62,E$14,E$15),0)</f>
        <v>#VALUE!</v>
      </c>
      <c r="F62" s="269" t="str">
        <f>IF(C62="","",ROUND([1]!TBLink(D$13,F$16,C62,F$14,F$15),0))</f>
        <v/>
      </c>
      <c r="G62" s="269" t="str">
        <f>IF(C62="","",ROUND([1]!TBLink(D$13,G$16,C62,G$14,G$15),0))</f>
        <v/>
      </c>
    </row>
    <row r="63" spans="3:12">
      <c r="E63" s="269" t="e">
        <f>ROUND([1]!TBLink(D$13,E$16,C63,E$14,E$15),0)</f>
        <v>#VALUE!</v>
      </c>
      <c r="F63" s="269" t="str">
        <f>IF(C63="","",ROUND([1]!TBLink(D$13,F$16,C63,F$14,F$15),0))</f>
        <v/>
      </c>
      <c r="G63" s="269" t="str">
        <f>IF(C63="","",ROUND([1]!TBLink(D$13,G$16,C63,G$14,G$15),0))</f>
        <v/>
      </c>
    </row>
    <row r="64" spans="3:12">
      <c r="E64" s="269" t="e">
        <f>ROUND([1]!TBLink(D$13,E$16,C64,E$14,E$15),0)</f>
        <v>#VALUE!</v>
      </c>
      <c r="F64" s="269" t="str">
        <f>IF(C64="","",ROUND([1]!TBLink(D$13,F$16,C64,F$14,F$15),0))</f>
        <v/>
      </c>
      <c r="G64" s="269" t="str">
        <f>IF(C64="","",ROUND([1]!TBLink(D$13,G$16,C64,G$14,G$15),0))</f>
        <v/>
      </c>
    </row>
    <row r="65" spans="5:7">
      <c r="E65" s="269" t="e">
        <f>ROUND([1]!TBLink(D$13,E$16,C65,E$14,E$15),0)</f>
        <v>#VALUE!</v>
      </c>
      <c r="F65" s="269" t="str">
        <f>IF(C65="","",ROUND([1]!TBLink(D$13,F$16,C65,F$14,F$15),0))</f>
        <v/>
      </c>
      <c r="G65" s="269" t="str">
        <f>IF(C65="","",ROUND([1]!TBLink(D$13,G$16,C65,G$14,G$15),0))</f>
        <v/>
      </c>
    </row>
    <row r="66" spans="5:7">
      <c r="E66" s="269" t="e">
        <f>ROUND([1]!TBLink(D$13,E$16,C66,E$14,E$15),0)</f>
        <v>#VALUE!</v>
      </c>
      <c r="F66" s="269" t="str">
        <f>IF(C66="","",ROUND([1]!TBLink(D$13,F$16,C66,F$14,F$15),0))</f>
        <v/>
      </c>
      <c r="G66" s="269" t="str">
        <f>IF(C66="","",ROUND([1]!TBLink(D$13,G$16,C66,G$14,G$15),0))</f>
        <v/>
      </c>
    </row>
    <row r="67" spans="5:7">
      <c r="E67" s="269" t="e">
        <f>ROUND([1]!TBLink(D$13,E$16,C67,E$14,E$15),0)</f>
        <v>#VALUE!</v>
      </c>
      <c r="F67" s="269" t="str">
        <f>IF(C67="","",ROUND([1]!TBLink(D$13,F$16,C67,F$14,F$15),0))</f>
        <v/>
      </c>
      <c r="G67" s="269" t="str">
        <f>IF(C67="","",ROUND([1]!TBLink(D$13,G$16,C67,G$14,G$15),0))</f>
        <v/>
      </c>
    </row>
    <row r="68" spans="5:7">
      <c r="E68" s="269" t="e">
        <f>ROUND([1]!TBLink(D$13,E$16,C68,E$14,E$15),0)</f>
        <v>#VALUE!</v>
      </c>
      <c r="F68" s="269" t="str">
        <f>IF(C68="","",ROUND([1]!TBLink(D$13,F$16,C68,F$14,F$15),0))</f>
        <v/>
      </c>
      <c r="G68" s="269" t="str">
        <f>IF(C68="","",ROUND([1]!TBLink(D$13,G$16,C68,G$14,G$15),0))</f>
        <v/>
      </c>
    </row>
    <row r="69" spans="5:7">
      <c r="E69" s="269" t="e">
        <f>ROUND([1]!TBLink(D$13,E$16,C69,E$14,E$15),0)</f>
        <v>#VALUE!</v>
      </c>
      <c r="F69" s="269" t="str">
        <f>IF(C69="","",ROUND([1]!TBLink(D$13,F$16,C69,F$14,F$15),0))</f>
        <v/>
      </c>
      <c r="G69" s="269" t="str">
        <f>IF(C69="","",ROUND([1]!TBLink(D$13,G$16,C69,G$14,G$15),0))</f>
        <v/>
      </c>
    </row>
    <row r="70" spans="5:7">
      <c r="E70" s="269" t="e">
        <f>ROUND([1]!TBLink(D$13,E$16,C70,E$14,E$15),0)</f>
        <v>#VALUE!</v>
      </c>
      <c r="F70" s="269" t="str">
        <f>IF(C70="","",ROUND([1]!TBLink(D$13,F$16,C70,F$14,F$15),0))</f>
        <v/>
      </c>
      <c r="G70" s="269" t="str">
        <f>IF(C70="","",ROUND([1]!TBLink(D$13,G$16,C70,G$14,G$15),0))</f>
        <v/>
      </c>
    </row>
    <row r="71" spans="5:7">
      <c r="E71" s="269" t="e">
        <f>ROUND([1]!TBLink(D$13,E$16,C71,E$14,E$15),0)</f>
        <v>#VALUE!</v>
      </c>
      <c r="F71" s="269" t="str">
        <f>IF(C71="","",ROUND([1]!TBLink(D$13,F$16,C71,F$14,F$15),0))</f>
        <v/>
      </c>
      <c r="G71" s="269" t="str">
        <f>IF(C71="","",ROUND([1]!TBLink(D$13,G$16,C71,G$14,G$15),0))</f>
        <v/>
      </c>
    </row>
    <row r="72" spans="5:7">
      <c r="E72" s="269" t="e">
        <f>ROUND([1]!TBLink(D$13,E$16,C72,E$14,E$15),0)</f>
        <v>#VALUE!</v>
      </c>
      <c r="F72" s="269" t="str">
        <f>IF(C72="","",ROUND([1]!TBLink(D$13,F$16,C72,F$14,F$15),0))</f>
        <v/>
      </c>
      <c r="G72" s="269" t="str">
        <f>IF(C72="","",ROUND([1]!TBLink(D$13,G$16,C72,G$14,G$15),0))</f>
        <v/>
      </c>
    </row>
    <row r="73" spans="5:7">
      <c r="E73" s="269" t="e">
        <f>ROUND([1]!TBLink(D$13,E$16,C73,E$14,E$15),0)</f>
        <v>#VALUE!</v>
      </c>
      <c r="F73" s="269" t="str">
        <f>IF(C73="","",ROUND([1]!TBLink(D$13,F$16,C73,F$14,F$15),0))</f>
        <v/>
      </c>
      <c r="G73" s="269" t="str">
        <f>IF(C73="","",ROUND([1]!TBLink(D$13,G$16,C73,G$14,G$15),0))</f>
        <v/>
      </c>
    </row>
    <row r="74" spans="5:7">
      <c r="E74" s="269" t="e">
        <f>ROUND([1]!TBLink(D$13,E$16,C74,E$14,E$15),0)</f>
        <v>#VALUE!</v>
      </c>
      <c r="F74" s="269" t="str">
        <f>IF(C74="","",ROUND([1]!TBLink(D$13,F$16,C74,F$14,F$15),0))</f>
        <v/>
      </c>
      <c r="G74" s="269" t="str">
        <f>IF(C74="","",ROUND([1]!TBLink(D$13,G$16,C74,G$14,G$15),0))</f>
        <v/>
      </c>
    </row>
    <row r="75" spans="5:7">
      <c r="E75" s="269" t="e">
        <f>ROUND([1]!TBLink(D$13,E$16,C75,E$14,E$15),0)</f>
        <v>#VALUE!</v>
      </c>
      <c r="F75" s="269" t="str">
        <f>IF(C75="","",ROUND([1]!TBLink(D$13,F$16,C75,F$14,F$15),0))</f>
        <v/>
      </c>
      <c r="G75" s="269" t="str">
        <f>IF(C75="","",ROUND([1]!TBLink(D$13,G$16,C75,G$14,G$15),0))</f>
        <v/>
      </c>
    </row>
    <row r="76" spans="5:7">
      <c r="E76" s="269" t="e">
        <f>ROUND([1]!TBLink(D$13,E$16,C76,E$14,E$15),0)</f>
        <v>#VALUE!</v>
      </c>
      <c r="F76" s="269" t="str">
        <f>IF(C76="","",ROUND([1]!TBLink(D$13,F$16,C76,F$14,F$15),0))</f>
        <v/>
      </c>
      <c r="G76" s="269" t="str">
        <f>IF(C76="","",ROUND([1]!TBLink(D$13,G$16,C76,G$14,G$15),0))</f>
        <v/>
      </c>
    </row>
    <row r="77" spans="5:7">
      <c r="E77" s="269" t="e">
        <f>ROUND([1]!TBLink(D$13,E$16,C77,E$14,E$15),0)</f>
        <v>#VALUE!</v>
      </c>
      <c r="F77" s="269" t="str">
        <f>IF(C77="","",ROUND([1]!TBLink(D$13,F$16,C77,F$14,F$15),0))</f>
        <v/>
      </c>
      <c r="G77" s="269" t="str">
        <f>IF(C77="","",ROUND([1]!TBLink(D$13,G$16,C77,G$14,G$15),0))</f>
        <v/>
      </c>
    </row>
    <row r="78" spans="5:7">
      <c r="E78" s="269" t="e">
        <f>ROUND([1]!TBLink(D$13,E$16,C78,E$14,E$15),0)</f>
        <v>#VALUE!</v>
      </c>
      <c r="F78" s="269" t="str">
        <f>IF(C78="","",ROUND([1]!TBLink(D$13,F$16,C78,F$14,F$15),0))</f>
        <v/>
      </c>
      <c r="G78" s="269" t="str">
        <f>IF(C78="","",ROUND([1]!TBLink(D$13,G$16,C78,G$14,G$15),0))</f>
        <v/>
      </c>
    </row>
    <row r="79" spans="5:7">
      <c r="E79" s="269" t="e">
        <f>ROUND([1]!TBLink(D$13,E$16,C79,E$14,E$15),0)</f>
        <v>#VALUE!</v>
      </c>
      <c r="F79" s="269" t="str">
        <f>IF(C79="","",ROUND([1]!TBLink(D$13,F$16,C79,F$14,F$15),0))</f>
        <v/>
      </c>
      <c r="G79" s="269" t="str">
        <f>IF(C79="","",ROUND([1]!TBLink(D$13,G$16,C79,G$14,G$15),0))</f>
        <v/>
      </c>
    </row>
    <row r="80" spans="5:7">
      <c r="E80" s="269" t="e">
        <f>ROUND([1]!TBLink(D$13,E$16,C80,E$14,E$15),0)</f>
        <v>#VALUE!</v>
      </c>
      <c r="F80" s="269" t="str">
        <f>IF(C80="","",ROUND([1]!TBLink(D$13,F$16,C80,F$14,F$15),0))</f>
        <v/>
      </c>
      <c r="G80" s="269" t="str">
        <f>IF(C80="","",ROUND([1]!TBLink(D$13,G$16,C80,G$14,G$15),0))</f>
        <v/>
      </c>
    </row>
    <row r="81" spans="5:7">
      <c r="E81" s="269" t="e">
        <f>ROUND([1]!TBLink(D$13,E$16,C81,E$14,E$15),0)</f>
        <v>#VALUE!</v>
      </c>
      <c r="F81" s="269" t="str">
        <f>IF(C81="","",ROUND([1]!TBLink(D$13,F$16,C81,F$14,F$15),0))</f>
        <v/>
      </c>
      <c r="G81" s="269" t="str">
        <f>IF(C81="","",ROUND([1]!TBLink(D$13,G$16,C81,G$14,G$15),0))</f>
        <v/>
      </c>
    </row>
    <row r="82" spans="5:7">
      <c r="E82" s="269" t="e">
        <f>ROUND([1]!TBLink(D$13,E$16,C82,E$14,E$15),0)</f>
        <v>#VALUE!</v>
      </c>
      <c r="F82" s="269" t="str">
        <f>IF(C82="","",ROUND([1]!TBLink(D$13,F$16,C82,F$14,F$15),0))</f>
        <v/>
      </c>
      <c r="G82" s="269" t="str">
        <f>IF(C82="","",ROUND([1]!TBLink(D$13,G$16,C82,G$14,G$15),0))</f>
        <v/>
      </c>
    </row>
    <row r="83" spans="5:7">
      <c r="E83" s="269" t="e">
        <f>ROUND([1]!TBLink(D$13,E$16,C83,E$14,E$15),0)</f>
        <v>#VALUE!</v>
      </c>
      <c r="F83" s="269" t="str">
        <f>IF(C83="","",ROUND([1]!TBLink(D$13,F$16,C83,F$14,F$15),0))</f>
        <v/>
      </c>
      <c r="G83" s="269" t="str">
        <f>IF(C83="","",ROUND([1]!TBLink(D$13,G$16,C83,G$14,G$15),0))</f>
        <v/>
      </c>
    </row>
    <row r="84" spans="5:7">
      <c r="E84" s="269" t="e">
        <f>ROUND([1]!TBLink(D$13,E$16,C84,E$14,E$15),0)</f>
        <v>#VALUE!</v>
      </c>
      <c r="F84" s="269" t="str">
        <f>IF(C84="","",ROUND([1]!TBLink(D$13,F$16,C84,F$14,F$15),0))</f>
        <v/>
      </c>
      <c r="G84" s="269" t="str">
        <f>IF(C84="","",ROUND([1]!TBLink(D$13,G$16,C84,G$14,G$15),0))</f>
        <v/>
      </c>
    </row>
    <row r="85" spans="5:7">
      <c r="E85" s="269" t="e">
        <f>ROUND([1]!TBLink(D$13,E$16,C85,E$14,E$15),0)</f>
        <v>#VALUE!</v>
      </c>
      <c r="F85" s="269" t="str">
        <f>IF(C85="","",ROUND([1]!TBLink(D$13,F$16,C85,F$14,F$15),0))</f>
        <v/>
      </c>
      <c r="G85" s="269" t="str">
        <f>IF(C85="","",ROUND([1]!TBLink(D$13,G$16,C85,G$14,G$15),0))</f>
        <v/>
      </c>
    </row>
    <row r="86" spans="5:7">
      <c r="E86" s="269" t="e">
        <f>ROUND([1]!TBLink(D$13,E$16,C86,E$14,E$15),0)</f>
        <v>#VALUE!</v>
      </c>
      <c r="F86" s="269" t="str">
        <f>IF(C86="","",ROUND([1]!TBLink(D$13,F$16,C86,F$14,F$15),0))</f>
        <v/>
      </c>
      <c r="G86" s="269" t="str">
        <f>IF(C86="","",ROUND([1]!TBLink(D$13,G$16,C86,G$14,G$15),0))</f>
        <v/>
      </c>
    </row>
    <row r="87" spans="5:7">
      <c r="E87" s="269" t="e">
        <f>ROUND([1]!TBLink(D$13,E$16,C87,E$14,E$15),0)</f>
        <v>#VALUE!</v>
      </c>
      <c r="F87" s="269" t="str">
        <f>IF(C87="","",ROUND([1]!TBLink(D$13,F$16,C87,F$14,F$15),0))</f>
        <v/>
      </c>
      <c r="G87" s="269" t="str">
        <f>IF(C87="","",ROUND([1]!TBLink(D$13,G$16,C87,G$14,G$15),0))</f>
        <v/>
      </c>
    </row>
    <row r="88" spans="5:7">
      <c r="E88" s="269" t="e">
        <f>ROUND([1]!TBLink(D$13,E$16,C88,E$14,E$15),0)</f>
        <v>#VALUE!</v>
      </c>
      <c r="F88" s="269" t="str">
        <f>IF(C88="","",ROUND([1]!TBLink(D$13,F$16,C88,F$14,F$15),0))</f>
        <v/>
      </c>
      <c r="G88" s="269" t="str">
        <f>IF(C88="","",ROUND([1]!TBLink(D$13,G$16,C88,G$14,G$15),0))</f>
        <v/>
      </c>
    </row>
    <row r="89" spans="5:7">
      <c r="E89" s="269" t="e">
        <f>ROUND([1]!TBLink(D$13,E$16,C89,E$14,E$15),0)</f>
        <v>#VALUE!</v>
      </c>
      <c r="F89" s="269" t="str">
        <f>IF(C89="","",ROUND([1]!TBLink(D$13,F$16,C89,F$14,F$15),0))</f>
        <v/>
      </c>
      <c r="G89" s="269" t="str">
        <f>IF(C89="","",ROUND([1]!TBLink(D$13,G$16,C89,G$14,G$15),0))</f>
        <v/>
      </c>
    </row>
    <row r="90" spans="5:7">
      <c r="E90" s="269" t="e">
        <f>ROUND([1]!TBLink(D$13,E$16,C90,E$14,E$15),0)</f>
        <v>#VALUE!</v>
      </c>
      <c r="F90" s="269" t="str">
        <f>IF(C90="","",ROUND([1]!TBLink(D$13,F$16,C90,F$14,F$15),0))</f>
        <v/>
      </c>
      <c r="G90" s="269" t="str">
        <f>IF(C90="","",ROUND([1]!TBLink(D$13,G$16,C90,G$14,G$15),0))</f>
        <v/>
      </c>
    </row>
    <row r="91" spans="5:7">
      <c r="E91" s="269" t="e">
        <f>ROUND([1]!TBLink(D$13,E$16,C91,E$14,E$15),0)</f>
        <v>#VALUE!</v>
      </c>
      <c r="F91" s="269" t="str">
        <f>IF(C91="","",ROUND([1]!TBLink(D$13,F$16,C91,F$14,F$15),0))</f>
        <v/>
      </c>
      <c r="G91" s="269" t="str">
        <f>IF(C91="","",ROUND([1]!TBLink(D$13,G$16,C91,G$14,G$15),0))</f>
        <v/>
      </c>
    </row>
    <row r="92" spans="5:7">
      <c r="E92" s="269" t="e">
        <f>ROUND([1]!TBLink(D$13,E$16,C92,E$14,E$15),0)</f>
        <v>#VALUE!</v>
      </c>
      <c r="F92" s="269" t="str">
        <f>IF(C92="","",ROUND([1]!TBLink(D$13,F$16,C92,F$14,F$15),0))</f>
        <v/>
      </c>
      <c r="G92" s="269" t="str">
        <f>IF(C92="","",ROUND([1]!TBLink(D$13,G$16,C92,G$14,G$15),0))</f>
        <v/>
      </c>
    </row>
    <row r="93" spans="5:7">
      <c r="E93" s="269" t="e">
        <f>ROUND([1]!TBLink(D$13,E$16,C93,E$14,E$15),0)</f>
        <v>#VALUE!</v>
      </c>
      <c r="F93" s="269" t="str">
        <f>IF(C93="","",ROUND([1]!TBLink(D$13,F$16,C93,F$14,F$15),0))</f>
        <v/>
      </c>
      <c r="G93" s="269" t="str">
        <f>IF(C93="","",ROUND([1]!TBLink(D$13,G$16,C93,G$14,G$15),0))</f>
        <v/>
      </c>
    </row>
    <row r="94" spans="5:7">
      <c r="E94" s="269" t="e">
        <f>ROUND([1]!TBLink(D$13,E$16,C94,E$14,E$15),0)</f>
        <v>#VALUE!</v>
      </c>
      <c r="F94" s="269" t="str">
        <f>IF(C94="","",ROUND([1]!TBLink(D$13,F$16,C94,F$14,F$15),0))</f>
        <v/>
      </c>
      <c r="G94" s="269" t="str">
        <f>IF(C94="","",ROUND([1]!TBLink(D$13,G$16,C94,G$14,G$15),0))</f>
        <v/>
      </c>
    </row>
    <row r="95" spans="5:7">
      <c r="E95" s="269" t="e">
        <f>ROUND([1]!TBLink(D$13,E$16,C95,E$14,E$15),0)</f>
        <v>#VALUE!</v>
      </c>
      <c r="F95" s="269" t="str">
        <f>IF(C95="","",ROUND([1]!TBLink(D$13,F$16,C95,F$14,F$15),0))</f>
        <v/>
      </c>
      <c r="G95" s="269" t="str">
        <f>IF(C95="","",ROUND([1]!TBLink(D$13,G$16,C95,G$14,G$15),0))</f>
        <v/>
      </c>
    </row>
    <row r="96" spans="5:7">
      <c r="E96" s="269" t="e">
        <f>ROUND([1]!TBLink(D$13,E$16,C96,E$14,E$15),0)</f>
        <v>#VALUE!</v>
      </c>
      <c r="F96" s="269" t="str">
        <f>IF(C96="","",ROUND([1]!TBLink(D$13,F$16,C96,F$14,F$15),0))</f>
        <v/>
      </c>
      <c r="G96" s="269" t="str">
        <f>IF(C96="","",ROUND([1]!TBLink(D$13,G$16,C96,G$14,G$15),0))</f>
        <v/>
      </c>
    </row>
    <row r="97" spans="5:7">
      <c r="E97" s="269" t="e">
        <f>ROUND([1]!TBLink(D$13,E$16,C97,E$14,E$15),0)</f>
        <v>#VALUE!</v>
      </c>
      <c r="F97" s="269" t="str">
        <f>IF(C97="","",ROUND([1]!TBLink(D$13,F$16,C97,F$14,F$15),0))</f>
        <v/>
      </c>
      <c r="G97" s="269" t="str">
        <f>IF(C97="","",ROUND([1]!TBLink(D$13,G$16,C97,G$14,G$15),0))</f>
        <v/>
      </c>
    </row>
    <row r="98" spans="5:7">
      <c r="E98" s="269" t="e">
        <f>ROUND([1]!TBLink(D$13,E$16,C98,E$14,E$15),0)</f>
        <v>#VALUE!</v>
      </c>
      <c r="F98" s="269" t="str">
        <f>IF(C98="","",ROUND([1]!TBLink(D$13,F$16,C98,F$14,F$15),0))</f>
        <v/>
      </c>
      <c r="G98" s="269" t="str">
        <f>IF(C98="","",ROUND([1]!TBLink(D$13,G$16,C98,G$14,G$15),0))</f>
        <v/>
      </c>
    </row>
    <row r="99" spans="5:7">
      <c r="E99" s="269" t="e">
        <f>ROUND([1]!TBLink(D$13,E$16,C99,E$14,E$15),0)</f>
        <v>#VALUE!</v>
      </c>
      <c r="F99" s="269" t="str">
        <f>IF(C99="","",ROUND([1]!TBLink(D$13,F$16,C99,F$14,F$15),0))</f>
        <v/>
      </c>
      <c r="G99" s="269" t="str">
        <f>IF(C99="","",ROUND([1]!TBLink(D$13,G$16,C99,G$14,G$15),0))</f>
        <v/>
      </c>
    </row>
    <row r="100" spans="5:7">
      <c r="E100" s="269" t="e">
        <f>ROUND([1]!TBLink(D$13,E$16,C100,E$14,E$15),0)</f>
        <v>#VALUE!</v>
      </c>
      <c r="F100" s="269" t="str">
        <f>IF(C100="","",ROUND([1]!TBLink(D$13,F$16,C100,F$14,F$15),0))</f>
        <v/>
      </c>
      <c r="G100" s="269" t="str">
        <f>IF(C100="","",ROUND([1]!TBLink(D$13,G$16,C100,G$14,G$15),0))</f>
        <v/>
      </c>
    </row>
    <row r="101" spans="5:7">
      <c r="E101" s="269" t="e">
        <f>ROUND([1]!TBLink(D$13,E$16,C101,E$14,E$15),0)</f>
        <v>#VALUE!</v>
      </c>
      <c r="F101" s="269" t="str">
        <f>IF(C101="","",ROUND([1]!TBLink(D$13,F$16,C101,F$14,F$15),0))</f>
        <v/>
      </c>
      <c r="G101" s="269" t="str">
        <f>IF(C101="","",ROUND([1]!TBLink(D$13,G$16,C101,G$14,G$15),0))</f>
        <v/>
      </c>
    </row>
    <row r="102" spans="5:7">
      <c r="E102" s="269" t="e">
        <f>ROUND([1]!TBLink(D$13,E$16,C102,E$14,E$15),0)</f>
        <v>#VALUE!</v>
      </c>
      <c r="F102" s="269" t="str">
        <f>IF(C102="","",ROUND([1]!TBLink(D$13,F$16,C102,F$14,F$15),0))</f>
        <v/>
      </c>
      <c r="G102" s="269" t="str">
        <f>IF(C102="","",ROUND([1]!TBLink(D$13,G$16,C102,G$14,G$15),0))</f>
        <v/>
      </c>
    </row>
    <row r="103" spans="5:7">
      <c r="E103" s="269" t="e">
        <f>ROUND([1]!TBLink(D$13,E$16,C103,E$14,E$15),0)</f>
        <v>#VALUE!</v>
      </c>
      <c r="F103" s="269" t="str">
        <f>IF(C103="","",ROUND([1]!TBLink(D$13,F$16,C103,F$14,F$15),0))</f>
        <v/>
      </c>
      <c r="G103" s="269" t="str">
        <f>IF(C103="","",ROUND([1]!TBLink(D$13,G$16,C103,G$14,G$15),0))</f>
        <v/>
      </c>
    </row>
    <row r="104" spans="5:7">
      <c r="E104" s="269" t="e">
        <f>ROUND([1]!TBLink(D$13,E$16,C104,E$14,E$15),0)</f>
        <v>#VALUE!</v>
      </c>
      <c r="F104" s="269" t="str">
        <f>IF(C104="","",ROUND([1]!TBLink(D$13,F$16,C104,F$14,F$15),0))</f>
        <v/>
      </c>
      <c r="G104" s="269" t="str">
        <f>IF(C104="","",ROUND([1]!TBLink(D$13,G$16,C104,G$14,G$15),0))</f>
        <v/>
      </c>
    </row>
    <row r="105" spans="5:7">
      <c r="E105" s="269" t="e">
        <f>ROUND([1]!TBLink(D$13,E$16,C105,E$14,E$15),0)</f>
        <v>#VALUE!</v>
      </c>
      <c r="F105" s="269" t="str">
        <f>IF(C105="","",ROUND([1]!TBLink(D$13,F$16,C105,F$14,F$15),0))</f>
        <v/>
      </c>
      <c r="G105" s="269" t="str">
        <f>IF(C105="","",ROUND([1]!TBLink(D$13,G$16,C105,G$14,G$15),0))</f>
        <v/>
      </c>
    </row>
    <row r="106" spans="5:7">
      <c r="E106" s="269" t="e">
        <f>ROUND([1]!TBLink(D$13,E$16,C106,E$14,E$15),0)</f>
        <v>#VALUE!</v>
      </c>
      <c r="F106" s="269" t="str">
        <f>IF(C106="","",ROUND([1]!TBLink(D$13,F$16,C106,F$14,F$15),0))</f>
        <v/>
      </c>
      <c r="G106" s="269" t="str">
        <f>IF(C106="","",ROUND([1]!TBLink(D$13,G$16,C106,G$14,G$15),0))</f>
        <v/>
      </c>
    </row>
    <row r="107" spans="5:7">
      <c r="E107" s="269" t="e">
        <f>ROUND([1]!TBLink(D$13,E$16,C107,E$14,E$15),0)</f>
        <v>#VALUE!</v>
      </c>
      <c r="F107" s="269" t="str">
        <f>IF(C107="","",ROUND([1]!TBLink(D$13,F$16,C107,F$14,F$15),0))</f>
        <v/>
      </c>
      <c r="G107" s="269" t="str">
        <f>IF(C107="","",ROUND([1]!TBLink(D$13,G$16,C107,G$14,G$15),0))</f>
        <v/>
      </c>
    </row>
    <row r="108" spans="5:7">
      <c r="E108" s="269" t="e">
        <f>ROUND([1]!TBLink(D$13,E$16,C108,E$14,E$15),0)</f>
        <v>#VALUE!</v>
      </c>
      <c r="F108" s="269" t="str">
        <f>IF(C108="","",ROUND([1]!TBLink(D$13,F$16,C108,F$14,F$15),0))</f>
        <v/>
      </c>
      <c r="G108" s="269" t="str">
        <f>IF(C108="","",ROUND([1]!TBLink(D$13,G$16,C108,G$14,G$15),0))</f>
        <v/>
      </c>
    </row>
    <row r="109" spans="5:7">
      <c r="E109" s="269" t="e">
        <f>ROUND([1]!TBLink(D$13,E$16,C109,E$14,E$15),0)</f>
        <v>#VALUE!</v>
      </c>
      <c r="F109" s="269" t="str">
        <f>IF(C109="","",ROUND([1]!TBLink(D$13,F$16,C109,F$14,F$15),0))</f>
        <v/>
      </c>
      <c r="G109" s="269" t="str">
        <f>IF(C109="","",ROUND([1]!TBLink(D$13,G$16,C109,G$14,G$15),0))</f>
        <v/>
      </c>
    </row>
    <row r="110" spans="5:7">
      <c r="E110" s="269" t="e">
        <f>ROUND([1]!TBLink(D$13,E$16,C110,E$14,E$15),0)</f>
        <v>#VALUE!</v>
      </c>
      <c r="F110" s="269" t="str">
        <f>IF(C110="","",ROUND([1]!TBLink(D$13,F$16,C110,F$14,F$15),0))</f>
        <v/>
      </c>
      <c r="G110" s="269" t="str">
        <f>IF(C110="","",ROUND([1]!TBLink(D$13,G$16,C110,G$14,G$15),0))</f>
        <v/>
      </c>
    </row>
    <row r="111" spans="5:7">
      <c r="E111" s="269" t="e">
        <f>ROUND([1]!TBLink(D$13,E$16,C111,E$14,E$15),0)</f>
        <v>#VALUE!</v>
      </c>
      <c r="F111" s="269" t="str">
        <f>IF(C111="","",ROUND([1]!TBLink(D$13,F$16,C111,F$14,F$15),0))</f>
        <v/>
      </c>
      <c r="G111" s="269" t="str">
        <f>IF(C111="","",ROUND([1]!TBLink(D$13,G$16,C111,G$14,G$15),0))</f>
        <v/>
      </c>
    </row>
    <row r="112" spans="5:7">
      <c r="E112" s="269" t="e">
        <f>ROUND([1]!TBLink(D$13,E$16,C112,E$14,E$15),0)</f>
        <v>#VALUE!</v>
      </c>
      <c r="F112" s="269" t="str">
        <f>IF(C112="","",ROUND([1]!TBLink(D$13,F$16,C112,F$14,F$15),0))</f>
        <v/>
      </c>
      <c r="G112" s="269" t="str">
        <f>IF(C112="","",ROUND([1]!TBLink(D$13,G$16,C112,G$14,G$15),0))</f>
        <v/>
      </c>
    </row>
    <row r="113" spans="5:7">
      <c r="E113" s="269" t="e">
        <f>ROUND([1]!TBLink(D$13,E$16,C113,E$14,E$15),0)</f>
        <v>#VALUE!</v>
      </c>
      <c r="F113" s="269" t="str">
        <f>IF(C113="","",ROUND([1]!TBLink(D$13,F$16,C113,F$14,F$15),0))</f>
        <v/>
      </c>
      <c r="G113" s="269" t="str">
        <f>IF(C113="","",ROUND([1]!TBLink(D$13,G$16,C113,G$14,G$15),0))</f>
        <v/>
      </c>
    </row>
    <row r="114" spans="5:7">
      <c r="E114" s="269" t="e">
        <f>ROUND([1]!TBLink(D$13,E$16,C114,E$14,E$15),0)</f>
        <v>#VALUE!</v>
      </c>
      <c r="F114" s="269" t="str">
        <f>IF(C114="","",ROUND([1]!TBLink(D$13,F$16,C114,F$14,F$15),0))</f>
        <v/>
      </c>
      <c r="G114" s="269" t="str">
        <f>IF(C114="","",ROUND([1]!TBLink(D$13,G$16,C114,G$14,G$15),0))</f>
        <v/>
      </c>
    </row>
    <row r="115" spans="5:7">
      <c r="E115" s="269" t="e">
        <f>ROUND([1]!TBLink(D$13,E$16,C115,E$14,E$15),0)</f>
        <v>#VALUE!</v>
      </c>
      <c r="F115" s="269" t="str">
        <f>IF(C115="","",ROUND([1]!TBLink(D$13,F$16,C115,F$14,F$15),0))</f>
        <v/>
      </c>
      <c r="G115" s="269" t="str">
        <f>IF(C115="","",ROUND([1]!TBLink(D$13,G$16,C115,G$14,G$15),0))</f>
        <v/>
      </c>
    </row>
    <row r="116" spans="5:7">
      <c r="E116" s="269" t="e">
        <f>ROUND([1]!TBLink(D$13,E$16,C116,E$14,E$15),0)</f>
        <v>#VALUE!</v>
      </c>
      <c r="F116" s="269" t="str">
        <f>IF(C116="","",ROUND([1]!TBLink(D$13,F$16,C116,F$14,F$15),0))</f>
        <v/>
      </c>
      <c r="G116" s="269" t="str">
        <f>IF(C116="","",ROUND([1]!TBLink(D$13,G$16,C116,G$14,G$15),0))</f>
        <v/>
      </c>
    </row>
    <row r="117" spans="5:7">
      <c r="E117" s="269" t="e">
        <f>ROUND([1]!TBLink(D$13,E$16,C117,E$14,E$15),0)</f>
        <v>#VALUE!</v>
      </c>
      <c r="F117" s="269" t="str">
        <f>IF(C117="","",ROUND([1]!TBLink(D$13,F$16,C117,F$14,F$15),0))</f>
        <v/>
      </c>
      <c r="G117" s="269" t="str">
        <f>IF(C117="","",ROUND([1]!TBLink(D$13,G$16,C117,G$14,G$15),0))</f>
        <v/>
      </c>
    </row>
    <row r="118" spans="5:7">
      <c r="E118" s="269" t="e">
        <f>ROUND([1]!TBLink(D$13,E$16,C118,E$14,E$15),0)</f>
        <v>#VALUE!</v>
      </c>
      <c r="F118" s="269" t="str">
        <f>IF(C118="","",ROUND([1]!TBLink(D$13,F$16,C118,F$14,F$15),0))</f>
        <v/>
      </c>
      <c r="G118" s="269" t="str">
        <f>IF(C118="","",ROUND([1]!TBLink(D$13,G$16,C118,G$14,G$15),0))</f>
        <v/>
      </c>
    </row>
    <row r="119" spans="5:7">
      <c r="E119" s="269" t="e">
        <f>ROUND([1]!TBLink(D$13,E$16,C119,E$14,E$15),0)</f>
        <v>#VALUE!</v>
      </c>
      <c r="F119" s="269" t="str">
        <f>IF(C119="","",ROUND([1]!TBLink(D$13,F$16,C119,F$14,F$15),0))</f>
        <v/>
      </c>
      <c r="G119" s="269" t="str">
        <f>IF(C119="","",ROUND([1]!TBLink(D$13,G$16,C119,G$14,G$15),0))</f>
        <v/>
      </c>
    </row>
    <row r="120" spans="5:7">
      <c r="E120" s="269" t="e">
        <f>ROUND([1]!TBLink(D$13,E$16,C120,E$14,E$15),0)</f>
        <v>#VALUE!</v>
      </c>
      <c r="F120" s="269" t="str">
        <f>IF(C120="","",ROUND([1]!TBLink(D$13,F$16,C120,F$14,F$15),0))</f>
        <v/>
      </c>
      <c r="G120" s="269" t="str">
        <f>IF(C120="","",ROUND([1]!TBLink(D$13,G$16,C120,G$14,G$15),0))</f>
        <v/>
      </c>
    </row>
    <row r="121" spans="5:7">
      <c r="E121" s="269" t="e">
        <f>ROUND([1]!TBLink(D$13,E$16,C121,E$14,E$15),0)</f>
        <v>#VALUE!</v>
      </c>
      <c r="F121" s="269" t="str">
        <f>IF(C121="","",ROUND([1]!TBLink(D$13,F$16,C121,F$14,F$15),0))</f>
        <v/>
      </c>
      <c r="G121" s="269" t="str">
        <f>IF(C121="","",ROUND([1]!TBLink(D$13,G$16,C121,G$14,G$15),0))</f>
        <v/>
      </c>
    </row>
    <row r="122" spans="5:7">
      <c r="E122" s="269" t="e">
        <f>ROUND([1]!TBLink(D$13,E$16,C122,E$14,E$15),0)</f>
        <v>#VALUE!</v>
      </c>
      <c r="F122" s="269" t="str">
        <f>IF(C122="","",ROUND([1]!TBLink(D$13,F$16,C122,F$14,F$15),0))</f>
        <v/>
      </c>
      <c r="G122" s="269" t="str">
        <f>IF(C122="","",ROUND([1]!TBLink(D$13,G$16,C122,G$14,G$15),0))</f>
        <v/>
      </c>
    </row>
    <row r="123" spans="5:7">
      <c r="E123" s="269" t="e">
        <f>ROUND([1]!TBLink(D$13,E$16,C123,E$14,E$15),0)</f>
        <v>#VALUE!</v>
      </c>
      <c r="F123" s="269" t="str">
        <f>IF(C123="","",ROUND([1]!TBLink(D$13,F$16,C123,F$14,F$15),0))</f>
        <v/>
      </c>
      <c r="G123" s="269" t="str">
        <f>IF(C123="","",ROUND([1]!TBLink(D$13,G$16,C123,G$14,G$15),0))</f>
        <v/>
      </c>
    </row>
    <row r="124" spans="5:7">
      <c r="E124" s="269" t="e">
        <f>ROUND([1]!TBLink(D$13,E$16,C124,E$14,E$15),0)</f>
        <v>#VALUE!</v>
      </c>
      <c r="F124" s="269" t="str">
        <f>IF(C124="","",ROUND([1]!TBLink(D$13,F$16,C124,F$14,F$15),0))</f>
        <v/>
      </c>
      <c r="G124" s="269" t="str">
        <f>IF(C124="","",ROUND([1]!TBLink(D$13,G$16,C124,G$14,G$15),0))</f>
        <v/>
      </c>
    </row>
    <row r="125" spans="5:7">
      <c r="E125" s="269" t="e">
        <f>ROUND([1]!TBLink(D$13,E$16,C125,E$14,E$15),0)</f>
        <v>#VALUE!</v>
      </c>
      <c r="F125" s="269" t="str">
        <f>IF(C125="","",ROUND([1]!TBLink(D$13,F$16,C125,F$14,F$15),0))</f>
        <v/>
      </c>
      <c r="G125" s="269" t="str">
        <f>IF(C125="","",ROUND([1]!TBLink(D$13,G$16,C125,G$14,G$15),0))</f>
        <v/>
      </c>
    </row>
    <row r="126" spans="5:7">
      <c r="E126" s="269" t="e">
        <f>ROUND([1]!TBLink(D$13,E$16,C126,E$14,E$15),0)</f>
        <v>#VALUE!</v>
      </c>
      <c r="F126" s="269" t="str">
        <f>IF(C126="","",ROUND([1]!TBLink(D$13,F$16,C126,F$14,F$15),0))</f>
        <v/>
      </c>
      <c r="G126" s="269" t="str">
        <f>IF(C126="","",ROUND([1]!TBLink(D$13,G$16,C126,G$14,G$15),0))</f>
        <v/>
      </c>
    </row>
    <row r="127" spans="5:7">
      <c r="E127" s="269" t="e">
        <f>ROUND([1]!TBLink(D$13,E$16,C127,E$14,E$15),0)</f>
        <v>#VALUE!</v>
      </c>
      <c r="F127" s="269" t="str">
        <f>IF(C127="","",ROUND([1]!TBLink(D$13,F$16,C127,F$14,F$15),0))</f>
        <v/>
      </c>
      <c r="G127" s="269" t="str">
        <f>IF(C127="","",ROUND([1]!TBLink(D$13,G$16,C127,G$14,G$15),0))</f>
        <v/>
      </c>
    </row>
    <row r="128" spans="5:7">
      <c r="E128" s="269" t="e">
        <f>ROUND([1]!TBLink(D$13,E$16,C128,E$14,E$15),0)</f>
        <v>#VALUE!</v>
      </c>
      <c r="F128" s="269" t="str">
        <f>IF(C128="","",ROUND([1]!TBLink(D$13,F$16,C128,F$14,F$15),0))</f>
        <v/>
      </c>
      <c r="G128" s="269" t="str">
        <f>IF(C128="","",ROUND([1]!TBLink(D$13,G$16,C128,G$14,G$15),0))</f>
        <v/>
      </c>
    </row>
    <row r="129" spans="5:7">
      <c r="E129" s="269" t="e">
        <f>ROUND([1]!TBLink(D$13,E$16,C129,E$14,E$15),0)</f>
        <v>#VALUE!</v>
      </c>
      <c r="F129" s="269" t="str">
        <f>IF(C129="","",ROUND([1]!TBLink(D$13,F$16,C129,F$14,F$15),0))</f>
        <v/>
      </c>
      <c r="G129" s="269" t="str">
        <f>IF(C129="","",ROUND([1]!TBLink(D$13,G$16,C129,G$14,G$15),0))</f>
        <v/>
      </c>
    </row>
    <row r="130" spans="5:7">
      <c r="E130" s="269" t="e">
        <f>ROUND([1]!TBLink(D$13,E$16,C130,E$14,E$15),0)</f>
        <v>#VALUE!</v>
      </c>
      <c r="F130" s="269" t="str">
        <f>IF(C130="","",ROUND([1]!TBLink(D$13,F$16,C130,F$14,F$15),0))</f>
        <v/>
      </c>
      <c r="G130" s="269" t="str">
        <f>IF(C130="","",ROUND([1]!TBLink(D$13,G$16,C130,G$14,G$15),0))</f>
        <v/>
      </c>
    </row>
    <row r="131" spans="5:7">
      <c r="E131" s="269" t="e">
        <f>ROUND([1]!TBLink(D$13,E$16,C131,E$14,E$15),0)</f>
        <v>#VALUE!</v>
      </c>
      <c r="F131" s="269" t="str">
        <f>IF(C131="","",ROUND([1]!TBLink(D$13,F$16,C131,F$14,F$15),0))</f>
        <v/>
      </c>
      <c r="G131" s="269" t="str">
        <f>IF(C131="","",ROUND([1]!TBLink(D$13,G$16,C131,G$14,G$15),0))</f>
        <v/>
      </c>
    </row>
    <row r="132" spans="5:7">
      <c r="E132" s="269" t="e">
        <f>ROUND([1]!TBLink(D$13,E$16,C132,E$14,E$15),0)</f>
        <v>#VALUE!</v>
      </c>
      <c r="F132" s="269" t="str">
        <f>IF(C132="","",ROUND([1]!TBLink(D$13,F$16,C132,F$14,F$15),0))</f>
        <v/>
      </c>
      <c r="G132" s="269" t="str">
        <f>IF(C132="","",ROUND([1]!TBLink(D$13,G$16,C132,G$14,G$15),0))</f>
        <v/>
      </c>
    </row>
    <row r="133" spans="5:7">
      <c r="E133" s="269" t="e">
        <f>ROUND([1]!TBLink(D$13,E$16,C133,E$14,E$15),0)</f>
        <v>#VALUE!</v>
      </c>
      <c r="F133" s="269" t="str">
        <f>IF(C133="","",ROUND([1]!TBLink(D$13,F$16,C133,F$14,F$15),0))</f>
        <v/>
      </c>
      <c r="G133" s="269" t="str">
        <f>IF(C133="","",ROUND([1]!TBLink(D$13,G$16,C133,G$14,G$15),0))</f>
        <v/>
      </c>
    </row>
    <row r="134" spans="5:7">
      <c r="E134" s="269" t="e">
        <f>ROUND([1]!TBLink(D$13,E$16,C134,E$14,E$15),0)</f>
        <v>#VALUE!</v>
      </c>
      <c r="F134" s="269" t="str">
        <f>IF(C134="","",ROUND([1]!TBLink(D$13,F$16,C134,F$14,F$15),0))</f>
        <v/>
      </c>
      <c r="G134" s="269" t="str">
        <f>IF(C134="","",ROUND([1]!TBLink(D$13,G$16,C134,G$14,G$15),0))</f>
        <v/>
      </c>
    </row>
    <row r="135" spans="5:7">
      <c r="E135" s="269" t="e">
        <f>ROUND([1]!TBLink(D$13,E$16,C135,E$14,E$15),0)</f>
        <v>#VALUE!</v>
      </c>
      <c r="F135" s="269" t="str">
        <f>IF(C135="","",ROUND([1]!TBLink(D$13,F$16,C135,F$14,F$15),0))</f>
        <v/>
      </c>
      <c r="G135" s="269" t="str">
        <f>IF(C135="","",ROUND([1]!TBLink(D$13,G$16,C135,G$14,G$15),0))</f>
        <v/>
      </c>
    </row>
    <row r="136" spans="5:7">
      <c r="E136" s="269" t="e">
        <f>ROUND([1]!TBLink(D$13,E$16,C136,E$14,E$15),0)</f>
        <v>#VALUE!</v>
      </c>
      <c r="F136" s="269" t="str">
        <f>IF(C136="","",ROUND([1]!TBLink(D$13,F$16,C136,F$14,F$15),0))</f>
        <v/>
      </c>
      <c r="G136" s="269" t="str">
        <f>IF(C136="","",ROUND([1]!TBLink(D$13,G$16,C136,G$14,G$15),0))</f>
        <v/>
      </c>
    </row>
    <row r="137" spans="5:7">
      <c r="E137" s="269" t="e">
        <f>ROUND([1]!TBLink(D$13,E$16,C137,E$14,E$15),0)</f>
        <v>#VALUE!</v>
      </c>
      <c r="F137" s="269" t="str">
        <f>IF(C137="","",ROUND([1]!TBLink(D$13,F$16,C137,F$14,F$15),0))</f>
        <v/>
      </c>
      <c r="G137" s="269" t="str">
        <f>IF(C137="","",ROUND([1]!TBLink(D$13,G$16,C137,G$14,G$15),0))</f>
        <v/>
      </c>
    </row>
    <row r="138" spans="5:7">
      <c r="E138" s="269" t="e">
        <f>ROUND([1]!TBLink(D$13,E$16,C138,E$14,E$15),0)</f>
        <v>#VALUE!</v>
      </c>
      <c r="F138" s="269" t="str">
        <f>IF(C138="","",ROUND([1]!TBLink(D$13,F$16,C138,F$14,F$15),0))</f>
        <v/>
      </c>
      <c r="G138" s="269" t="str">
        <f>IF(C138="","",ROUND([1]!TBLink(D$13,G$16,C138,G$14,G$15),0))</f>
        <v/>
      </c>
    </row>
    <row r="139" spans="5:7">
      <c r="E139" s="269" t="e">
        <f>ROUND([1]!TBLink(D$13,E$16,C139,E$14,E$15),0)</f>
        <v>#VALUE!</v>
      </c>
      <c r="F139" s="269" t="str">
        <f>IF(C139="","",ROUND([1]!TBLink(D$13,F$16,C139,F$14,F$15),0))</f>
        <v/>
      </c>
      <c r="G139" s="269" t="str">
        <f>IF(C139="","",ROUND([1]!TBLink(D$13,G$16,C139,G$14,G$15),0))</f>
        <v/>
      </c>
    </row>
    <row r="140" spans="5:7">
      <c r="E140" s="269" t="e">
        <f>ROUND([1]!TBLink(D$13,E$16,C140,E$14,E$15),0)</f>
        <v>#VALUE!</v>
      </c>
      <c r="F140" s="269" t="str">
        <f>IF(C140="","",ROUND([1]!TBLink(D$13,F$16,C140,F$14,F$15),0))</f>
        <v/>
      </c>
      <c r="G140" s="269" t="str">
        <f>IF(C140="","",ROUND([1]!TBLink(D$13,G$16,C140,G$14,G$15),0))</f>
        <v/>
      </c>
    </row>
    <row r="141" spans="5:7">
      <c r="E141" s="269" t="e">
        <f>ROUND([1]!TBLink(D$13,E$16,C141,E$14,E$15),0)</f>
        <v>#VALUE!</v>
      </c>
      <c r="F141" s="269" t="str">
        <f>IF(C141="","",ROUND([1]!TBLink(D$13,F$16,C141,F$14,F$15),0))</f>
        <v/>
      </c>
      <c r="G141" s="269" t="str">
        <f>IF(C141="","",ROUND([1]!TBLink(D$13,G$16,C141,G$14,G$15),0))</f>
        <v/>
      </c>
    </row>
    <row r="142" spans="5:7">
      <c r="E142" s="269" t="e">
        <f>ROUND([1]!TBLink(D$13,E$16,C142,E$14,E$15),0)</f>
        <v>#VALUE!</v>
      </c>
      <c r="F142" s="269" t="str">
        <f>IF(C142="","",ROUND([1]!TBLink(D$13,F$16,C142,F$14,F$15),0))</f>
        <v/>
      </c>
      <c r="G142" s="269" t="str">
        <f>IF(C142="","",ROUND([1]!TBLink(D$13,G$16,C142,G$14,G$15),0))</f>
        <v/>
      </c>
    </row>
    <row r="143" spans="5:7">
      <c r="E143" s="269" t="e">
        <f>ROUND([1]!TBLink(D$13,E$16,C143,E$14,E$15),0)</f>
        <v>#VALUE!</v>
      </c>
      <c r="F143" s="269" t="str">
        <f>IF(C143="","",ROUND([1]!TBLink(D$13,F$16,C143,F$14,F$15),0))</f>
        <v/>
      </c>
      <c r="G143" s="269" t="str">
        <f>IF(C143="","",ROUND([1]!TBLink(D$13,G$16,C143,G$14,G$15),0))</f>
        <v/>
      </c>
    </row>
    <row r="144" spans="5:7">
      <c r="E144" s="269" t="e">
        <f>ROUND([1]!TBLink(D$13,E$16,C144,E$14,E$15),0)</f>
        <v>#VALUE!</v>
      </c>
      <c r="F144" s="269" t="str">
        <f>IF(C144="","",ROUND([1]!TBLink(D$13,F$16,C144,F$14,F$15),0))</f>
        <v/>
      </c>
      <c r="G144" s="269" t="str">
        <f>IF(C144="","",ROUND([1]!TBLink(D$13,G$16,C144,G$14,G$15),0))</f>
        <v/>
      </c>
    </row>
    <row r="145" spans="5:7">
      <c r="E145" s="269" t="e">
        <f>ROUND([1]!TBLink(D$13,E$16,C145,E$14,E$15),0)</f>
        <v>#VALUE!</v>
      </c>
      <c r="F145" s="269" t="str">
        <f>IF(C145="","",ROUND([1]!TBLink(D$13,F$16,C145,F$14,F$15),0))</f>
        <v/>
      </c>
      <c r="G145" s="269" t="str">
        <f>IF(C145="","",ROUND([1]!TBLink(D$13,G$16,C145,G$14,G$15),0))</f>
        <v/>
      </c>
    </row>
    <row r="146" spans="5:7">
      <c r="E146" s="269" t="e">
        <f>ROUND([1]!TBLink(D$13,E$16,C146,E$14,E$15),0)</f>
        <v>#VALUE!</v>
      </c>
      <c r="F146" s="269" t="str">
        <f>IF(C146="","",ROUND([1]!TBLink(D$13,F$16,C146,F$14,F$15),0))</f>
        <v/>
      </c>
      <c r="G146" s="269" t="str">
        <f>IF(C146="","",ROUND([1]!TBLink(D$13,G$16,C146,G$14,G$15),0))</f>
        <v/>
      </c>
    </row>
    <row r="147" spans="5:7">
      <c r="E147" s="269" t="e">
        <f>ROUND([1]!TBLink(D$13,E$16,C147,E$14,E$15),0)</f>
        <v>#VALUE!</v>
      </c>
      <c r="F147" s="269" t="str">
        <f>IF(C147="","",ROUND([1]!TBLink(D$13,F$16,C147,F$14,F$15),0))</f>
        <v/>
      </c>
      <c r="G147" s="269" t="str">
        <f>IF(C147="","",ROUND([1]!TBLink(D$13,G$16,C147,G$14,G$15),0))</f>
        <v/>
      </c>
    </row>
    <row r="148" spans="5:7">
      <c r="E148" s="269" t="e">
        <f>ROUND([1]!TBLink(D$13,E$16,C148,E$14,E$15),0)</f>
        <v>#VALUE!</v>
      </c>
      <c r="F148" s="269" t="str">
        <f>IF(C148="","",ROUND([1]!TBLink(D$13,F$16,C148,F$14,F$15),0))</f>
        <v/>
      </c>
      <c r="G148" s="269" t="str">
        <f>IF(C148="","",ROUND([1]!TBLink(D$13,G$16,C148,G$14,G$15),0))</f>
        <v/>
      </c>
    </row>
    <row r="149" spans="5:7">
      <c r="E149" s="269" t="e">
        <f>ROUND([1]!TBLink(D$13,E$16,C149,E$14,E$15),0)</f>
        <v>#VALUE!</v>
      </c>
      <c r="F149" s="269" t="str">
        <f>IF(C149="","",ROUND([1]!TBLink(D$13,F$16,C149,F$14,F$15),0))</f>
        <v/>
      </c>
      <c r="G149" s="269" t="str">
        <f>IF(C149="","",ROUND([1]!TBLink(D$13,G$16,C149,G$14,G$15),0))</f>
        <v/>
      </c>
    </row>
    <row r="150" spans="5:7">
      <c r="E150" s="269" t="e">
        <f>ROUND([1]!TBLink(D$13,E$16,C150,E$14,E$15),0)</f>
        <v>#VALUE!</v>
      </c>
      <c r="F150" s="269" t="str">
        <f>IF(C150="","",ROUND([1]!TBLink(D$13,F$16,C150,F$14,F$15),0))</f>
        <v/>
      </c>
      <c r="G150" s="269" t="str">
        <f>IF(C150="","",ROUND([1]!TBLink(D$13,G$16,C150,G$14,G$15),0))</f>
        <v/>
      </c>
    </row>
    <row r="151" spans="5:7">
      <c r="E151" s="269" t="e">
        <f>ROUND([1]!TBLink(D$13,E$16,C151,E$14,E$15),0)</f>
        <v>#VALUE!</v>
      </c>
      <c r="F151" s="269" t="str">
        <f>IF(C151="","",ROUND([1]!TBLink(D$13,F$16,C151,F$14,F$15),0))</f>
        <v/>
      </c>
      <c r="G151" s="269" t="str">
        <f>IF(C151="","",ROUND([1]!TBLink(D$13,G$16,C151,G$14,G$15),0))</f>
        <v/>
      </c>
    </row>
    <row r="152" spans="5:7">
      <c r="E152" s="269" t="e">
        <f>ROUND([1]!TBLink(D$13,E$16,C152,E$14,E$15),0)</f>
        <v>#VALUE!</v>
      </c>
      <c r="F152" s="269" t="str">
        <f>IF(C152="","",ROUND([1]!TBLink(D$13,F$16,C152,F$14,F$15),0))</f>
        <v/>
      </c>
      <c r="G152" s="269" t="str">
        <f>IF(C152="","",ROUND([1]!TBLink(D$13,G$16,C152,G$14,G$15),0))</f>
        <v/>
      </c>
    </row>
    <row r="153" spans="5:7">
      <c r="E153" s="269" t="e">
        <f>ROUND([1]!TBLink(D$13,E$16,C153,E$14,E$15),0)</f>
        <v>#VALUE!</v>
      </c>
      <c r="F153" s="269" t="str">
        <f>IF(C153="","",ROUND([1]!TBLink(D$13,F$16,C153,F$14,F$15),0))</f>
        <v/>
      </c>
      <c r="G153" s="269" t="str">
        <f>IF(C153="","",ROUND([1]!TBLink(D$13,G$16,C153,G$14,G$15),0))</f>
        <v/>
      </c>
    </row>
    <row r="154" spans="5:7">
      <c r="E154" s="269" t="e">
        <f>ROUND([1]!TBLink(D$13,E$16,C154,E$14,E$15),0)</f>
        <v>#VALUE!</v>
      </c>
      <c r="F154" s="269" t="str">
        <f>IF(C154="","",ROUND([1]!TBLink(D$13,F$16,C154,F$14,F$15),0))</f>
        <v/>
      </c>
      <c r="G154" s="269" t="str">
        <f>IF(C154="","",ROUND([1]!TBLink(D$13,G$16,C154,G$14,G$15),0))</f>
        <v/>
      </c>
    </row>
    <row r="155" spans="5:7">
      <c r="E155" s="269" t="e">
        <f>ROUND([1]!TBLink(D$13,E$16,C155,E$14,E$15),0)</f>
        <v>#VALUE!</v>
      </c>
      <c r="F155" s="269" t="str">
        <f>IF(C155="","",ROUND([1]!TBLink(D$13,F$16,C155,F$14,F$15),0))</f>
        <v/>
      </c>
      <c r="G155" s="269" t="str">
        <f>IF(C155="","",ROUND([1]!TBLink(D$13,G$16,C155,G$14,G$15),0))</f>
        <v/>
      </c>
    </row>
    <row r="156" spans="5:7">
      <c r="E156" s="269" t="e">
        <f>ROUND([1]!TBLink(D$13,E$16,C156,E$14,E$15),0)</f>
        <v>#VALUE!</v>
      </c>
      <c r="F156" s="269" t="str">
        <f>IF(C156="","",ROUND([1]!TBLink(D$13,F$16,C156,F$14,F$15),0))</f>
        <v/>
      </c>
      <c r="G156" s="269" t="str">
        <f>IF(C156="","",ROUND([1]!TBLink(D$13,G$16,C156,G$14,G$15),0))</f>
        <v/>
      </c>
    </row>
    <row r="157" spans="5:7">
      <c r="E157" s="269" t="e">
        <f>ROUND([1]!TBLink(D$13,E$16,C157,E$14,E$15),0)</f>
        <v>#VALUE!</v>
      </c>
      <c r="F157" s="269" t="str">
        <f>IF(C157="","",ROUND([1]!TBLink(D$13,F$16,C157,F$14,F$15),0))</f>
        <v/>
      </c>
      <c r="G157" s="269" t="str">
        <f>IF(C157="","",ROUND([1]!TBLink(D$13,G$16,C157,G$14,G$15),0))</f>
        <v/>
      </c>
    </row>
    <row r="158" spans="5:7">
      <c r="E158" s="269" t="e">
        <f>ROUND([1]!TBLink(D$13,E$16,C158,E$14,E$15),0)</f>
        <v>#VALUE!</v>
      </c>
      <c r="F158" s="269" t="str">
        <f>IF(C158="","",ROUND([1]!TBLink(D$13,F$16,C158,F$14,F$15),0))</f>
        <v/>
      </c>
      <c r="G158" s="269" t="str">
        <f>IF(C158="","",ROUND([1]!TBLink(D$13,G$16,C158,G$14,G$15),0))</f>
        <v/>
      </c>
    </row>
    <row r="159" spans="5:7">
      <c r="E159" s="269" t="e">
        <f>ROUND([1]!TBLink(D$13,E$16,C159,E$14,E$15),0)</f>
        <v>#VALUE!</v>
      </c>
      <c r="F159" s="269" t="str">
        <f>IF(C159="","",ROUND([1]!TBLink(D$13,F$16,C159,F$14,F$15),0))</f>
        <v/>
      </c>
      <c r="G159" s="269" t="str">
        <f>IF(C159="","",ROUND([1]!TBLink(D$13,G$16,C159,G$14,G$15),0))</f>
        <v/>
      </c>
    </row>
    <row r="160" spans="5:7">
      <c r="E160" s="269" t="e">
        <f>ROUND([1]!TBLink(D$13,E$16,C160,E$14,E$15),0)</f>
        <v>#VALUE!</v>
      </c>
      <c r="F160" s="269" t="str">
        <f>IF(C160="","",ROUND([1]!TBLink(D$13,F$16,C160,F$14,F$15),0))</f>
        <v/>
      </c>
      <c r="G160" s="269" t="str">
        <f>IF(C160="","",ROUND([1]!TBLink(D$13,G$16,C160,G$14,G$15),0))</f>
        <v/>
      </c>
    </row>
    <row r="161" spans="5:7">
      <c r="E161" s="269" t="e">
        <f>ROUND([1]!TBLink(D$13,E$16,C161,E$14,E$15),0)</f>
        <v>#VALUE!</v>
      </c>
      <c r="F161" s="269" t="str">
        <f>IF(C161="","",ROUND([1]!TBLink(D$13,F$16,C161,F$14,F$15),0))</f>
        <v/>
      </c>
      <c r="G161" s="269" t="str">
        <f>IF(C161="","",ROUND([1]!TBLink(D$13,G$16,C161,G$14,G$15),0))</f>
        <v/>
      </c>
    </row>
    <row r="162" spans="5:7">
      <c r="E162" s="269" t="e">
        <f>ROUND([1]!TBLink(D$13,E$16,C162,E$14,E$15),0)</f>
        <v>#VALUE!</v>
      </c>
      <c r="F162" s="269" t="str">
        <f>IF(C162="","",ROUND([1]!TBLink(D$13,F$16,C162,F$14,F$15),0))</f>
        <v/>
      </c>
      <c r="G162" s="269" t="str">
        <f>IF(C162="","",ROUND([1]!TBLink(D$13,G$16,C162,G$14,G$15),0))</f>
        <v/>
      </c>
    </row>
  </sheetData>
  <autoFilter ref="C21:H35" xr:uid="{13C5EF78-892F-494E-B0F0-C70039332E94}">
    <sortState xmlns:xlrd2="http://schemas.microsoft.com/office/spreadsheetml/2017/richdata2" ref="C22:H162">
      <sortCondition ref="H21:H35"/>
    </sortState>
  </autoFilter>
  <mergeCells count="1">
    <mergeCell ref="C1:H1"/>
  </mergeCells>
  <phoneticPr fontId="39" type="noConversion"/>
  <conditionalFormatting sqref="C51:C53 C22:C33">
    <cfRule type="duplicateValues" dxfId="2" priority="2"/>
  </conditionalFormatting>
  <conditionalFormatting sqref="C51:C56 C22:C28">
    <cfRule type="duplicateValues" dxfId="1" priority="1"/>
  </conditionalFormatting>
  <conditionalFormatting sqref="L34:L51">
    <cfRule type="duplicateValues" dxfId="0" priority="5"/>
  </conditionalFormatting>
  <pageMargins left="0.7" right="0.7" top="0.75" bottom="0.75" header="0.3" footer="0.3"/>
  <pageSetup orientation="portrait" verticalDpi="1200" r:id="rId1"/>
  <extLst>
    <ext xmlns:x14="http://schemas.microsoft.com/office/spreadsheetml/2009/9/main" uri="{CCE6A557-97BC-4b89-ADB6-D9C93CAAB3DF}">
      <x14:dataValidations xmlns:xm="http://schemas.microsoft.com/office/excel/2006/main" count="1">
        <x14:dataValidation type="list" allowBlank="1" showInputMessage="1" showErrorMessage="1" xr:uid="{A6538273-169E-4E7C-80BD-EB9C451EFFB1}">
          <x14:formula1>
            <xm:f>'Label List'!$A$3:$A$6</xm:f>
          </x14:formula1>
          <xm:sqref>H22:H57</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EF250B-ECE1-48D3-AC8A-57808CF0E4DB}">
  <dimension ref="A1:H14"/>
  <sheetViews>
    <sheetView workbookViewId="0">
      <selection activeCell="G19" sqref="G19"/>
    </sheetView>
  </sheetViews>
  <sheetFormatPr defaultRowHeight="15"/>
  <cols>
    <col min="5" max="5" width="24.42578125" customWidth="1"/>
    <col min="6" max="6" width="22.85546875" customWidth="1"/>
    <col min="7" max="7" width="19.5703125" customWidth="1"/>
    <col min="8" max="8" width="16.5703125" bestFit="1" customWidth="1"/>
    <col min="9" max="9" width="7.85546875" bestFit="1" customWidth="1"/>
  </cols>
  <sheetData>
    <row r="1" spans="1:8">
      <c r="A1" t="s">
        <v>429</v>
      </c>
    </row>
    <row r="3" spans="1:8">
      <c r="A3" t="s">
        <v>413</v>
      </c>
      <c r="E3" t="s">
        <v>472</v>
      </c>
    </row>
    <row r="4" spans="1:8" ht="15.75" thickBot="1">
      <c r="A4" t="s">
        <v>445</v>
      </c>
      <c r="E4" s="291" t="s">
        <v>413</v>
      </c>
      <c r="F4" s="291" t="s">
        <v>445</v>
      </c>
      <c r="G4" s="291" t="s">
        <v>377</v>
      </c>
      <c r="H4" s="291" t="s">
        <v>414</v>
      </c>
    </row>
    <row r="5" spans="1:8">
      <c r="A5" t="s">
        <v>377</v>
      </c>
    </row>
    <row r="6" spans="1:8">
      <c r="A6" t="s">
        <v>414</v>
      </c>
      <c r="E6" t="s">
        <v>452</v>
      </c>
      <c r="F6" t="s">
        <v>453</v>
      </c>
      <c r="G6" t="s">
        <v>455</v>
      </c>
      <c r="H6" t="s">
        <v>460</v>
      </c>
    </row>
    <row r="7" spans="1:8">
      <c r="E7" t="s">
        <v>225</v>
      </c>
      <c r="F7" t="s">
        <v>454</v>
      </c>
      <c r="G7" t="s">
        <v>456</v>
      </c>
      <c r="H7" t="s">
        <v>461</v>
      </c>
    </row>
    <row r="8" spans="1:8">
      <c r="E8" t="s">
        <v>463</v>
      </c>
      <c r="F8" t="s">
        <v>470</v>
      </c>
      <c r="G8" t="s">
        <v>457</v>
      </c>
      <c r="H8" t="s">
        <v>462</v>
      </c>
    </row>
    <row r="9" spans="1:8">
      <c r="E9" t="s">
        <v>464</v>
      </c>
      <c r="G9" t="s">
        <v>458</v>
      </c>
      <c r="H9" t="s">
        <v>471</v>
      </c>
    </row>
    <row r="10" spans="1:8">
      <c r="E10" t="s">
        <v>465</v>
      </c>
      <c r="G10" t="s">
        <v>459</v>
      </c>
    </row>
    <row r="11" spans="1:8">
      <c r="E11" t="s">
        <v>467</v>
      </c>
      <c r="G11" t="s">
        <v>466</v>
      </c>
    </row>
    <row r="12" spans="1:8">
      <c r="E12" t="s">
        <v>468</v>
      </c>
    </row>
    <row r="13" spans="1:8">
      <c r="E13" t="s">
        <v>233</v>
      </c>
    </row>
    <row r="14" spans="1:8">
      <c r="E14" t="s">
        <v>469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O72"/>
  <sheetViews>
    <sheetView workbookViewId="0"/>
  </sheetViews>
  <sheetFormatPr defaultColWidth="8.85546875" defaultRowHeight="15"/>
  <cols>
    <col min="1" max="1" width="38.28515625" customWidth="1"/>
    <col min="2" max="2" width="12.5703125" customWidth="1"/>
    <col min="3" max="3" width="11.7109375" customWidth="1"/>
    <col min="4" max="4" width="13.28515625" customWidth="1"/>
    <col min="5" max="5" width="10.7109375" customWidth="1"/>
    <col min="6" max="7" width="11.7109375" customWidth="1"/>
    <col min="8" max="8" width="10.7109375" customWidth="1"/>
    <col min="9" max="9" width="11.7109375" customWidth="1"/>
    <col min="10" max="10" width="10.140625" customWidth="1"/>
    <col min="11" max="11" width="11.7109375" customWidth="1"/>
    <col min="12" max="12" width="10.7109375" customWidth="1"/>
    <col min="13" max="13" width="11.5703125" customWidth="1"/>
  </cols>
  <sheetData>
    <row r="1" spans="1:13">
      <c r="A1" s="123" t="s">
        <v>330</v>
      </c>
    </row>
    <row r="2" spans="1:13">
      <c r="A2" s="153" t="s">
        <v>333</v>
      </c>
    </row>
    <row r="3" spans="1:13">
      <c r="A3" s="155">
        <v>2016</v>
      </c>
    </row>
    <row r="5" spans="1:13" ht="15.75" thickBot="1">
      <c r="B5" s="170" t="s">
        <v>213</v>
      </c>
      <c r="C5" s="170" t="s">
        <v>282</v>
      </c>
      <c r="D5" s="170" t="s">
        <v>203</v>
      </c>
      <c r="E5" s="170" t="s">
        <v>204</v>
      </c>
      <c r="F5" s="170" t="s">
        <v>205</v>
      </c>
      <c r="G5" s="170" t="s">
        <v>207</v>
      </c>
      <c r="H5" s="170" t="s">
        <v>208</v>
      </c>
      <c r="I5" s="170" t="s">
        <v>278</v>
      </c>
      <c r="J5" s="170" t="s">
        <v>279</v>
      </c>
      <c r="K5" s="170" t="s">
        <v>287</v>
      </c>
      <c r="L5" s="170" t="s">
        <v>293</v>
      </c>
      <c r="M5" s="170" t="s">
        <v>300</v>
      </c>
    </row>
    <row r="6" spans="1:13">
      <c r="A6" s="153" t="s">
        <v>331</v>
      </c>
    </row>
    <row r="7" spans="1:13">
      <c r="A7" s="1"/>
      <c r="B7" s="81" t="s">
        <v>3</v>
      </c>
      <c r="C7" s="81" t="s">
        <v>3</v>
      </c>
      <c r="D7" s="81" t="s">
        <v>3</v>
      </c>
      <c r="E7" s="81" t="s">
        <v>3</v>
      </c>
      <c r="F7" s="81" t="s">
        <v>3</v>
      </c>
      <c r="G7" s="81" t="s">
        <v>3</v>
      </c>
      <c r="H7" s="81" t="s">
        <v>3</v>
      </c>
      <c r="I7" s="81" t="s">
        <v>3</v>
      </c>
      <c r="J7" s="81" t="s">
        <v>3</v>
      </c>
      <c r="K7" s="81" t="s">
        <v>3</v>
      </c>
      <c r="L7" s="81" t="s">
        <v>3</v>
      </c>
    </row>
    <row r="8" spans="1:13">
      <c r="A8" s="65" t="s">
        <v>222</v>
      </c>
      <c r="B8" s="1">
        <v>1430558</v>
      </c>
      <c r="C8" s="1">
        <v>924598</v>
      </c>
      <c r="D8" s="1">
        <v>1413867</v>
      </c>
      <c r="E8" s="1">
        <v>466436</v>
      </c>
      <c r="F8" s="1">
        <v>305337</v>
      </c>
      <c r="G8" s="1">
        <v>653672</v>
      </c>
      <c r="H8" s="1">
        <v>788809</v>
      </c>
      <c r="I8" s="1">
        <v>413874</v>
      </c>
      <c r="J8" s="1"/>
      <c r="K8" s="1">
        <v>193061</v>
      </c>
      <c r="L8" s="1">
        <v>159987</v>
      </c>
      <c r="M8" s="1">
        <f t="shared" ref="M8:M15" si="0">+B8+C8+D8+E8+F8+G8+H8+I8+J8+K8+L8</f>
        <v>6750199</v>
      </c>
    </row>
    <row r="9" spans="1:13">
      <c r="A9" s="65" t="s">
        <v>223</v>
      </c>
      <c r="B9" s="1">
        <v>1269153</v>
      </c>
      <c r="C9" s="1">
        <v>704862</v>
      </c>
      <c r="D9" s="1">
        <v>1101799</v>
      </c>
      <c r="E9" s="1">
        <v>954874</v>
      </c>
      <c r="F9" s="1">
        <v>764872</v>
      </c>
      <c r="G9" s="1">
        <v>916561</v>
      </c>
      <c r="H9" s="1">
        <v>547501</v>
      </c>
      <c r="I9" s="1">
        <v>498201</v>
      </c>
      <c r="J9" s="1"/>
      <c r="K9" s="1">
        <v>112189</v>
      </c>
      <c r="L9" s="1">
        <v>156746</v>
      </c>
      <c r="M9" s="1">
        <f t="shared" si="0"/>
        <v>7026758</v>
      </c>
    </row>
    <row r="10" spans="1:13">
      <c r="A10" s="65" t="s">
        <v>224</v>
      </c>
      <c r="B10" s="1">
        <v>71237</v>
      </c>
      <c r="C10" s="1">
        <v>91631</v>
      </c>
      <c r="D10" s="1">
        <v>74690</v>
      </c>
      <c r="E10" s="1"/>
      <c r="F10" s="1"/>
      <c r="G10" s="1">
        <v>211239</v>
      </c>
      <c r="H10" s="1"/>
      <c r="I10" s="1"/>
      <c r="J10" s="1"/>
      <c r="K10" s="1">
        <v>0</v>
      </c>
      <c r="L10" s="1">
        <v>4396</v>
      </c>
      <c r="M10" s="1">
        <f t="shared" si="0"/>
        <v>453193</v>
      </c>
    </row>
    <row r="11" spans="1:13">
      <c r="A11" s="65" t="s">
        <v>225</v>
      </c>
      <c r="B11" s="1">
        <v>601230</v>
      </c>
      <c r="C11" s="1">
        <v>168675</v>
      </c>
      <c r="D11" s="1">
        <v>246659</v>
      </c>
      <c r="E11" s="1">
        <v>130686</v>
      </c>
      <c r="F11" s="1">
        <v>91887</v>
      </c>
      <c r="G11" s="1">
        <v>170134</v>
      </c>
      <c r="H11" s="1">
        <v>0</v>
      </c>
      <c r="I11" s="1">
        <v>145178</v>
      </c>
      <c r="J11" s="1"/>
      <c r="K11" s="1">
        <v>47413</v>
      </c>
      <c r="L11" s="1">
        <v>66447</v>
      </c>
      <c r="M11" s="1">
        <f t="shared" si="0"/>
        <v>1668309</v>
      </c>
    </row>
    <row r="12" spans="1:13">
      <c r="A12" s="65" t="s">
        <v>226</v>
      </c>
      <c r="B12" s="1">
        <v>502043</v>
      </c>
      <c r="C12" s="1">
        <v>355788</v>
      </c>
      <c r="D12" s="1">
        <v>225804</v>
      </c>
      <c r="E12" s="1">
        <v>0</v>
      </c>
      <c r="F12" s="1">
        <v>0</v>
      </c>
      <c r="G12" s="1">
        <v>280130</v>
      </c>
      <c r="H12" s="1">
        <v>127102</v>
      </c>
      <c r="I12" s="1">
        <v>246661</v>
      </c>
      <c r="J12" s="1"/>
      <c r="K12" s="1">
        <v>21274</v>
      </c>
      <c r="L12" s="1">
        <v>36061</v>
      </c>
      <c r="M12" s="1">
        <f t="shared" si="0"/>
        <v>1794863</v>
      </c>
    </row>
    <row r="13" spans="1:13">
      <c r="A13" s="70" t="s">
        <v>228</v>
      </c>
      <c r="B13" s="1">
        <v>-560012</v>
      </c>
      <c r="C13" s="1">
        <v>-181268</v>
      </c>
      <c r="D13" s="1">
        <v>-393603</v>
      </c>
      <c r="E13" s="1">
        <v>-177435</v>
      </c>
      <c r="F13" s="1">
        <v>-97726</v>
      </c>
      <c r="G13" s="1">
        <v>-221049</v>
      </c>
      <c r="H13" s="1">
        <v>-259719</v>
      </c>
      <c r="I13" s="1">
        <v>-64294</v>
      </c>
      <c r="J13" s="1"/>
      <c r="K13" s="1">
        <v>-13229</v>
      </c>
      <c r="L13" s="1">
        <v>-11397</v>
      </c>
      <c r="M13" s="1">
        <f t="shared" si="0"/>
        <v>-1979732</v>
      </c>
    </row>
    <row r="14" spans="1:13">
      <c r="A14" s="161"/>
      <c r="B14" s="4"/>
      <c r="C14" s="4"/>
      <c r="D14" s="4"/>
      <c r="E14" s="4"/>
      <c r="F14" s="4"/>
      <c r="G14" s="4"/>
      <c r="H14" s="4"/>
      <c r="I14" s="4"/>
      <c r="J14" s="4"/>
      <c r="K14" s="4"/>
      <c r="L14" s="4"/>
      <c r="M14" s="1">
        <f t="shared" si="0"/>
        <v>0</v>
      </c>
    </row>
    <row r="15" spans="1:13">
      <c r="A15" s="161" t="s">
        <v>219</v>
      </c>
      <c r="B15" s="4">
        <v>3314209</v>
      </c>
      <c r="C15" s="4">
        <v>2064286</v>
      </c>
      <c r="D15" s="4">
        <v>2669216</v>
      </c>
      <c r="E15" s="4">
        <v>1374561</v>
      </c>
      <c r="F15" s="4">
        <v>1064370</v>
      </c>
      <c r="G15" s="4">
        <v>2010687</v>
      </c>
      <c r="H15" s="4">
        <v>1203693</v>
      </c>
      <c r="I15" s="4">
        <v>1239620</v>
      </c>
      <c r="J15" s="4"/>
      <c r="K15" s="4">
        <v>360708</v>
      </c>
      <c r="L15" s="4">
        <v>412240</v>
      </c>
      <c r="M15" s="1">
        <f t="shared" si="0"/>
        <v>15713590</v>
      </c>
    </row>
    <row r="16" spans="1:13" s="146" customFormat="1">
      <c r="B16" s="172"/>
      <c r="C16" s="172"/>
      <c r="D16" s="172"/>
      <c r="E16" s="172"/>
      <c r="F16" s="172"/>
      <c r="G16" s="172"/>
      <c r="H16" s="172"/>
      <c r="I16" s="172"/>
      <c r="J16" s="172"/>
      <c r="K16" s="172"/>
      <c r="L16" s="172"/>
    </row>
    <row r="17" spans="1:13">
      <c r="A17" s="153" t="s">
        <v>332</v>
      </c>
      <c r="B17" s="81"/>
      <c r="C17" s="81"/>
      <c r="D17" s="81"/>
      <c r="E17" s="81"/>
      <c r="F17" s="81"/>
      <c r="G17" s="81"/>
      <c r="H17" s="81"/>
      <c r="I17" s="81"/>
      <c r="J17" s="81"/>
      <c r="K17" s="81"/>
      <c r="L17" s="81"/>
      <c r="M17" s="81"/>
    </row>
    <row r="18" spans="1:13">
      <c r="A18" s="1"/>
      <c r="B18" s="81" t="s">
        <v>3</v>
      </c>
      <c r="C18" s="81" t="s">
        <v>3</v>
      </c>
      <c r="D18" s="81" t="s">
        <v>3</v>
      </c>
      <c r="E18" s="81" t="s">
        <v>3</v>
      </c>
      <c r="F18" s="81" t="s">
        <v>3</v>
      </c>
      <c r="G18" s="81" t="s">
        <v>3</v>
      </c>
      <c r="H18" s="81" t="s">
        <v>3</v>
      </c>
      <c r="I18" s="81" t="s">
        <v>3</v>
      </c>
      <c r="J18" s="81" t="s">
        <v>3</v>
      </c>
      <c r="K18" s="81" t="s">
        <v>3</v>
      </c>
      <c r="L18" s="81" t="s">
        <v>3</v>
      </c>
    </row>
    <row r="19" spans="1:13">
      <c r="A19" s="65" t="s">
        <v>222</v>
      </c>
      <c r="B19" s="1">
        <v>546460</v>
      </c>
      <c r="C19" s="1">
        <v>376572</v>
      </c>
      <c r="D19" s="1">
        <v>525093</v>
      </c>
      <c r="E19" s="1">
        <v>286663</v>
      </c>
      <c r="F19" s="1">
        <v>216973</v>
      </c>
      <c r="G19" s="1">
        <v>479616</v>
      </c>
      <c r="H19" s="1">
        <v>390241</v>
      </c>
      <c r="I19" s="1">
        <v>455149</v>
      </c>
      <c r="J19" s="1">
        <v>374909</v>
      </c>
      <c r="K19" s="1">
        <v>94724</v>
      </c>
      <c r="L19" s="1">
        <v>81584</v>
      </c>
      <c r="M19" s="1">
        <f t="shared" ref="M19:M25" si="1">+B19+C19+D19+E19+F19+G19+H19+I19+J19+K19+L19</f>
        <v>3827984</v>
      </c>
    </row>
    <row r="20" spans="1:13">
      <c r="A20" s="65" t="s">
        <v>223</v>
      </c>
      <c r="B20" s="1">
        <v>411071</v>
      </c>
      <c r="C20" s="1">
        <v>428663</v>
      </c>
      <c r="D20" s="1">
        <v>487561</v>
      </c>
      <c r="E20" s="1">
        <v>500870</v>
      </c>
      <c r="F20" s="1">
        <v>456135</v>
      </c>
      <c r="G20" s="1">
        <v>655220</v>
      </c>
      <c r="H20" s="1">
        <v>339911</v>
      </c>
      <c r="I20" s="1">
        <v>311805</v>
      </c>
      <c r="J20" s="1">
        <v>233624</v>
      </c>
      <c r="K20" s="1">
        <v>59166</v>
      </c>
      <c r="L20" s="1">
        <v>64436</v>
      </c>
      <c r="M20" s="1">
        <f t="shared" si="1"/>
        <v>3948462</v>
      </c>
    </row>
    <row r="21" spans="1:13">
      <c r="A21" s="65" t="s">
        <v>224</v>
      </c>
      <c r="B21" s="1">
        <v>8112</v>
      </c>
      <c r="C21" s="1">
        <v>0</v>
      </c>
      <c r="D21" s="1">
        <v>23042</v>
      </c>
      <c r="E21" s="1"/>
      <c r="F21" s="1"/>
      <c r="G21" s="1">
        <v>90318</v>
      </c>
      <c r="H21" s="1"/>
      <c r="I21" s="1"/>
      <c r="J21" s="1"/>
      <c r="K21" s="1">
        <v>0</v>
      </c>
      <c r="L21" s="1">
        <v>200</v>
      </c>
      <c r="M21" s="1">
        <f t="shared" si="1"/>
        <v>121672</v>
      </c>
    </row>
    <row r="22" spans="1:13">
      <c r="A22" s="65" t="s">
        <v>225</v>
      </c>
      <c r="B22" s="1">
        <v>213560</v>
      </c>
      <c r="C22" s="1">
        <v>91830</v>
      </c>
      <c r="D22" s="1">
        <v>141549</v>
      </c>
      <c r="E22" s="1">
        <v>121192</v>
      </c>
      <c r="F22" s="1">
        <v>110348</v>
      </c>
      <c r="G22" s="1">
        <v>163318</v>
      </c>
      <c r="H22" s="1">
        <v>0</v>
      </c>
      <c r="I22" s="1">
        <v>161017</v>
      </c>
      <c r="J22" s="1">
        <v>158329</v>
      </c>
      <c r="K22" s="1">
        <v>35506</v>
      </c>
      <c r="L22" s="1">
        <v>30349</v>
      </c>
      <c r="M22" s="1">
        <f t="shared" si="1"/>
        <v>1226998</v>
      </c>
    </row>
    <row r="23" spans="1:13">
      <c r="A23" s="65" t="s">
        <v>226</v>
      </c>
      <c r="B23" s="1">
        <v>66798</v>
      </c>
      <c r="C23" s="1">
        <v>84924</v>
      </c>
      <c r="D23" s="1">
        <v>42292</v>
      </c>
      <c r="E23" s="1">
        <v>0</v>
      </c>
      <c r="F23" s="1">
        <v>0</v>
      </c>
      <c r="G23" s="1">
        <v>132907</v>
      </c>
      <c r="H23" s="1">
        <v>50803</v>
      </c>
      <c r="I23" s="1">
        <v>64401</v>
      </c>
      <c r="J23" s="1">
        <v>22141</v>
      </c>
      <c r="K23" s="1">
        <v>13752</v>
      </c>
      <c r="L23" s="1">
        <v>12451</v>
      </c>
      <c r="M23" s="1">
        <f t="shared" si="1"/>
        <v>490469</v>
      </c>
    </row>
    <row r="24" spans="1:13">
      <c r="A24" s="70" t="s">
        <v>228</v>
      </c>
      <c r="B24" s="1">
        <v>-128851</v>
      </c>
      <c r="C24" s="1">
        <v>-86486</v>
      </c>
      <c r="D24" s="1">
        <v>-148103</v>
      </c>
      <c r="E24" s="1">
        <v>-100208</v>
      </c>
      <c r="F24" s="1">
        <v>-68960</v>
      </c>
      <c r="G24" s="1">
        <v>-165828</v>
      </c>
      <c r="H24" s="1">
        <v>-76284</v>
      </c>
      <c r="I24" s="1">
        <v>-56617</v>
      </c>
      <c r="J24" s="1">
        <v>-38312</v>
      </c>
      <c r="K24" s="1">
        <v>-10939</v>
      </c>
      <c r="L24" s="1">
        <v>-7611</v>
      </c>
      <c r="M24" s="1">
        <f t="shared" si="1"/>
        <v>-888199</v>
      </c>
    </row>
    <row r="25" spans="1:13">
      <c r="A25" s="161" t="s">
        <v>219</v>
      </c>
      <c r="B25" s="4">
        <v>1117150</v>
      </c>
      <c r="C25" s="4">
        <v>895503</v>
      </c>
      <c r="D25" s="4">
        <v>1071434</v>
      </c>
      <c r="E25" s="4">
        <v>808517</v>
      </c>
      <c r="F25" s="4">
        <v>714496</v>
      </c>
      <c r="G25" s="4">
        <v>1355551</v>
      </c>
      <c r="H25" s="4">
        <v>704671</v>
      </c>
      <c r="I25" s="4">
        <v>935755</v>
      </c>
      <c r="J25" s="4">
        <v>750691</v>
      </c>
      <c r="K25" s="4">
        <v>192209</v>
      </c>
      <c r="L25" s="4">
        <v>181409</v>
      </c>
      <c r="M25" s="1">
        <f t="shared" si="1"/>
        <v>8727386</v>
      </c>
    </row>
    <row r="26" spans="1:13">
      <c r="A26" s="161"/>
      <c r="B26" s="4"/>
      <c r="C26" s="4"/>
      <c r="D26" s="4"/>
      <c r="E26" s="4"/>
      <c r="F26" s="4"/>
      <c r="G26" s="4"/>
      <c r="H26" s="4"/>
      <c r="I26" s="4"/>
      <c r="J26" s="4"/>
      <c r="K26" s="4"/>
      <c r="L26" s="4"/>
      <c r="M26" s="1"/>
    </row>
    <row r="27" spans="1:13">
      <c r="A27" s="161"/>
      <c r="B27" s="4"/>
      <c r="C27" s="4"/>
      <c r="D27" s="4"/>
      <c r="E27" s="4"/>
      <c r="F27" s="4"/>
      <c r="G27" s="4"/>
      <c r="H27" s="4"/>
      <c r="I27" s="4"/>
      <c r="J27" s="4"/>
      <c r="K27" s="4"/>
      <c r="L27" s="4"/>
      <c r="M27" s="1"/>
    </row>
    <row r="28" spans="1:13">
      <c r="A28" s="161"/>
      <c r="B28" s="4">
        <f>-B12-B23</f>
        <v>-568841</v>
      </c>
      <c r="C28" s="4">
        <f t="shared" ref="C28:L28" si="2">-C12-C23</f>
        <v>-440712</v>
      </c>
      <c r="D28" s="4">
        <f t="shared" si="2"/>
        <v>-268096</v>
      </c>
      <c r="E28" s="4">
        <f t="shared" si="2"/>
        <v>0</v>
      </c>
      <c r="F28" s="4">
        <f t="shared" si="2"/>
        <v>0</v>
      </c>
      <c r="G28" s="4">
        <f t="shared" si="2"/>
        <v>-413037</v>
      </c>
      <c r="H28" s="4">
        <f t="shared" si="2"/>
        <v>-177905</v>
      </c>
      <c r="I28" s="4">
        <f t="shared" si="2"/>
        <v>-311062</v>
      </c>
      <c r="J28" s="4">
        <f t="shared" si="2"/>
        <v>-22141</v>
      </c>
      <c r="K28" s="4">
        <f t="shared" si="2"/>
        <v>-35026</v>
      </c>
      <c r="L28" s="4">
        <f t="shared" si="2"/>
        <v>-48512</v>
      </c>
      <c r="M28" s="1"/>
    </row>
    <row r="29" spans="1:13">
      <c r="A29" s="161"/>
      <c r="B29" s="4"/>
      <c r="C29" s="4"/>
      <c r="D29" s="4"/>
      <c r="E29" s="4"/>
      <c r="F29" s="4"/>
      <c r="G29" s="4"/>
      <c r="H29" s="4"/>
      <c r="I29" s="4"/>
      <c r="J29" s="4"/>
      <c r="K29" s="4"/>
      <c r="L29" s="4"/>
      <c r="M29" s="1"/>
    </row>
    <row r="30" spans="1:13">
      <c r="A30" s="161"/>
      <c r="B30" s="4"/>
      <c r="C30" s="4"/>
      <c r="D30" s="4"/>
      <c r="E30" s="4"/>
      <c r="F30" s="4"/>
      <c r="G30" s="4"/>
      <c r="H30" s="4"/>
      <c r="I30" s="4"/>
      <c r="J30" s="4"/>
      <c r="K30" s="4"/>
      <c r="L30" s="4"/>
      <c r="M30" s="1"/>
    </row>
    <row r="31" spans="1:13">
      <c r="A31" s="161"/>
      <c r="B31" s="4"/>
      <c r="C31" s="4"/>
      <c r="D31" s="4"/>
      <c r="E31" s="4"/>
      <c r="F31" s="4"/>
      <c r="G31" s="4"/>
      <c r="H31" s="4"/>
      <c r="I31" s="4"/>
      <c r="J31" s="4"/>
      <c r="K31" s="4"/>
      <c r="L31" s="4"/>
      <c r="M31" s="1"/>
    </row>
    <row r="32" spans="1:13">
      <c r="A32" s="161"/>
      <c r="B32" s="4"/>
      <c r="C32" s="4"/>
      <c r="D32" s="4"/>
      <c r="E32" s="4"/>
      <c r="F32" s="4"/>
      <c r="G32" s="4"/>
      <c r="H32" s="4"/>
      <c r="I32" s="4"/>
      <c r="J32" s="4"/>
      <c r="K32" s="4"/>
      <c r="L32" s="4"/>
      <c r="M32" s="1"/>
    </row>
    <row r="33" spans="1:13" s="146" customFormat="1">
      <c r="B33" s="163"/>
      <c r="C33" s="163"/>
      <c r="D33" s="163"/>
      <c r="E33" s="163"/>
      <c r="F33" s="163"/>
      <c r="G33" s="163"/>
      <c r="H33" s="163"/>
      <c r="I33" s="163"/>
      <c r="J33" s="163"/>
      <c r="K33" s="163"/>
      <c r="L33" s="163"/>
    </row>
    <row r="34" spans="1:13" s="146" customFormat="1">
      <c r="A34" s="155">
        <v>2016</v>
      </c>
      <c r="B34" s="163"/>
      <c r="C34" s="163"/>
      <c r="D34" s="163"/>
      <c r="E34" s="163"/>
      <c r="F34" s="163"/>
      <c r="G34" s="163"/>
      <c r="H34" s="163"/>
      <c r="I34" s="163"/>
      <c r="J34" s="163"/>
      <c r="K34" s="163"/>
      <c r="L34" s="163"/>
    </row>
    <row r="35" spans="1:13" s="146" customFormat="1">
      <c r="A35" s="146" t="s">
        <v>337</v>
      </c>
      <c r="B35" s="163">
        <f t="shared" ref="B35:L35" si="3">+B15+B25</f>
        <v>4431359</v>
      </c>
      <c r="C35" s="163">
        <f t="shared" si="3"/>
        <v>2959789</v>
      </c>
      <c r="D35" s="163">
        <f t="shared" si="3"/>
        <v>3740650</v>
      </c>
      <c r="E35" s="163">
        <f t="shared" si="3"/>
        <v>2183078</v>
      </c>
      <c r="F35" s="163">
        <f t="shared" si="3"/>
        <v>1778866</v>
      </c>
      <c r="G35" s="163">
        <f t="shared" si="3"/>
        <v>3366238</v>
      </c>
      <c r="H35" s="163">
        <f t="shared" si="3"/>
        <v>1908364</v>
      </c>
      <c r="I35" s="163">
        <f t="shared" si="3"/>
        <v>2175375</v>
      </c>
      <c r="J35" s="163">
        <f t="shared" si="3"/>
        <v>750691</v>
      </c>
      <c r="K35" s="163">
        <f t="shared" si="3"/>
        <v>552917</v>
      </c>
      <c r="L35" s="163">
        <f t="shared" si="3"/>
        <v>593649</v>
      </c>
      <c r="M35" s="1">
        <f>+B35+C35+D35+E35+F35+G35+H35+I35+J35+K35+L35</f>
        <v>24440976</v>
      </c>
    </row>
    <row r="36" spans="1:13">
      <c r="A36" t="s">
        <v>339</v>
      </c>
      <c r="B36" s="163">
        <f t="shared" ref="B36:L36" si="4">-B13-B24</f>
        <v>688863</v>
      </c>
      <c r="C36" s="163">
        <f t="shared" si="4"/>
        <v>267754</v>
      </c>
      <c r="D36" s="163">
        <f t="shared" si="4"/>
        <v>541706</v>
      </c>
      <c r="E36" s="163">
        <f t="shared" si="4"/>
        <v>277643</v>
      </c>
      <c r="F36" s="163">
        <f t="shared" si="4"/>
        <v>166686</v>
      </c>
      <c r="G36" s="163">
        <f t="shared" si="4"/>
        <v>386877</v>
      </c>
      <c r="H36" s="163">
        <f t="shared" si="4"/>
        <v>336003</v>
      </c>
      <c r="I36" s="163">
        <f t="shared" si="4"/>
        <v>120911</v>
      </c>
      <c r="J36" s="163">
        <f t="shared" si="4"/>
        <v>38312</v>
      </c>
      <c r="K36" s="163">
        <f t="shared" si="4"/>
        <v>24168</v>
      </c>
      <c r="L36" s="163">
        <f t="shared" si="4"/>
        <v>19008</v>
      </c>
      <c r="M36" s="1">
        <f>+B36+C36+D36+E36+F36+G36+H36+I36+J36+K36+L36</f>
        <v>2867931</v>
      </c>
    </row>
    <row r="37" spans="1:13">
      <c r="A37" t="s">
        <v>341</v>
      </c>
      <c r="B37" s="167">
        <f t="shared" ref="B37:M37" si="5">+B36/B38</f>
        <v>0.13453772121599414</v>
      </c>
      <c r="C37" s="167">
        <f t="shared" si="5"/>
        <v>8.2959080638120075E-2</v>
      </c>
      <c r="D37" s="167">
        <f t="shared" si="5"/>
        <v>0.12649718986464462</v>
      </c>
      <c r="E37" s="167">
        <f t="shared" si="5"/>
        <v>0.11282993886751078</v>
      </c>
      <c r="F37" s="167">
        <f t="shared" si="5"/>
        <v>8.5675427847726512E-2</v>
      </c>
      <c r="G37" s="167">
        <f t="shared" si="5"/>
        <v>0.10308157357288546</v>
      </c>
      <c r="H37" s="167">
        <f t="shared" si="5"/>
        <v>0.14970947264863546</v>
      </c>
      <c r="I37" s="167">
        <f t="shared" si="5"/>
        <v>5.2655026420924921E-2</v>
      </c>
      <c r="J37" s="167">
        <f t="shared" si="5"/>
        <v>4.8557483304879703E-2</v>
      </c>
      <c r="K37" s="167">
        <f t="shared" si="5"/>
        <v>4.1879445835535496E-2</v>
      </c>
      <c r="L37" s="167">
        <f t="shared" si="5"/>
        <v>3.1025516724692611E-2</v>
      </c>
      <c r="M37" s="167">
        <f t="shared" si="5"/>
        <v>0.10501815396712874</v>
      </c>
    </row>
    <row r="38" spans="1:13">
      <c r="A38" t="s">
        <v>338</v>
      </c>
      <c r="B38" s="146">
        <f t="shared" ref="B38:L38" si="6">+B35+B36</f>
        <v>5120222</v>
      </c>
      <c r="C38" s="146">
        <f t="shared" si="6"/>
        <v>3227543</v>
      </c>
      <c r="D38" s="146">
        <f t="shared" si="6"/>
        <v>4282356</v>
      </c>
      <c r="E38" s="146">
        <f t="shared" si="6"/>
        <v>2460721</v>
      </c>
      <c r="F38" s="146">
        <f t="shared" si="6"/>
        <v>1945552</v>
      </c>
      <c r="G38" s="146">
        <f t="shared" si="6"/>
        <v>3753115</v>
      </c>
      <c r="H38" s="146">
        <f t="shared" si="6"/>
        <v>2244367</v>
      </c>
      <c r="I38" s="146">
        <f t="shared" si="6"/>
        <v>2296286</v>
      </c>
      <c r="J38" s="146">
        <f t="shared" si="6"/>
        <v>789003</v>
      </c>
      <c r="K38" s="146">
        <f t="shared" si="6"/>
        <v>577085</v>
      </c>
      <c r="L38" s="146">
        <f t="shared" si="6"/>
        <v>612657</v>
      </c>
      <c r="M38" s="1">
        <f>+B38+C38+D38+E38+F38+G38+H38+I38+J38+K38+L38</f>
        <v>27308907</v>
      </c>
    </row>
    <row r="39" spans="1:13" ht="45">
      <c r="A39" s="174" t="s">
        <v>348</v>
      </c>
      <c r="B39" s="1">
        <f t="shared" ref="B39:L39" si="7">-(B8+B19)*0.6713</f>
        <v>-1327172.1834</v>
      </c>
      <c r="C39" s="1">
        <f t="shared" si="7"/>
        <v>-873475.42099999997</v>
      </c>
      <c r="D39" s="1">
        <f t="shared" si="7"/>
        <v>-1301623.848</v>
      </c>
      <c r="E39" s="1">
        <f t="shared" si="7"/>
        <v>-505555.35869999998</v>
      </c>
      <c r="F39" s="1">
        <f t="shared" si="7"/>
        <v>-350626.70299999998</v>
      </c>
      <c r="G39" s="1">
        <f t="shared" si="7"/>
        <v>-760776.23439999996</v>
      </c>
      <c r="H39" s="1">
        <f t="shared" si="7"/>
        <v>-791496.26500000001</v>
      </c>
      <c r="I39" s="1">
        <f t="shared" si="7"/>
        <v>-583375.13989999995</v>
      </c>
      <c r="J39" s="1">
        <f t="shared" si="7"/>
        <v>-251676.4117</v>
      </c>
      <c r="K39" s="1">
        <f t="shared" si="7"/>
        <v>-193190.0705</v>
      </c>
      <c r="L39" s="1">
        <f t="shared" si="7"/>
        <v>-162166.61230000001</v>
      </c>
      <c r="M39" s="1">
        <f>+B39+C39+D39+E39+F39+G39+H39+I39+J39+K39+L39</f>
        <v>-7101134.2478999989</v>
      </c>
    </row>
    <row r="40" spans="1:13">
      <c r="A40" t="s">
        <v>349</v>
      </c>
      <c r="B40" s="163">
        <f>+B38+B39</f>
        <v>3793049.8166</v>
      </c>
      <c r="C40" s="163">
        <f t="shared" ref="C40:L40" si="8">+C38+C39</f>
        <v>2354067.5789999999</v>
      </c>
      <c r="D40" s="163">
        <f t="shared" si="8"/>
        <v>2980732.1519999998</v>
      </c>
      <c r="E40" s="163">
        <f t="shared" si="8"/>
        <v>1955165.6413</v>
      </c>
      <c r="F40" s="163">
        <f t="shared" si="8"/>
        <v>1594925.297</v>
      </c>
      <c r="G40" s="163">
        <f t="shared" si="8"/>
        <v>2992338.7656</v>
      </c>
      <c r="H40" s="163">
        <f t="shared" si="8"/>
        <v>1452870.7349999999</v>
      </c>
      <c r="I40" s="163">
        <f t="shared" si="8"/>
        <v>1712910.8601000002</v>
      </c>
      <c r="J40" s="163">
        <f t="shared" si="8"/>
        <v>537326.58829999994</v>
      </c>
      <c r="K40" s="163">
        <f t="shared" si="8"/>
        <v>383894.92949999997</v>
      </c>
      <c r="L40" s="163">
        <f t="shared" si="8"/>
        <v>450490.38769999996</v>
      </c>
      <c r="M40" s="1">
        <f>+B40+C40+D40+E40+F40+G40+H40+I40+J40+K40+L40</f>
        <v>20207772.752100002</v>
      </c>
    </row>
    <row r="41" spans="1:13">
      <c r="B41" s="173"/>
      <c r="C41" s="1"/>
      <c r="D41" s="1"/>
      <c r="E41" s="1"/>
      <c r="F41" s="1"/>
      <c r="G41" s="1"/>
      <c r="H41" s="1"/>
      <c r="I41" s="1"/>
      <c r="J41" s="1"/>
      <c r="K41" s="1"/>
      <c r="L41" s="1"/>
    </row>
    <row r="42" spans="1:13">
      <c r="A42" s="155">
        <v>2015</v>
      </c>
      <c r="B42" s="149"/>
      <c r="C42" s="149"/>
      <c r="D42" s="149"/>
      <c r="E42" s="149"/>
      <c r="F42" s="149"/>
      <c r="G42" s="149"/>
      <c r="H42" s="149"/>
      <c r="I42" s="163"/>
      <c r="K42" s="149"/>
      <c r="L42" s="149"/>
    </row>
    <row r="43" spans="1:13">
      <c r="A43" s="146" t="s">
        <v>337</v>
      </c>
      <c r="B43" s="1">
        <v>3136247</v>
      </c>
      <c r="C43" s="1">
        <v>373847</v>
      </c>
      <c r="D43" s="1">
        <v>3649440</v>
      </c>
      <c r="E43" s="1">
        <v>2010771</v>
      </c>
      <c r="F43" s="1">
        <v>1286812</v>
      </c>
      <c r="G43" s="1">
        <v>2983440</v>
      </c>
      <c r="H43" s="1">
        <v>1797331</v>
      </c>
      <c r="I43" s="1">
        <v>1775085</v>
      </c>
      <c r="J43" s="1">
        <v>484661</v>
      </c>
      <c r="K43" s="150">
        <v>0</v>
      </c>
      <c r="L43" s="150">
        <v>0</v>
      </c>
      <c r="M43" s="1">
        <f>+B43+C43+D43+E43+F43+G43+H43+I43+J43+K43+L43</f>
        <v>17497634</v>
      </c>
    </row>
    <row r="44" spans="1:13">
      <c r="A44" t="s">
        <v>339</v>
      </c>
      <c r="B44" s="1">
        <v>395255</v>
      </c>
      <c r="C44" s="1">
        <v>12881</v>
      </c>
      <c r="D44" s="1">
        <v>498599</v>
      </c>
      <c r="E44" s="1">
        <v>212106</v>
      </c>
      <c r="F44" s="1">
        <v>103607</v>
      </c>
      <c r="G44" s="1">
        <v>314896</v>
      </c>
      <c r="H44" s="1">
        <v>238141</v>
      </c>
      <c r="I44" s="1">
        <v>32249</v>
      </c>
      <c r="J44" s="1">
        <v>7594</v>
      </c>
      <c r="K44" s="1">
        <v>0</v>
      </c>
      <c r="L44">
        <v>0</v>
      </c>
      <c r="M44" s="1">
        <f>+B44+C44+D44+E44+F44+G44+H44+I44+J44+K44+L44</f>
        <v>1815328</v>
      </c>
    </row>
    <row r="45" spans="1:13">
      <c r="A45" t="s">
        <v>341</v>
      </c>
      <c r="B45" s="167">
        <f t="shared" ref="B45:J45" si="9">+B44/B46</f>
        <v>0.11192263235303279</v>
      </c>
      <c r="C45" s="167">
        <f t="shared" si="9"/>
        <v>3.3307647752425479E-2</v>
      </c>
      <c r="D45" s="167">
        <f t="shared" si="9"/>
        <v>0.1202011360066769</v>
      </c>
      <c r="E45" s="167">
        <f t="shared" si="9"/>
        <v>9.5419584619391901E-2</v>
      </c>
      <c r="F45" s="167">
        <f t="shared" si="9"/>
        <v>7.4514948371677894E-2</v>
      </c>
      <c r="G45" s="167">
        <f t="shared" si="9"/>
        <v>9.5471170917699105E-2</v>
      </c>
      <c r="H45" s="167">
        <f t="shared" si="9"/>
        <v>0.11699546837293757</v>
      </c>
      <c r="I45" s="167">
        <f t="shared" si="9"/>
        <v>1.7843409131903677E-2</v>
      </c>
      <c r="J45" s="167">
        <f t="shared" si="9"/>
        <v>1.5426963667205005E-2</v>
      </c>
      <c r="K45" s="167">
        <v>0</v>
      </c>
      <c r="L45" s="167">
        <v>0</v>
      </c>
      <c r="M45" s="167">
        <f>+M44/M46</f>
        <v>9.3995317756023128E-2</v>
      </c>
    </row>
    <row r="46" spans="1:13">
      <c r="A46" t="s">
        <v>338</v>
      </c>
      <c r="B46" s="1">
        <v>3531502</v>
      </c>
      <c r="C46" s="1">
        <v>386728</v>
      </c>
      <c r="D46" s="1">
        <v>4148039</v>
      </c>
      <c r="E46" s="1">
        <v>2222877</v>
      </c>
      <c r="F46" s="1">
        <v>1390419</v>
      </c>
      <c r="G46" s="1">
        <v>3298336</v>
      </c>
      <c r="H46" s="1">
        <v>2035472</v>
      </c>
      <c r="I46" s="1">
        <v>1807334</v>
      </c>
      <c r="J46" s="1">
        <v>492255</v>
      </c>
      <c r="K46" s="1">
        <v>0</v>
      </c>
      <c r="L46">
        <v>0</v>
      </c>
      <c r="M46" s="1">
        <f>+B46+C46+D46+E46+F46+G46+H46+I46+J46+K46+L46</f>
        <v>19312962</v>
      </c>
    </row>
    <row r="47" spans="1:13" ht="45">
      <c r="A47" s="174" t="s">
        <v>348</v>
      </c>
      <c r="B47" s="1">
        <v>-947953.47080000001</v>
      </c>
      <c r="C47" s="1">
        <v>-137782.31109999999</v>
      </c>
      <c r="D47" s="1">
        <v>-1153665.9715</v>
      </c>
      <c r="E47" s="1">
        <v>-492307.25319999998</v>
      </c>
      <c r="F47" s="1">
        <v>-270004.24430000002</v>
      </c>
      <c r="G47" s="1">
        <v>-838018.02630000003</v>
      </c>
      <c r="H47" s="1">
        <v>-831240.58149999997</v>
      </c>
      <c r="I47" s="1">
        <v>-365167.73230000003</v>
      </c>
      <c r="J47" s="1">
        <v>-147055.64929999999</v>
      </c>
      <c r="K47" s="1"/>
      <c r="L47" s="1"/>
      <c r="M47" s="1">
        <f>+B47+C47+D47+E47+F47+G47+H47+I47+J47+K47+L47</f>
        <v>-5183195.2402999997</v>
      </c>
    </row>
    <row r="48" spans="1:13">
      <c r="A48" t="s">
        <v>349</v>
      </c>
      <c r="B48" s="1">
        <f>+B46+B47</f>
        <v>2583548.5291999998</v>
      </c>
      <c r="C48" s="1">
        <f t="shared" ref="C48:L48" si="10">+C46+C47</f>
        <v>248945.68890000001</v>
      </c>
      <c r="D48" s="1">
        <f t="shared" si="10"/>
        <v>2994373.0285</v>
      </c>
      <c r="E48" s="1">
        <f t="shared" si="10"/>
        <v>1730569.7468000001</v>
      </c>
      <c r="F48" s="1">
        <f t="shared" si="10"/>
        <v>1120414.7557000001</v>
      </c>
      <c r="G48" s="1">
        <f t="shared" si="10"/>
        <v>2460317.9737</v>
      </c>
      <c r="H48" s="1">
        <f t="shared" si="10"/>
        <v>1204231.4185000001</v>
      </c>
      <c r="I48" s="1">
        <f t="shared" si="10"/>
        <v>1442166.2677</v>
      </c>
      <c r="J48" s="1">
        <f t="shared" si="10"/>
        <v>345199.35070000001</v>
      </c>
      <c r="K48" s="1">
        <f t="shared" si="10"/>
        <v>0</v>
      </c>
      <c r="L48" s="1">
        <f t="shared" si="10"/>
        <v>0</v>
      </c>
      <c r="M48" s="1">
        <f>+B48+C48+D48+E48+F48+G48+H48+I48+J48+K48+L48</f>
        <v>14129766.7597</v>
      </c>
    </row>
    <row r="49" spans="1:15">
      <c r="B49" s="1"/>
      <c r="C49" s="1"/>
      <c r="D49" s="1"/>
      <c r="E49" s="1"/>
      <c r="F49" s="1"/>
      <c r="G49" s="1"/>
      <c r="H49" s="1"/>
      <c r="I49" s="1"/>
      <c r="J49" s="1"/>
      <c r="K49" s="1"/>
      <c r="L49" s="1"/>
    </row>
    <row r="50" spans="1:15">
      <c r="A50" t="s">
        <v>340</v>
      </c>
      <c r="B50" s="1">
        <f t="shared" ref="B50:M50" si="11">+B40-B48</f>
        <v>1209501.2874000003</v>
      </c>
      <c r="C50" s="1">
        <f t="shared" si="11"/>
        <v>2105121.8901</v>
      </c>
      <c r="D50" s="1">
        <f t="shared" si="11"/>
        <v>-13640.876500000246</v>
      </c>
      <c r="E50" s="1">
        <f t="shared" si="11"/>
        <v>224595.89449999994</v>
      </c>
      <c r="F50" s="1">
        <f t="shared" si="11"/>
        <v>474510.54129999992</v>
      </c>
      <c r="G50" s="1">
        <f t="shared" si="11"/>
        <v>532020.79190000007</v>
      </c>
      <c r="H50" s="1">
        <f t="shared" si="11"/>
        <v>248639.31649999972</v>
      </c>
      <c r="I50" s="1">
        <f t="shared" si="11"/>
        <v>270744.5924000002</v>
      </c>
      <c r="J50" s="1">
        <f t="shared" si="11"/>
        <v>192127.23759999993</v>
      </c>
      <c r="K50" s="1">
        <f t="shared" si="11"/>
        <v>383894.92949999997</v>
      </c>
      <c r="L50" s="1">
        <f t="shared" si="11"/>
        <v>450490.38769999996</v>
      </c>
      <c r="M50" s="1">
        <f t="shared" si="11"/>
        <v>6078005.9924000017</v>
      </c>
    </row>
    <row r="53" spans="1:15">
      <c r="A53" t="s">
        <v>342</v>
      </c>
      <c r="B53" s="163">
        <f t="shared" ref="B53:L53" si="12">+B50*$M$37</f>
        <v>127019.59242361366</v>
      </c>
      <c r="C53" s="163">
        <f t="shared" si="12"/>
        <v>221076.01477409486</v>
      </c>
      <c r="D53" s="163">
        <f t="shared" si="12"/>
        <v>-1432.539668523614</v>
      </c>
      <c r="E53" s="163">
        <f t="shared" si="12"/>
        <v>23586.646228985996</v>
      </c>
      <c r="F53" s="163">
        <f t="shared" si="12"/>
        <v>49832.221085268997</v>
      </c>
      <c r="G53" s="163">
        <f t="shared" si="12"/>
        <v>55871.841437467963</v>
      </c>
      <c r="H53" s="163">
        <f t="shared" si="12"/>
        <v>26111.642022478623</v>
      </c>
      <c r="I53" s="163">
        <f t="shared" si="12"/>
        <v>28433.097290430735</v>
      </c>
      <c r="J53" s="163">
        <f t="shared" si="12"/>
        <v>20176.847819555918</v>
      </c>
      <c r="K53" s="163">
        <f t="shared" si="12"/>
        <v>40315.936813431028</v>
      </c>
      <c r="L53" s="163">
        <f t="shared" si="12"/>
        <v>47309.668896190116</v>
      </c>
      <c r="M53" s="1">
        <f>+B53+C53+D53+E53+F53+G53+H53+I53+J53+K53+L53</f>
        <v>638300.96912299423</v>
      </c>
    </row>
    <row r="54" spans="1:15">
      <c r="A54" t="s">
        <v>346</v>
      </c>
      <c r="M54" s="1">
        <f>+M36-M53</f>
        <v>2229630.0308770058</v>
      </c>
    </row>
    <row r="55" spans="1:15">
      <c r="M55" s="1"/>
    </row>
    <row r="57" spans="1:15">
      <c r="A57" t="s">
        <v>343</v>
      </c>
      <c r="B57" s="163">
        <v>99244</v>
      </c>
      <c r="C57" s="163">
        <v>181556</v>
      </c>
      <c r="D57" s="163">
        <v>166112</v>
      </c>
      <c r="E57" s="163">
        <v>-3377.7</v>
      </c>
      <c r="F57" s="163">
        <v>-6368.78</v>
      </c>
      <c r="G57" s="163">
        <v>20647.990000000002</v>
      </c>
      <c r="H57" s="163">
        <v>40583.269999999997</v>
      </c>
      <c r="I57" s="163">
        <v>42177</v>
      </c>
      <c r="J57" s="163">
        <v>0</v>
      </c>
      <c r="K57" s="163">
        <v>0</v>
      </c>
      <c r="L57" s="163">
        <v>6700</v>
      </c>
      <c r="M57" s="163">
        <f>SUM(B57:L57)</f>
        <v>547273.78</v>
      </c>
      <c r="N57" s="163"/>
      <c r="O57" s="147"/>
    </row>
    <row r="58" spans="1:15">
      <c r="A58" t="s">
        <v>344</v>
      </c>
      <c r="B58" s="163">
        <v>-4222942.79</v>
      </c>
      <c r="C58" s="163">
        <v>-2026803</v>
      </c>
      <c r="D58" s="163">
        <v>-1121752</v>
      </c>
      <c r="E58" s="163">
        <v>-1434625</v>
      </c>
      <c r="F58" s="163">
        <v>-889169</v>
      </c>
      <c r="G58" s="163">
        <v>-2228711</v>
      </c>
      <c r="H58" s="163">
        <v>-1481699</v>
      </c>
      <c r="I58" s="163">
        <v>-2062093</v>
      </c>
      <c r="J58" s="163">
        <v>-349499</v>
      </c>
      <c r="K58" s="163">
        <v>-20424</v>
      </c>
      <c r="L58" s="163">
        <v>-269269</v>
      </c>
      <c r="M58" s="163">
        <f>SUM(B58:L58)</f>
        <v>-16106986.789999999</v>
      </c>
      <c r="N58" s="163"/>
      <c r="O58" s="147"/>
    </row>
    <row r="59" spans="1:15">
      <c r="B59" s="163"/>
      <c r="C59" s="163"/>
      <c r="D59" s="163"/>
      <c r="E59" s="163"/>
      <c r="F59" s="163"/>
      <c r="G59" s="163"/>
      <c r="H59" s="163"/>
      <c r="I59" s="163"/>
      <c r="J59" s="163"/>
      <c r="K59" s="163"/>
      <c r="L59" s="163"/>
      <c r="M59" s="163"/>
      <c r="N59" s="163"/>
      <c r="O59" s="147"/>
    </row>
    <row r="60" spans="1:15">
      <c r="A60" t="s">
        <v>345</v>
      </c>
      <c r="B60" s="163">
        <f t="shared" ref="B60:C60" si="13">+B58+B57+B53</f>
        <v>-3996679.1975763864</v>
      </c>
      <c r="C60" s="163">
        <f t="shared" si="13"/>
        <v>-1624170.9852259052</v>
      </c>
      <c r="D60" s="163">
        <f>+D58+D57+D53</f>
        <v>-957072.53966852359</v>
      </c>
      <c r="E60" s="163">
        <f t="shared" ref="E60:M60" si="14">+E58+E57+E53</f>
        <v>-1414416.0537710139</v>
      </c>
      <c r="F60" s="163">
        <f t="shared" si="14"/>
        <v>-845705.55891473102</v>
      </c>
      <c r="G60" s="163">
        <f t="shared" si="14"/>
        <v>-2152191.1685625319</v>
      </c>
      <c r="H60" s="163">
        <f t="shared" si="14"/>
        <v>-1415004.0879775214</v>
      </c>
      <c r="I60" s="163">
        <f t="shared" si="14"/>
        <v>-1991482.9027095693</v>
      </c>
      <c r="J60" s="163">
        <f t="shared" si="14"/>
        <v>-329322.1521804441</v>
      </c>
      <c r="K60" s="163">
        <f t="shared" si="14"/>
        <v>19891.936813431028</v>
      </c>
      <c r="L60" s="163">
        <f t="shared" si="14"/>
        <v>-215259.33110380988</v>
      </c>
      <c r="M60" s="163">
        <f t="shared" si="14"/>
        <v>-14921412.040877005</v>
      </c>
      <c r="N60" s="163"/>
      <c r="O60" s="147"/>
    </row>
    <row r="61" spans="1:15">
      <c r="B61" s="163"/>
      <c r="C61" s="163"/>
      <c r="D61" s="163"/>
      <c r="E61" s="163"/>
      <c r="F61" s="163"/>
      <c r="G61" s="163"/>
      <c r="H61" s="163"/>
      <c r="I61" s="163"/>
      <c r="J61" s="163"/>
      <c r="K61" s="163"/>
      <c r="L61" s="163"/>
      <c r="M61" s="163"/>
      <c r="N61" s="163"/>
      <c r="O61" s="147"/>
    </row>
    <row r="62" spans="1:15" s="156" customFormat="1">
      <c r="A62" s="167" t="s">
        <v>347</v>
      </c>
      <c r="B62" s="167">
        <f t="shared" ref="B62:C62" si="15">(+B53+B57)/B58</f>
        <v>-5.3579601636898719E-2</v>
      </c>
      <c r="C62" s="167">
        <f t="shared" si="15"/>
        <v>-0.19865374916757814</v>
      </c>
      <c r="D62" s="167">
        <f>(+D53+D57)/D58</f>
        <v>-0.14680558655698978</v>
      </c>
      <c r="E62" s="167">
        <f t="shared" ref="E62:M62" si="16">(+E53+E57)/E58</f>
        <v>-1.4086570517721352E-2</v>
      </c>
      <c r="F62" s="167">
        <f t="shared" si="16"/>
        <v>-4.8880967606010781E-2</v>
      </c>
      <c r="G62" s="167">
        <f t="shared" si="16"/>
        <v>-3.4333671542639652E-2</v>
      </c>
      <c r="H62" s="167">
        <f t="shared" si="16"/>
        <v>-4.5012456661223783E-2</v>
      </c>
      <c r="I62" s="167">
        <f t="shared" si="16"/>
        <v>-3.4241955765540517E-2</v>
      </c>
      <c r="J62" s="167">
        <f t="shared" si="16"/>
        <v>-5.7730774106809803E-2</v>
      </c>
      <c r="K62" s="167">
        <f t="shared" si="16"/>
        <v>-1.9739491193415113</v>
      </c>
      <c r="L62" s="167">
        <f t="shared" si="16"/>
        <v>-0.20057885941638331</v>
      </c>
      <c r="M62" s="167">
        <f t="shared" si="16"/>
        <v>-7.3606240855617802E-2</v>
      </c>
      <c r="N62" s="167"/>
    </row>
    <row r="63" spans="1:15">
      <c r="B63" s="163"/>
      <c r="C63" s="163"/>
      <c r="D63" s="163"/>
      <c r="E63" s="163"/>
      <c r="F63" s="163"/>
      <c r="G63" s="163"/>
      <c r="H63" s="163"/>
      <c r="I63" s="163"/>
      <c r="J63" s="163"/>
      <c r="K63" s="163"/>
      <c r="L63" s="163"/>
      <c r="M63" s="163"/>
      <c r="N63" s="163"/>
      <c r="O63" s="147"/>
    </row>
    <row r="68" spans="1:3">
      <c r="A68" t="s">
        <v>352</v>
      </c>
    </row>
    <row r="69" spans="1:3">
      <c r="A69" t="s">
        <v>353</v>
      </c>
      <c r="B69">
        <v>0.5</v>
      </c>
      <c r="C69">
        <v>2016</v>
      </c>
    </row>
    <row r="70" spans="1:3">
      <c r="A70" t="s">
        <v>354</v>
      </c>
      <c r="B70">
        <v>0.34</v>
      </c>
      <c r="C70">
        <v>2015</v>
      </c>
    </row>
    <row r="71" spans="1:3">
      <c r="A71" t="s">
        <v>355</v>
      </c>
      <c r="B71">
        <v>0.11</v>
      </c>
      <c r="C71">
        <v>2014</v>
      </c>
    </row>
    <row r="72" spans="1:3">
      <c r="A72" t="s">
        <v>356</v>
      </c>
      <c r="B72">
        <v>0.05</v>
      </c>
      <c r="C72">
        <v>2013</v>
      </c>
    </row>
  </sheetData>
  <pageMargins left="0.7" right="0.7" top="0.75" bottom="0.75" header="0.3" footer="0.3"/>
  <pageSetup scale="1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F62"/>
  <sheetViews>
    <sheetView workbookViewId="0"/>
  </sheetViews>
  <sheetFormatPr defaultColWidth="8.85546875" defaultRowHeight="15"/>
  <cols>
    <col min="1" max="1" width="38.28515625" bestFit="1" customWidth="1"/>
    <col min="2" max="2" width="9.7109375" hidden="1" customWidth="1"/>
    <col min="3" max="3" width="12.5703125" bestFit="1" customWidth="1"/>
    <col min="4" max="4" width="9.7109375" hidden="1" customWidth="1"/>
    <col min="5" max="5" width="11.7109375" customWidth="1"/>
    <col min="6" max="6" width="9.7109375" hidden="1" customWidth="1"/>
    <col min="7" max="7" width="13.28515625" bestFit="1" customWidth="1"/>
    <col min="8" max="8" width="9.7109375" hidden="1" customWidth="1"/>
    <col min="9" max="9" width="10.7109375" customWidth="1"/>
    <col min="10" max="10" width="9.7109375" hidden="1" customWidth="1"/>
    <col min="11" max="11" width="11.7109375" customWidth="1"/>
    <col min="12" max="13" width="0" hidden="1" customWidth="1"/>
    <col min="14" max="14" width="9.7109375" hidden="1" customWidth="1"/>
    <col min="15" max="15" width="11.7109375" customWidth="1"/>
    <col min="16" max="16" width="9.7109375" hidden="1" customWidth="1"/>
    <col min="17" max="17" width="10.7109375" customWidth="1"/>
    <col min="18" max="18" width="8.28515625" hidden="1" customWidth="1"/>
    <col min="19" max="19" width="11.7109375" customWidth="1"/>
    <col min="20" max="20" width="8.28515625" hidden="1" customWidth="1"/>
    <col min="21" max="21" width="10.140625" customWidth="1"/>
    <col min="22" max="22" width="8.28515625" hidden="1" customWidth="1"/>
    <col min="23" max="23" width="11.7109375" customWidth="1"/>
    <col min="24" max="24" width="9.7109375" hidden="1" customWidth="1"/>
    <col min="25" max="25" width="9.140625" style="159" hidden="1" customWidth="1"/>
    <col min="26" max="26" width="8.28515625" hidden="1" customWidth="1"/>
    <col min="27" max="27" width="10.7109375" customWidth="1"/>
    <col min="28" max="28" width="11.42578125" hidden="1" customWidth="1"/>
    <col min="29" max="29" width="13.28515625" hidden="1" customWidth="1"/>
    <col min="30" max="30" width="11.5703125" bestFit="1" customWidth="1"/>
  </cols>
  <sheetData>
    <row r="1" spans="1:30">
      <c r="A1" s="123" t="s">
        <v>330</v>
      </c>
    </row>
    <row r="2" spans="1:30">
      <c r="A2" s="153" t="s">
        <v>333</v>
      </c>
    </row>
    <row r="3" spans="1:30">
      <c r="A3" s="155">
        <v>2016</v>
      </c>
    </row>
    <row r="5" spans="1:30" ht="15.75" thickBot="1">
      <c r="C5" s="170" t="s">
        <v>213</v>
      </c>
      <c r="D5" s="170" t="s">
        <v>282</v>
      </c>
      <c r="E5" s="170" t="s">
        <v>282</v>
      </c>
      <c r="F5" s="170" t="s">
        <v>203</v>
      </c>
      <c r="G5" s="170" t="s">
        <v>203</v>
      </c>
      <c r="H5" s="170" t="s">
        <v>204</v>
      </c>
      <c r="I5" s="170" t="s">
        <v>204</v>
      </c>
      <c r="J5" s="170" t="s">
        <v>205</v>
      </c>
      <c r="K5" s="170" t="s">
        <v>205</v>
      </c>
      <c r="L5" s="170" t="s">
        <v>205</v>
      </c>
      <c r="M5" s="170" t="s">
        <v>205</v>
      </c>
      <c r="N5" s="170" t="s">
        <v>207</v>
      </c>
      <c r="O5" s="170" t="s">
        <v>207</v>
      </c>
      <c r="P5" s="170" t="s">
        <v>208</v>
      </c>
      <c r="Q5" s="170" t="s">
        <v>208</v>
      </c>
      <c r="R5" s="170" t="s">
        <v>278</v>
      </c>
      <c r="S5" s="170" t="s">
        <v>278</v>
      </c>
      <c r="T5" s="170" t="s">
        <v>279</v>
      </c>
      <c r="U5" s="170" t="s">
        <v>279</v>
      </c>
      <c r="V5" s="170" t="s">
        <v>287</v>
      </c>
      <c r="W5" s="170" t="s">
        <v>287</v>
      </c>
      <c r="X5" s="170" t="s">
        <v>292</v>
      </c>
      <c r="Y5" s="171" t="s">
        <v>292</v>
      </c>
      <c r="Z5" s="170" t="s">
        <v>293</v>
      </c>
      <c r="AA5" s="170" t="s">
        <v>293</v>
      </c>
      <c r="AB5" s="170" t="s">
        <v>288</v>
      </c>
      <c r="AC5" s="170" t="s">
        <v>288</v>
      </c>
      <c r="AD5" s="170" t="s">
        <v>300</v>
      </c>
    </row>
    <row r="6" spans="1:30">
      <c r="A6" s="153" t="s">
        <v>331</v>
      </c>
      <c r="B6" s="4" t="s">
        <v>213</v>
      </c>
    </row>
    <row r="7" spans="1:30" hidden="1">
      <c r="A7" s="1"/>
      <c r="B7" s="81" t="s">
        <v>2</v>
      </c>
      <c r="C7" s="81" t="s">
        <v>3</v>
      </c>
      <c r="D7" s="81" t="s">
        <v>2</v>
      </c>
      <c r="E7" s="81" t="s">
        <v>3</v>
      </c>
      <c r="F7" s="81" t="s">
        <v>2</v>
      </c>
      <c r="G7" s="81" t="s">
        <v>3</v>
      </c>
      <c r="H7" s="81" t="s">
        <v>2</v>
      </c>
      <c r="I7" s="81" t="s">
        <v>3</v>
      </c>
      <c r="J7" s="81" t="s">
        <v>2</v>
      </c>
      <c r="K7" s="81" t="s">
        <v>3</v>
      </c>
      <c r="L7" s="81"/>
      <c r="M7" s="81"/>
      <c r="N7" s="81" t="s">
        <v>2</v>
      </c>
      <c r="O7" s="81" t="s">
        <v>3</v>
      </c>
      <c r="P7" s="81" t="s">
        <v>2</v>
      </c>
      <c r="Q7" s="81" t="s">
        <v>3</v>
      </c>
      <c r="R7" s="81" t="s">
        <v>2</v>
      </c>
      <c r="S7" s="81" t="s">
        <v>3</v>
      </c>
      <c r="T7" s="81" t="s">
        <v>2</v>
      </c>
      <c r="U7" s="81" t="s">
        <v>3</v>
      </c>
      <c r="V7" s="81" t="s">
        <v>2</v>
      </c>
      <c r="W7" s="81" t="s">
        <v>3</v>
      </c>
      <c r="X7" s="81" t="s">
        <v>2</v>
      </c>
      <c r="Y7" s="160" t="s">
        <v>3</v>
      </c>
      <c r="Z7" s="81" t="s">
        <v>2</v>
      </c>
      <c r="AA7" s="81" t="s">
        <v>3</v>
      </c>
      <c r="AB7" s="81" t="s">
        <v>2</v>
      </c>
      <c r="AC7" s="81" t="s">
        <v>3</v>
      </c>
    </row>
    <row r="8" spans="1:30">
      <c r="A8" s="65" t="s">
        <v>222</v>
      </c>
      <c r="B8" s="1">
        <v>152530</v>
      </c>
      <c r="C8" s="1">
        <v>1430558</v>
      </c>
      <c r="D8" s="1">
        <v>97844</v>
      </c>
      <c r="E8" s="1">
        <v>924598</v>
      </c>
      <c r="F8" s="1">
        <v>186201</v>
      </c>
      <c r="G8" s="1">
        <v>1413867</v>
      </c>
      <c r="H8" s="1">
        <v>34626</v>
      </c>
      <c r="I8" s="1">
        <v>466436</v>
      </c>
      <c r="J8" s="1">
        <v>28186</v>
      </c>
      <c r="K8" s="1">
        <v>305337</v>
      </c>
      <c r="L8" s="1"/>
      <c r="M8" s="1"/>
      <c r="N8" s="1">
        <v>77947</v>
      </c>
      <c r="O8" s="1">
        <v>653672</v>
      </c>
      <c r="P8" s="1">
        <v>68022</v>
      </c>
      <c r="Q8" s="1">
        <v>788809</v>
      </c>
      <c r="R8" s="1">
        <v>40636</v>
      </c>
      <c r="S8" s="1">
        <v>413874</v>
      </c>
      <c r="T8" s="1"/>
      <c r="U8" s="1"/>
      <c r="V8" s="1">
        <v>34879</v>
      </c>
      <c r="W8" s="1">
        <v>193061</v>
      </c>
      <c r="X8" s="1">
        <v>0</v>
      </c>
      <c r="Y8" s="157">
        <v>0</v>
      </c>
      <c r="Z8" s="1">
        <v>35634</v>
      </c>
      <c r="AA8" s="1">
        <v>159987</v>
      </c>
      <c r="AB8" s="1">
        <v>756505</v>
      </c>
      <c r="AC8" s="1">
        <v>6750199</v>
      </c>
      <c r="AD8" s="1">
        <f>+C8+E8+G8+I8+K8+O8+Q8+S8+U8+W8+AA8</f>
        <v>6750199</v>
      </c>
    </row>
    <row r="9" spans="1:30">
      <c r="A9" s="65" t="s">
        <v>223</v>
      </c>
      <c r="B9" s="1">
        <v>92064</v>
      </c>
      <c r="C9" s="1">
        <v>1269153</v>
      </c>
      <c r="D9" s="1">
        <v>85976</v>
      </c>
      <c r="E9" s="1">
        <v>704862</v>
      </c>
      <c r="F9" s="1">
        <v>113022</v>
      </c>
      <c r="G9" s="1">
        <v>1101799</v>
      </c>
      <c r="H9" s="1">
        <v>60512</v>
      </c>
      <c r="I9" s="1">
        <v>954874</v>
      </c>
      <c r="J9" s="1">
        <v>70098</v>
      </c>
      <c r="K9" s="1">
        <v>764872</v>
      </c>
      <c r="L9" s="1"/>
      <c r="M9" s="1"/>
      <c r="N9" s="1">
        <v>123010</v>
      </c>
      <c r="O9" s="1">
        <v>916561</v>
      </c>
      <c r="P9" s="1">
        <v>48999</v>
      </c>
      <c r="Q9" s="1">
        <v>547501</v>
      </c>
      <c r="R9" s="1">
        <v>63126</v>
      </c>
      <c r="S9" s="1">
        <v>498201</v>
      </c>
      <c r="T9" s="1"/>
      <c r="U9" s="1"/>
      <c r="V9" s="1">
        <v>28968</v>
      </c>
      <c r="W9" s="1">
        <v>112189</v>
      </c>
      <c r="X9" s="1">
        <v>0</v>
      </c>
      <c r="Y9" s="157">
        <v>0</v>
      </c>
      <c r="Z9" s="1">
        <v>33722</v>
      </c>
      <c r="AA9" s="1">
        <v>156746</v>
      </c>
      <c r="AB9" s="1">
        <v>719497</v>
      </c>
      <c r="AC9" s="1">
        <v>7026758</v>
      </c>
      <c r="AD9" s="1">
        <f t="shared" ref="AD9:AD15" si="0">+C9+E9+G9+I9+K9+O9+Q9+S9+U9+W9+AA9</f>
        <v>7026758</v>
      </c>
    </row>
    <row r="10" spans="1:30">
      <c r="A10" s="65" t="s">
        <v>224</v>
      </c>
      <c r="B10" s="1">
        <v>14348</v>
      </c>
      <c r="C10" s="1">
        <v>71237</v>
      </c>
      <c r="D10" s="1">
        <v>10162</v>
      </c>
      <c r="E10" s="1">
        <v>91631</v>
      </c>
      <c r="F10" s="1">
        <v>16112</v>
      </c>
      <c r="G10" s="1">
        <v>74690</v>
      </c>
      <c r="H10" s="1"/>
      <c r="I10" s="1"/>
      <c r="J10" s="1"/>
      <c r="K10" s="1"/>
      <c r="L10" s="1"/>
      <c r="M10" s="1"/>
      <c r="N10" s="1">
        <v>21565</v>
      </c>
      <c r="O10" s="1">
        <v>211239</v>
      </c>
      <c r="P10" s="1"/>
      <c r="Q10" s="1"/>
      <c r="R10" s="1"/>
      <c r="S10" s="1"/>
      <c r="T10" s="1"/>
      <c r="U10" s="1"/>
      <c r="V10" s="1">
        <v>0</v>
      </c>
      <c r="W10" s="1">
        <v>0</v>
      </c>
      <c r="X10" s="1">
        <v>0</v>
      </c>
      <c r="Y10" s="157">
        <v>0</v>
      </c>
      <c r="Z10" s="1">
        <v>884</v>
      </c>
      <c r="AA10" s="1">
        <v>4396</v>
      </c>
      <c r="AB10" s="1">
        <v>63071</v>
      </c>
      <c r="AC10" s="1">
        <v>453193</v>
      </c>
      <c r="AD10" s="1">
        <f t="shared" si="0"/>
        <v>453193</v>
      </c>
    </row>
    <row r="11" spans="1:30">
      <c r="A11" s="65" t="s">
        <v>225</v>
      </c>
      <c r="B11" s="1">
        <v>48915</v>
      </c>
      <c r="C11" s="1">
        <v>601230</v>
      </c>
      <c r="D11" s="1">
        <v>15676</v>
      </c>
      <c r="E11" s="1">
        <v>168675</v>
      </c>
      <c r="F11" s="1">
        <v>21697</v>
      </c>
      <c r="G11" s="1">
        <v>246659</v>
      </c>
      <c r="H11" s="1">
        <v>7758</v>
      </c>
      <c r="I11" s="1">
        <v>130686</v>
      </c>
      <c r="J11" s="1">
        <v>6468</v>
      </c>
      <c r="K11" s="1">
        <v>91887</v>
      </c>
      <c r="L11" s="1"/>
      <c r="M11" s="1"/>
      <c r="N11" s="1">
        <v>23204</v>
      </c>
      <c r="O11" s="1">
        <v>170134</v>
      </c>
      <c r="P11" s="1">
        <v>0</v>
      </c>
      <c r="Q11" s="1">
        <v>0</v>
      </c>
      <c r="R11" s="1">
        <v>14280</v>
      </c>
      <c r="S11" s="1">
        <v>145178</v>
      </c>
      <c r="T11" s="1"/>
      <c r="U11" s="1"/>
      <c r="V11" s="1">
        <v>8094</v>
      </c>
      <c r="W11" s="1">
        <v>47413</v>
      </c>
      <c r="X11" s="1">
        <v>0</v>
      </c>
      <c r="Y11" s="157">
        <v>0</v>
      </c>
      <c r="Z11" s="1">
        <v>13607</v>
      </c>
      <c r="AA11" s="1">
        <v>66447</v>
      </c>
      <c r="AB11" s="1">
        <v>159699</v>
      </c>
      <c r="AC11" s="1">
        <v>1668309</v>
      </c>
      <c r="AD11" s="1">
        <f t="shared" si="0"/>
        <v>1668309</v>
      </c>
    </row>
    <row r="12" spans="1:30">
      <c r="A12" s="65" t="s">
        <v>226</v>
      </c>
      <c r="B12" s="1">
        <v>46246</v>
      </c>
      <c r="C12" s="1">
        <v>502043</v>
      </c>
      <c r="D12" s="1">
        <v>29817</v>
      </c>
      <c r="E12" s="1">
        <v>355788</v>
      </c>
      <c r="F12" s="1">
        <v>30450</v>
      </c>
      <c r="G12" s="1">
        <v>225804</v>
      </c>
      <c r="H12" s="1">
        <v>0</v>
      </c>
      <c r="I12" s="1">
        <v>0</v>
      </c>
      <c r="J12" s="1">
        <v>0</v>
      </c>
      <c r="K12" s="1">
        <v>0</v>
      </c>
      <c r="L12" s="1"/>
      <c r="M12" s="1"/>
      <c r="N12" s="1">
        <v>35690</v>
      </c>
      <c r="O12" s="1">
        <v>280130</v>
      </c>
      <c r="P12" s="1">
        <v>9104</v>
      </c>
      <c r="Q12" s="1">
        <v>127102</v>
      </c>
      <c r="R12" s="1">
        <v>29638</v>
      </c>
      <c r="S12" s="1">
        <v>246661</v>
      </c>
      <c r="T12" s="1"/>
      <c r="U12" s="1"/>
      <c r="V12" s="1">
        <v>4398</v>
      </c>
      <c r="W12" s="1">
        <v>21274</v>
      </c>
      <c r="X12" s="1">
        <v>0</v>
      </c>
      <c r="Y12" s="157">
        <v>0</v>
      </c>
      <c r="Z12" s="1">
        <v>7747</v>
      </c>
      <c r="AA12" s="1">
        <v>36061</v>
      </c>
      <c r="AB12" s="1">
        <v>193090</v>
      </c>
      <c r="AC12" s="1">
        <v>1794863</v>
      </c>
      <c r="AD12" s="1">
        <f t="shared" si="0"/>
        <v>1794863</v>
      </c>
    </row>
    <row r="13" spans="1:30">
      <c r="A13" s="70" t="s">
        <v>228</v>
      </c>
      <c r="B13" s="1">
        <v>-51416</v>
      </c>
      <c r="C13" s="1">
        <v>-560012</v>
      </c>
      <c r="D13" s="1">
        <v>-29899</v>
      </c>
      <c r="E13" s="1">
        <v>-181268</v>
      </c>
      <c r="F13" s="1">
        <v>-37064</v>
      </c>
      <c r="G13" s="1">
        <v>-393603</v>
      </c>
      <c r="H13" s="1">
        <v>-8681</v>
      </c>
      <c r="I13" s="1">
        <v>-177435</v>
      </c>
      <c r="J13" s="1">
        <v>-5957</v>
      </c>
      <c r="K13" s="1">
        <v>-97726</v>
      </c>
      <c r="L13" s="1"/>
      <c r="M13" s="1"/>
      <c r="N13" s="1">
        <v>-20863</v>
      </c>
      <c r="O13" s="1">
        <v>-221049</v>
      </c>
      <c r="P13" s="1">
        <v>-21310</v>
      </c>
      <c r="Q13" s="1">
        <v>-259719</v>
      </c>
      <c r="R13" s="1">
        <v>-1110</v>
      </c>
      <c r="S13" s="1">
        <v>-64294</v>
      </c>
      <c r="T13" s="1"/>
      <c r="U13" s="1"/>
      <c r="V13" s="1">
        <v>-1064</v>
      </c>
      <c r="W13" s="1">
        <v>-13229</v>
      </c>
      <c r="X13" s="1">
        <v>0</v>
      </c>
      <c r="Y13" s="157">
        <v>0</v>
      </c>
      <c r="Z13" s="1">
        <v>-3019</v>
      </c>
      <c r="AA13" s="1">
        <v>-11397</v>
      </c>
      <c r="AB13" s="1">
        <v>-180383</v>
      </c>
      <c r="AC13" s="1">
        <v>-1979732</v>
      </c>
      <c r="AD13" s="1">
        <f t="shared" si="0"/>
        <v>-1979732</v>
      </c>
    </row>
    <row r="14" spans="1:30">
      <c r="A14" s="161"/>
      <c r="B14" s="4"/>
      <c r="C14" s="4"/>
      <c r="D14" s="4"/>
      <c r="E14" s="4"/>
      <c r="F14" s="4"/>
      <c r="G14" s="4"/>
      <c r="H14" s="4"/>
      <c r="I14" s="4"/>
      <c r="J14" s="4"/>
      <c r="K14" s="4"/>
      <c r="L14" s="4"/>
      <c r="M14" s="4"/>
      <c r="N14" s="4"/>
      <c r="O14" s="4"/>
      <c r="P14" s="4"/>
      <c r="Q14" s="4"/>
      <c r="R14" s="4"/>
      <c r="S14" s="4"/>
      <c r="T14" s="4"/>
      <c r="U14" s="4"/>
      <c r="V14" s="4"/>
      <c r="W14" s="4"/>
      <c r="X14" s="4"/>
      <c r="Y14" s="162"/>
      <c r="Z14" s="4"/>
      <c r="AA14" s="4"/>
      <c r="AB14" s="4">
        <v>0</v>
      </c>
      <c r="AC14" s="4">
        <v>0</v>
      </c>
      <c r="AD14" s="1">
        <f>+C14+E14+G14+I14+K14+O14+Q14+S14+U14+W14+AA14</f>
        <v>0</v>
      </c>
    </row>
    <row r="15" spans="1:30">
      <c r="A15" s="161" t="s">
        <v>219</v>
      </c>
      <c r="B15" s="4">
        <v>302687</v>
      </c>
      <c r="C15" s="4">
        <v>3314209</v>
      </c>
      <c r="D15" s="4">
        <v>209576</v>
      </c>
      <c r="E15" s="4">
        <v>2064286</v>
      </c>
      <c r="F15" s="4">
        <v>330418</v>
      </c>
      <c r="G15" s="4">
        <v>2669216</v>
      </c>
      <c r="H15" s="4">
        <v>94215</v>
      </c>
      <c r="I15" s="4">
        <v>1374561</v>
      </c>
      <c r="J15" s="4">
        <v>98795</v>
      </c>
      <c r="K15" s="4">
        <v>1064370</v>
      </c>
      <c r="L15" s="4"/>
      <c r="M15" s="4"/>
      <c r="N15" s="4">
        <v>260553</v>
      </c>
      <c r="O15" s="4">
        <v>2010687</v>
      </c>
      <c r="P15" s="4">
        <v>104815</v>
      </c>
      <c r="Q15" s="4">
        <v>1203693</v>
      </c>
      <c r="R15" s="4">
        <v>146570</v>
      </c>
      <c r="S15" s="4">
        <v>1239620</v>
      </c>
      <c r="T15" s="4"/>
      <c r="U15" s="4"/>
      <c r="V15" s="4">
        <v>75275</v>
      </c>
      <c r="W15" s="4">
        <v>360708</v>
      </c>
      <c r="X15" s="4">
        <v>0</v>
      </c>
      <c r="Y15" s="4">
        <v>0</v>
      </c>
      <c r="Z15" s="4">
        <v>88575</v>
      </c>
      <c r="AA15" s="4">
        <v>412240</v>
      </c>
      <c r="AB15" s="4">
        <v>1711479</v>
      </c>
      <c r="AC15" s="4">
        <v>15713590</v>
      </c>
      <c r="AD15" s="1">
        <f t="shared" si="0"/>
        <v>15713590</v>
      </c>
    </row>
    <row r="16" spans="1:30" s="146" customFormat="1">
      <c r="C16" s="172"/>
      <c r="E16" s="172"/>
      <c r="G16" s="172"/>
      <c r="I16" s="172"/>
      <c r="K16" s="172"/>
      <c r="M16" s="172"/>
      <c r="O16" s="172"/>
      <c r="Q16" s="172"/>
      <c r="S16" s="172"/>
      <c r="U16" s="172"/>
      <c r="W16" s="172"/>
      <c r="Y16" s="172"/>
      <c r="AA16" s="172"/>
    </row>
    <row r="17" spans="1:30">
      <c r="A17" s="153" t="s">
        <v>332</v>
      </c>
      <c r="B17" s="4" t="s">
        <v>213</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row>
    <row r="18" spans="1:30" hidden="1">
      <c r="A18" s="1"/>
      <c r="B18" s="81" t="s">
        <v>2</v>
      </c>
      <c r="C18" s="81" t="s">
        <v>3</v>
      </c>
      <c r="D18" s="81" t="s">
        <v>2</v>
      </c>
      <c r="E18" s="81" t="s">
        <v>3</v>
      </c>
      <c r="F18" s="81" t="s">
        <v>2</v>
      </c>
      <c r="G18" s="81" t="s">
        <v>3</v>
      </c>
      <c r="H18" s="81" t="s">
        <v>2</v>
      </c>
      <c r="I18" s="81" t="s">
        <v>3</v>
      </c>
      <c r="J18" s="81" t="s">
        <v>2</v>
      </c>
      <c r="K18" s="81" t="s">
        <v>3</v>
      </c>
      <c r="L18" s="81"/>
      <c r="M18" s="81"/>
      <c r="N18" s="81" t="s">
        <v>2</v>
      </c>
      <c r="O18" s="81" t="s">
        <v>3</v>
      </c>
      <c r="P18" s="81" t="s">
        <v>2</v>
      </c>
      <c r="Q18" s="81" t="s">
        <v>3</v>
      </c>
      <c r="R18" s="81" t="s">
        <v>2</v>
      </c>
      <c r="S18" s="81" t="s">
        <v>3</v>
      </c>
      <c r="T18" s="81" t="s">
        <v>2</v>
      </c>
      <c r="U18" s="81" t="s">
        <v>3</v>
      </c>
      <c r="V18" s="81" t="s">
        <v>2</v>
      </c>
      <c r="W18" s="81" t="s">
        <v>3</v>
      </c>
      <c r="X18" s="81" t="s">
        <v>2</v>
      </c>
      <c r="Y18" s="81" t="s">
        <v>3</v>
      </c>
      <c r="Z18" s="81" t="s">
        <v>2</v>
      </c>
      <c r="AA18" s="81" t="s">
        <v>3</v>
      </c>
      <c r="AB18" s="81" t="s">
        <v>2</v>
      </c>
      <c r="AC18" s="81" t="s">
        <v>3</v>
      </c>
    </row>
    <row r="19" spans="1:30">
      <c r="A19" s="65" t="s">
        <v>222</v>
      </c>
      <c r="B19" s="1">
        <v>46420</v>
      </c>
      <c r="C19" s="1">
        <v>546460</v>
      </c>
      <c r="D19" s="1">
        <v>26974</v>
      </c>
      <c r="E19" s="1">
        <v>376572</v>
      </c>
      <c r="F19" s="1">
        <v>39327</v>
      </c>
      <c r="G19" s="1">
        <v>525093</v>
      </c>
      <c r="H19" s="1">
        <v>18586</v>
      </c>
      <c r="I19" s="1">
        <v>286663</v>
      </c>
      <c r="J19" s="1">
        <v>14755</v>
      </c>
      <c r="K19" s="1">
        <v>216973</v>
      </c>
      <c r="L19" s="1"/>
      <c r="M19" s="1"/>
      <c r="N19" s="1">
        <v>46697</v>
      </c>
      <c r="O19" s="1">
        <v>479616</v>
      </c>
      <c r="P19" s="1">
        <v>34935</v>
      </c>
      <c r="Q19" s="1">
        <v>390241</v>
      </c>
      <c r="R19" s="1">
        <v>28186</v>
      </c>
      <c r="S19" s="1">
        <v>455149</v>
      </c>
      <c r="T19" s="1">
        <v>12847</v>
      </c>
      <c r="U19" s="1">
        <v>374909</v>
      </c>
      <c r="V19" s="1">
        <v>12255</v>
      </c>
      <c r="W19" s="1">
        <v>94724</v>
      </c>
      <c r="X19" s="1">
        <v>41476</v>
      </c>
      <c r="Y19" s="1">
        <v>257811</v>
      </c>
      <c r="Z19" s="1">
        <v>10420</v>
      </c>
      <c r="AA19" s="1">
        <v>81584</v>
      </c>
      <c r="AB19" s="1">
        <v>332878</v>
      </c>
      <c r="AC19" s="1">
        <v>4085795</v>
      </c>
      <c r="AD19" s="1">
        <f t="shared" ref="AD19:AD25" si="1">+C19+E19+G19+I19+K19+O19+Q19+S19+U19+W19+AA19</f>
        <v>3827984</v>
      </c>
    </row>
    <row r="20" spans="1:30">
      <c r="A20" s="65" t="s">
        <v>223</v>
      </c>
      <c r="B20" s="1">
        <v>38531</v>
      </c>
      <c r="C20" s="1">
        <v>411071</v>
      </c>
      <c r="D20" s="1">
        <v>51240</v>
      </c>
      <c r="E20" s="1">
        <v>428663</v>
      </c>
      <c r="F20" s="1">
        <v>31638</v>
      </c>
      <c r="G20" s="1">
        <v>487561</v>
      </c>
      <c r="H20" s="1">
        <v>36688</v>
      </c>
      <c r="I20" s="1">
        <v>500870</v>
      </c>
      <c r="J20" s="1">
        <v>43418</v>
      </c>
      <c r="K20" s="1">
        <v>456135</v>
      </c>
      <c r="L20" s="1"/>
      <c r="M20" s="1"/>
      <c r="N20" s="1">
        <v>47187</v>
      </c>
      <c r="O20" s="1">
        <v>655220</v>
      </c>
      <c r="P20" s="1">
        <v>32516</v>
      </c>
      <c r="Q20" s="1">
        <v>339911</v>
      </c>
      <c r="R20" s="1">
        <v>27626</v>
      </c>
      <c r="S20" s="1">
        <v>311805</v>
      </c>
      <c r="T20" s="1">
        <v>10303</v>
      </c>
      <c r="U20" s="1">
        <v>233624</v>
      </c>
      <c r="V20" s="1">
        <v>7977</v>
      </c>
      <c r="W20" s="1">
        <v>59166</v>
      </c>
      <c r="X20" s="1">
        <v>27869</v>
      </c>
      <c r="Y20" s="1">
        <v>209088</v>
      </c>
      <c r="Z20" s="1">
        <v>6217</v>
      </c>
      <c r="AA20" s="1">
        <v>64436</v>
      </c>
      <c r="AB20" s="1">
        <v>361210</v>
      </c>
      <c r="AC20" s="1">
        <v>4157550</v>
      </c>
      <c r="AD20" s="1">
        <f t="shared" si="1"/>
        <v>3948462</v>
      </c>
    </row>
    <row r="21" spans="1:30">
      <c r="A21" s="65" t="s">
        <v>224</v>
      </c>
      <c r="B21" s="1">
        <v>0</v>
      </c>
      <c r="C21" s="1">
        <v>8112</v>
      </c>
      <c r="D21" s="1">
        <v>0</v>
      </c>
      <c r="E21" s="1">
        <v>0</v>
      </c>
      <c r="F21" s="1">
        <v>1199</v>
      </c>
      <c r="G21" s="1">
        <v>23042</v>
      </c>
      <c r="H21" s="1"/>
      <c r="I21" s="1"/>
      <c r="J21" s="1"/>
      <c r="K21" s="1"/>
      <c r="L21" s="1"/>
      <c r="M21" s="1"/>
      <c r="N21" s="1">
        <v>6969</v>
      </c>
      <c r="O21" s="1">
        <v>90318</v>
      </c>
      <c r="P21" s="1"/>
      <c r="Q21" s="1"/>
      <c r="R21" s="1"/>
      <c r="S21" s="1"/>
      <c r="T21" s="1"/>
      <c r="U21" s="1"/>
      <c r="V21" s="1">
        <v>0</v>
      </c>
      <c r="W21" s="1">
        <v>0</v>
      </c>
      <c r="X21" s="1">
        <v>0</v>
      </c>
      <c r="Y21" s="1">
        <v>0</v>
      </c>
      <c r="Z21" s="1">
        <v>200</v>
      </c>
      <c r="AA21" s="1">
        <v>200</v>
      </c>
      <c r="AB21" s="1">
        <v>8368</v>
      </c>
      <c r="AC21" s="1">
        <v>121672</v>
      </c>
      <c r="AD21" s="1">
        <f t="shared" si="1"/>
        <v>121672</v>
      </c>
    </row>
    <row r="22" spans="1:30">
      <c r="A22" s="65" t="s">
        <v>225</v>
      </c>
      <c r="B22" s="1">
        <v>15669</v>
      </c>
      <c r="C22" s="1">
        <v>213560</v>
      </c>
      <c r="D22" s="1">
        <v>4996</v>
      </c>
      <c r="E22" s="1">
        <v>91830</v>
      </c>
      <c r="F22" s="1">
        <v>9804</v>
      </c>
      <c r="G22" s="1">
        <v>141549</v>
      </c>
      <c r="H22" s="1">
        <v>10453</v>
      </c>
      <c r="I22" s="1">
        <v>121192</v>
      </c>
      <c r="J22" s="1">
        <v>9337</v>
      </c>
      <c r="K22" s="1">
        <v>110348</v>
      </c>
      <c r="L22" s="1"/>
      <c r="M22" s="1"/>
      <c r="N22" s="1">
        <v>15473</v>
      </c>
      <c r="O22" s="1">
        <v>163318</v>
      </c>
      <c r="P22" s="1">
        <v>0</v>
      </c>
      <c r="Q22" s="1">
        <v>0</v>
      </c>
      <c r="R22" s="1">
        <v>10761</v>
      </c>
      <c r="S22" s="1">
        <v>161017</v>
      </c>
      <c r="T22" s="1">
        <v>7014</v>
      </c>
      <c r="U22" s="1">
        <v>158329</v>
      </c>
      <c r="V22" s="1">
        <v>4004</v>
      </c>
      <c r="W22" s="1">
        <v>35506</v>
      </c>
      <c r="X22" s="1">
        <v>14045</v>
      </c>
      <c r="Y22" s="1">
        <v>98540</v>
      </c>
      <c r="Z22" s="1">
        <v>4166</v>
      </c>
      <c r="AA22" s="1">
        <v>30349</v>
      </c>
      <c r="AB22" s="1">
        <v>105722</v>
      </c>
      <c r="AC22" s="1">
        <v>1325538</v>
      </c>
      <c r="AD22" s="1">
        <f t="shared" si="1"/>
        <v>1226998</v>
      </c>
    </row>
    <row r="23" spans="1:30">
      <c r="A23" s="65" t="s">
        <v>226</v>
      </c>
      <c r="B23" s="1">
        <v>5927</v>
      </c>
      <c r="C23" s="1">
        <v>66798</v>
      </c>
      <c r="D23" s="1">
        <v>12100</v>
      </c>
      <c r="E23" s="1">
        <v>84924</v>
      </c>
      <c r="F23" s="1">
        <v>1163</v>
      </c>
      <c r="G23" s="1">
        <v>42292</v>
      </c>
      <c r="H23" s="1">
        <v>0</v>
      </c>
      <c r="I23" s="1">
        <v>0</v>
      </c>
      <c r="J23" s="1">
        <v>0</v>
      </c>
      <c r="K23" s="1">
        <v>0</v>
      </c>
      <c r="L23" s="1"/>
      <c r="M23" s="1"/>
      <c r="N23" s="1">
        <v>9630</v>
      </c>
      <c r="O23" s="1">
        <v>132907</v>
      </c>
      <c r="P23" s="1">
        <v>4882</v>
      </c>
      <c r="Q23" s="1">
        <v>50803</v>
      </c>
      <c r="R23" s="1">
        <v>2087</v>
      </c>
      <c r="S23" s="1">
        <v>64401</v>
      </c>
      <c r="T23" s="1">
        <v>749</v>
      </c>
      <c r="U23" s="1">
        <v>22141</v>
      </c>
      <c r="V23" s="1">
        <v>1881</v>
      </c>
      <c r="W23" s="1">
        <v>13752</v>
      </c>
      <c r="X23" s="1">
        <v>15886</v>
      </c>
      <c r="Y23" s="1">
        <v>101796</v>
      </c>
      <c r="Z23" s="1">
        <v>3088</v>
      </c>
      <c r="AA23" s="1">
        <v>12451</v>
      </c>
      <c r="AB23" s="1">
        <v>57393</v>
      </c>
      <c r="AC23" s="1">
        <v>592265</v>
      </c>
      <c r="AD23" s="1">
        <f t="shared" si="1"/>
        <v>490469</v>
      </c>
    </row>
    <row r="24" spans="1:30">
      <c r="A24" s="70" t="s">
        <v>228</v>
      </c>
      <c r="B24" s="1">
        <v>-12047</v>
      </c>
      <c r="C24" s="1">
        <v>-128851</v>
      </c>
      <c r="D24" s="1">
        <v>-14647</v>
      </c>
      <c r="E24" s="1">
        <v>-86486</v>
      </c>
      <c r="F24" s="1">
        <v>-9786</v>
      </c>
      <c r="G24" s="1">
        <v>-148103</v>
      </c>
      <c r="H24" s="1">
        <v>-6992</v>
      </c>
      <c r="I24" s="1">
        <v>-100208</v>
      </c>
      <c r="J24" s="1">
        <v>-8229</v>
      </c>
      <c r="K24" s="1">
        <v>-68960</v>
      </c>
      <c r="L24" s="1"/>
      <c r="M24" s="1"/>
      <c r="N24" s="1">
        <v>-11202</v>
      </c>
      <c r="O24" s="1">
        <v>-165828</v>
      </c>
      <c r="P24" s="1">
        <v>-7862</v>
      </c>
      <c r="Q24" s="1">
        <v>-76284</v>
      </c>
      <c r="R24" s="1">
        <v>-3160</v>
      </c>
      <c r="S24" s="1">
        <v>-56617</v>
      </c>
      <c r="T24" s="1">
        <v>-3444</v>
      </c>
      <c r="U24" s="1">
        <v>-38312</v>
      </c>
      <c r="V24" s="1">
        <v>-1724</v>
      </c>
      <c r="W24" s="1">
        <v>-10939</v>
      </c>
      <c r="X24" s="1">
        <v>-2370</v>
      </c>
      <c r="Y24" s="1">
        <v>-11522</v>
      </c>
      <c r="Z24" s="1">
        <v>-1644</v>
      </c>
      <c r="AA24" s="1">
        <v>-7611</v>
      </c>
      <c r="AB24" s="1">
        <v>-83107</v>
      </c>
      <c r="AC24" s="1">
        <v>-899721</v>
      </c>
      <c r="AD24" s="1">
        <f t="shared" si="1"/>
        <v>-888199</v>
      </c>
    </row>
    <row r="25" spans="1:30">
      <c r="A25" s="161" t="s">
        <v>219</v>
      </c>
      <c r="B25" s="4">
        <v>94500</v>
      </c>
      <c r="C25" s="4">
        <v>1117150</v>
      </c>
      <c r="D25" s="4">
        <v>80663</v>
      </c>
      <c r="E25" s="4">
        <v>895503</v>
      </c>
      <c r="F25" s="4">
        <v>73345</v>
      </c>
      <c r="G25" s="4">
        <v>1071434</v>
      </c>
      <c r="H25" s="4">
        <v>58735</v>
      </c>
      <c r="I25" s="4">
        <v>808517</v>
      </c>
      <c r="J25" s="4">
        <v>59281</v>
      </c>
      <c r="K25" s="4">
        <v>714496</v>
      </c>
      <c r="L25" s="4"/>
      <c r="M25" s="4"/>
      <c r="N25" s="4">
        <v>114754</v>
      </c>
      <c r="O25" s="4">
        <v>1355551</v>
      </c>
      <c r="P25" s="4">
        <v>64471</v>
      </c>
      <c r="Q25" s="4">
        <v>704671</v>
      </c>
      <c r="R25" s="4">
        <v>65500</v>
      </c>
      <c r="S25" s="4">
        <v>935755</v>
      </c>
      <c r="T25" s="4">
        <v>27469</v>
      </c>
      <c r="U25" s="4">
        <v>750691</v>
      </c>
      <c r="V25" s="4">
        <v>24393</v>
      </c>
      <c r="W25" s="4">
        <v>192209</v>
      </c>
      <c r="X25" s="4">
        <v>96906</v>
      </c>
      <c r="Y25" s="4">
        <v>655713</v>
      </c>
      <c r="Z25" s="4">
        <v>22447</v>
      </c>
      <c r="AA25" s="4">
        <v>181409</v>
      </c>
      <c r="AB25" s="4">
        <v>782464</v>
      </c>
      <c r="AC25" s="4">
        <v>9383099</v>
      </c>
      <c r="AD25" s="1">
        <f t="shared" si="1"/>
        <v>8727386</v>
      </c>
    </row>
    <row r="26" spans="1:30" s="146" customFormat="1">
      <c r="C26" s="163"/>
      <c r="E26" s="163"/>
      <c r="G26" s="163"/>
      <c r="I26" s="163"/>
      <c r="K26" s="163"/>
      <c r="M26" s="163"/>
      <c r="O26" s="163"/>
      <c r="Q26" s="163"/>
      <c r="S26" s="163"/>
      <c r="U26" s="163"/>
      <c r="W26" s="163"/>
      <c r="Y26" s="164"/>
      <c r="AA26" s="163"/>
    </row>
    <row r="27" spans="1:30" s="146" customFormat="1">
      <c r="A27" s="155">
        <v>2016</v>
      </c>
      <c r="C27" s="163"/>
      <c r="E27" s="163"/>
      <c r="G27" s="163"/>
      <c r="I27" s="163"/>
      <c r="K27" s="163"/>
      <c r="M27" s="163"/>
      <c r="O27" s="163"/>
      <c r="Q27" s="163"/>
      <c r="S27" s="163"/>
      <c r="U27" s="163"/>
      <c r="W27" s="163"/>
      <c r="Y27" s="164"/>
      <c r="AA27" s="163"/>
    </row>
    <row r="28" spans="1:30" s="146" customFormat="1">
      <c r="A28" s="146" t="s">
        <v>337</v>
      </c>
      <c r="C28" s="163">
        <f t="shared" ref="C28:AC28" si="2">+C15+C25</f>
        <v>4431359</v>
      </c>
      <c r="D28" s="163">
        <f t="shared" si="2"/>
        <v>290239</v>
      </c>
      <c r="E28" s="163">
        <f t="shared" si="2"/>
        <v>2959789</v>
      </c>
      <c r="F28" s="163">
        <f t="shared" si="2"/>
        <v>403763</v>
      </c>
      <c r="G28" s="163">
        <f t="shared" si="2"/>
        <v>3740650</v>
      </c>
      <c r="H28" s="163">
        <f t="shared" si="2"/>
        <v>152950</v>
      </c>
      <c r="I28" s="163">
        <f t="shared" si="2"/>
        <v>2183078</v>
      </c>
      <c r="J28" s="163">
        <f t="shared" si="2"/>
        <v>158076</v>
      </c>
      <c r="K28" s="163">
        <f t="shared" si="2"/>
        <v>1778866</v>
      </c>
      <c r="L28" s="163">
        <f t="shared" si="2"/>
        <v>0</v>
      </c>
      <c r="M28" s="163">
        <f t="shared" si="2"/>
        <v>0</v>
      </c>
      <c r="N28" s="163">
        <f t="shared" si="2"/>
        <v>375307</v>
      </c>
      <c r="O28" s="163">
        <f t="shared" si="2"/>
        <v>3366238</v>
      </c>
      <c r="P28" s="163">
        <f t="shared" si="2"/>
        <v>169286</v>
      </c>
      <c r="Q28" s="163">
        <f t="shared" si="2"/>
        <v>1908364</v>
      </c>
      <c r="R28" s="163">
        <f t="shared" si="2"/>
        <v>212070</v>
      </c>
      <c r="S28" s="163">
        <f t="shared" si="2"/>
        <v>2175375</v>
      </c>
      <c r="T28" s="163">
        <f t="shared" si="2"/>
        <v>27469</v>
      </c>
      <c r="U28" s="163">
        <f t="shared" si="2"/>
        <v>750691</v>
      </c>
      <c r="V28" s="163">
        <f t="shared" si="2"/>
        <v>99668</v>
      </c>
      <c r="W28" s="163">
        <f t="shared" si="2"/>
        <v>552917</v>
      </c>
      <c r="X28" s="163">
        <f t="shared" si="2"/>
        <v>96906</v>
      </c>
      <c r="Y28" s="164">
        <f t="shared" si="2"/>
        <v>655713</v>
      </c>
      <c r="Z28" s="163">
        <f t="shared" si="2"/>
        <v>111022</v>
      </c>
      <c r="AA28" s="163">
        <f t="shared" si="2"/>
        <v>593649</v>
      </c>
      <c r="AB28" s="163">
        <f t="shared" si="2"/>
        <v>2493943</v>
      </c>
      <c r="AC28" s="163">
        <f t="shared" si="2"/>
        <v>25096689</v>
      </c>
      <c r="AD28" s="1">
        <f t="shared" ref="AD28:AD29" si="3">+C28+E28+G28+I28+K28+O28+Q28+S28+U28+W28+AA28</f>
        <v>24440976</v>
      </c>
    </row>
    <row r="29" spans="1:30">
      <c r="A29" t="s">
        <v>339</v>
      </c>
      <c r="B29" s="165"/>
      <c r="C29" s="163">
        <f t="shared" ref="C29:AC29" si="4">-C13-C24</f>
        <v>688863</v>
      </c>
      <c r="D29" s="163">
        <f t="shared" si="4"/>
        <v>44546</v>
      </c>
      <c r="E29" s="163">
        <f t="shared" si="4"/>
        <v>267754</v>
      </c>
      <c r="F29" s="163">
        <f t="shared" si="4"/>
        <v>46850</v>
      </c>
      <c r="G29" s="163">
        <f t="shared" si="4"/>
        <v>541706</v>
      </c>
      <c r="H29" s="163">
        <f t="shared" si="4"/>
        <v>15673</v>
      </c>
      <c r="I29" s="163">
        <f t="shared" si="4"/>
        <v>277643</v>
      </c>
      <c r="J29" s="163">
        <f t="shared" si="4"/>
        <v>14186</v>
      </c>
      <c r="K29" s="163">
        <f t="shared" si="4"/>
        <v>166686</v>
      </c>
      <c r="L29" s="163">
        <f t="shared" si="4"/>
        <v>0</v>
      </c>
      <c r="M29" s="163">
        <f t="shared" si="4"/>
        <v>0</v>
      </c>
      <c r="N29" s="163">
        <f t="shared" si="4"/>
        <v>32065</v>
      </c>
      <c r="O29" s="163">
        <f t="shared" si="4"/>
        <v>386877</v>
      </c>
      <c r="P29" s="163">
        <f t="shared" si="4"/>
        <v>29172</v>
      </c>
      <c r="Q29" s="163">
        <f t="shared" si="4"/>
        <v>336003</v>
      </c>
      <c r="R29" s="163">
        <f t="shared" si="4"/>
        <v>4270</v>
      </c>
      <c r="S29" s="163">
        <f t="shared" si="4"/>
        <v>120911</v>
      </c>
      <c r="T29" s="163">
        <f t="shared" si="4"/>
        <v>3444</v>
      </c>
      <c r="U29" s="163">
        <f t="shared" si="4"/>
        <v>38312</v>
      </c>
      <c r="V29" s="163">
        <f t="shared" si="4"/>
        <v>2788</v>
      </c>
      <c r="W29" s="163">
        <f t="shared" si="4"/>
        <v>24168</v>
      </c>
      <c r="X29" s="163">
        <f t="shared" si="4"/>
        <v>2370</v>
      </c>
      <c r="Y29" s="164">
        <f t="shared" si="4"/>
        <v>11522</v>
      </c>
      <c r="Z29" s="163">
        <f t="shared" si="4"/>
        <v>4663</v>
      </c>
      <c r="AA29" s="163">
        <f t="shared" si="4"/>
        <v>19008</v>
      </c>
      <c r="AB29" s="163">
        <f t="shared" si="4"/>
        <v>263490</v>
      </c>
      <c r="AC29" s="163">
        <f t="shared" si="4"/>
        <v>2879453</v>
      </c>
      <c r="AD29" s="1">
        <f t="shared" si="3"/>
        <v>2867931</v>
      </c>
    </row>
    <row r="30" spans="1:30">
      <c r="A30" t="s">
        <v>341</v>
      </c>
      <c r="C30" s="167">
        <f t="shared" ref="C30:AB30" si="5">+C29/C31</f>
        <v>0.13453772121599414</v>
      </c>
      <c r="D30" s="167">
        <f t="shared" si="5"/>
        <v>0.13305853010140836</v>
      </c>
      <c r="E30" s="167">
        <f t="shared" si="5"/>
        <v>8.2959080638120075E-2</v>
      </c>
      <c r="F30" s="167">
        <f t="shared" si="5"/>
        <v>0.10396948157287961</v>
      </c>
      <c r="G30" s="167">
        <f t="shared" si="5"/>
        <v>0.12649718986464462</v>
      </c>
      <c r="H30" s="167">
        <f t="shared" si="5"/>
        <v>9.2946988251899204E-2</v>
      </c>
      <c r="I30" s="167">
        <f t="shared" si="5"/>
        <v>0.11282993886751078</v>
      </c>
      <c r="J30" s="167">
        <f t="shared" si="5"/>
        <v>8.2351302086356826E-2</v>
      </c>
      <c r="K30" s="167">
        <f t="shared" si="5"/>
        <v>8.5675427847726512E-2</v>
      </c>
      <c r="L30" s="167" t="e">
        <f t="shared" si="5"/>
        <v>#DIV/0!</v>
      </c>
      <c r="M30" s="167" t="e">
        <f t="shared" si="5"/>
        <v>#DIV/0!</v>
      </c>
      <c r="N30" s="167">
        <f t="shared" si="5"/>
        <v>7.8711840774525491E-2</v>
      </c>
      <c r="O30" s="167">
        <f t="shared" si="5"/>
        <v>0.10308157357288546</v>
      </c>
      <c r="P30" s="167">
        <f t="shared" si="5"/>
        <v>0.14699331848552338</v>
      </c>
      <c r="Q30" s="167">
        <f t="shared" si="5"/>
        <v>0.14970947264863546</v>
      </c>
      <c r="R30" s="167">
        <f t="shared" si="5"/>
        <v>1.9737450309697698E-2</v>
      </c>
      <c r="S30" s="167">
        <f t="shared" si="5"/>
        <v>5.2655026420924921E-2</v>
      </c>
      <c r="T30" s="167">
        <f t="shared" si="5"/>
        <v>0.11140943939442953</v>
      </c>
      <c r="U30" s="167">
        <f t="shared" si="5"/>
        <v>4.8557483304879703E-2</v>
      </c>
      <c r="V30" s="167">
        <f t="shared" si="5"/>
        <v>2.7211681111891935E-2</v>
      </c>
      <c r="W30" s="167">
        <f t="shared" si="5"/>
        <v>4.1879445835535496E-2</v>
      </c>
      <c r="X30" s="167">
        <f t="shared" si="5"/>
        <v>2.3872839356944276E-2</v>
      </c>
      <c r="Y30" s="168">
        <f t="shared" si="5"/>
        <v>1.726827879232954E-2</v>
      </c>
      <c r="Z30" s="167">
        <f t="shared" si="5"/>
        <v>4.0307732203829362E-2</v>
      </c>
      <c r="AA30" s="167">
        <f t="shared" si="5"/>
        <v>3.1025516724692611E-2</v>
      </c>
      <c r="AB30" s="167">
        <f t="shared" si="5"/>
        <v>9.5556265555681683E-2</v>
      </c>
      <c r="AC30" s="1"/>
      <c r="AD30" s="167">
        <f>+AD29/AD31</f>
        <v>0.10501815396712874</v>
      </c>
    </row>
    <row r="31" spans="1:30">
      <c r="A31" t="s">
        <v>338</v>
      </c>
      <c r="C31" s="146">
        <f t="shared" ref="C31:AC31" si="6">+C28+C29</f>
        <v>5120222</v>
      </c>
      <c r="D31" s="146">
        <f t="shared" si="6"/>
        <v>334785</v>
      </c>
      <c r="E31" s="146">
        <f t="shared" si="6"/>
        <v>3227543</v>
      </c>
      <c r="F31" s="146">
        <f t="shared" si="6"/>
        <v>450613</v>
      </c>
      <c r="G31" s="146">
        <f t="shared" si="6"/>
        <v>4282356</v>
      </c>
      <c r="H31" s="146">
        <f t="shared" si="6"/>
        <v>168623</v>
      </c>
      <c r="I31" s="146">
        <f t="shared" si="6"/>
        <v>2460721</v>
      </c>
      <c r="J31" s="146">
        <f t="shared" si="6"/>
        <v>172262</v>
      </c>
      <c r="K31" s="146">
        <f t="shared" si="6"/>
        <v>1945552</v>
      </c>
      <c r="L31" s="146">
        <f t="shared" si="6"/>
        <v>0</v>
      </c>
      <c r="M31" s="146">
        <f t="shared" si="6"/>
        <v>0</v>
      </c>
      <c r="N31" s="146">
        <f t="shared" si="6"/>
        <v>407372</v>
      </c>
      <c r="O31" s="146">
        <f t="shared" si="6"/>
        <v>3753115</v>
      </c>
      <c r="P31" s="146">
        <f t="shared" si="6"/>
        <v>198458</v>
      </c>
      <c r="Q31" s="146">
        <f t="shared" si="6"/>
        <v>2244367</v>
      </c>
      <c r="R31" s="146">
        <f t="shared" si="6"/>
        <v>216340</v>
      </c>
      <c r="S31" s="146">
        <f t="shared" si="6"/>
        <v>2296286</v>
      </c>
      <c r="T31" s="146">
        <f t="shared" si="6"/>
        <v>30913</v>
      </c>
      <c r="U31" s="146">
        <f t="shared" si="6"/>
        <v>789003</v>
      </c>
      <c r="V31" s="146">
        <f t="shared" si="6"/>
        <v>102456</v>
      </c>
      <c r="W31" s="146">
        <f t="shared" si="6"/>
        <v>577085</v>
      </c>
      <c r="X31" s="146">
        <f t="shared" si="6"/>
        <v>99276</v>
      </c>
      <c r="Y31" s="166">
        <f t="shared" si="6"/>
        <v>667235</v>
      </c>
      <c r="Z31" s="146">
        <f t="shared" si="6"/>
        <v>115685</v>
      </c>
      <c r="AA31" s="146">
        <f t="shared" si="6"/>
        <v>612657</v>
      </c>
      <c r="AB31" s="146">
        <f t="shared" si="6"/>
        <v>2757433</v>
      </c>
      <c r="AC31" s="146">
        <f t="shared" si="6"/>
        <v>27976142</v>
      </c>
      <c r="AD31" s="1">
        <f>+C31+E31+G31+I31+K31+O31+Q31+S31+U31+W31+AA31</f>
        <v>27308907</v>
      </c>
    </row>
    <row r="32" spans="1:30" ht="45">
      <c r="A32" s="174" t="s">
        <v>348</v>
      </c>
      <c r="C32" s="1">
        <f>-(C8+C19)*0.6713</f>
        <v>-1327172.1834</v>
      </c>
      <c r="D32" s="1">
        <f t="shared" ref="D32:AA32" si="7">-(D8+D19)*0.6713</f>
        <v>-83790.323399999994</v>
      </c>
      <c r="E32" s="1">
        <f t="shared" si="7"/>
        <v>-873475.42099999997</v>
      </c>
      <c r="F32" s="1">
        <f t="shared" si="7"/>
        <v>-151396.94640000002</v>
      </c>
      <c r="G32" s="1">
        <f t="shared" si="7"/>
        <v>-1301623.848</v>
      </c>
      <c r="H32" s="1">
        <f t="shared" si="7"/>
        <v>-35721.215600000003</v>
      </c>
      <c r="I32" s="1">
        <f t="shared" si="7"/>
        <v>-505555.35869999998</v>
      </c>
      <c r="J32" s="1">
        <f t="shared" si="7"/>
        <v>-28826.293300000001</v>
      </c>
      <c r="K32" s="1">
        <f t="shared" si="7"/>
        <v>-350626.70299999998</v>
      </c>
      <c r="L32" s="1">
        <f t="shared" si="7"/>
        <v>0</v>
      </c>
      <c r="M32" s="1">
        <f t="shared" si="7"/>
        <v>0</v>
      </c>
      <c r="N32" s="1">
        <f t="shared" si="7"/>
        <v>-83673.517200000002</v>
      </c>
      <c r="O32" s="1">
        <f t="shared" si="7"/>
        <v>-760776.23439999996</v>
      </c>
      <c r="P32" s="1">
        <f t="shared" si="7"/>
        <v>-69115.034100000004</v>
      </c>
      <c r="Q32" s="1">
        <f t="shared" si="7"/>
        <v>-791496.26500000001</v>
      </c>
      <c r="R32" s="1">
        <f t="shared" si="7"/>
        <v>-46200.208599999998</v>
      </c>
      <c r="S32" s="1">
        <f t="shared" si="7"/>
        <v>-583375.13989999995</v>
      </c>
      <c r="T32" s="1">
        <f t="shared" si="7"/>
        <v>-8624.1911</v>
      </c>
      <c r="U32" s="1">
        <f t="shared" si="7"/>
        <v>-251676.4117</v>
      </c>
      <c r="V32" s="1">
        <f t="shared" si="7"/>
        <v>-31641.054199999999</v>
      </c>
      <c r="W32" s="1">
        <f t="shared" si="7"/>
        <v>-193190.0705</v>
      </c>
      <c r="X32" s="1">
        <f t="shared" si="7"/>
        <v>-27842.838800000001</v>
      </c>
      <c r="Y32" s="1">
        <f t="shared" si="7"/>
        <v>-173068.52429999999</v>
      </c>
      <c r="Z32" s="1">
        <f t="shared" si="7"/>
        <v>-30916.050200000001</v>
      </c>
      <c r="AA32" s="1">
        <f t="shared" si="7"/>
        <v>-162166.61230000001</v>
      </c>
      <c r="AC32" s="1"/>
      <c r="AD32" s="1">
        <f t="shared" ref="AD32:AD33" si="8">+C32+E32+G32+I32+K32+O32+Q32+S32+U32+W32+AA32</f>
        <v>-7101134.2478999989</v>
      </c>
    </row>
    <row r="33" spans="1:30">
      <c r="A33" t="s">
        <v>349</v>
      </c>
      <c r="C33" s="163">
        <f>+C31+C32</f>
        <v>3793049.8166</v>
      </c>
      <c r="D33" s="163">
        <f t="shared" ref="D33:AA33" si="9">+D31+D32</f>
        <v>250994.67660000001</v>
      </c>
      <c r="E33" s="163">
        <f t="shared" si="9"/>
        <v>2354067.5789999999</v>
      </c>
      <c r="F33" s="163">
        <f t="shared" si="9"/>
        <v>299216.05359999998</v>
      </c>
      <c r="G33" s="163">
        <f t="shared" si="9"/>
        <v>2980732.1519999998</v>
      </c>
      <c r="H33" s="163">
        <f t="shared" si="9"/>
        <v>132901.7844</v>
      </c>
      <c r="I33" s="163">
        <f t="shared" si="9"/>
        <v>1955165.6413</v>
      </c>
      <c r="J33" s="163">
        <f t="shared" si="9"/>
        <v>143435.70670000001</v>
      </c>
      <c r="K33" s="163">
        <f t="shared" si="9"/>
        <v>1594925.297</v>
      </c>
      <c r="L33" s="163">
        <f t="shared" si="9"/>
        <v>0</v>
      </c>
      <c r="M33" s="163">
        <f t="shared" si="9"/>
        <v>0</v>
      </c>
      <c r="N33" s="163">
        <f t="shared" si="9"/>
        <v>323698.4828</v>
      </c>
      <c r="O33" s="163">
        <f t="shared" si="9"/>
        <v>2992338.7656</v>
      </c>
      <c r="P33" s="163">
        <f t="shared" si="9"/>
        <v>129342.9659</v>
      </c>
      <c r="Q33" s="163">
        <f t="shared" si="9"/>
        <v>1452870.7349999999</v>
      </c>
      <c r="R33" s="163">
        <f t="shared" si="9"/>
        <v>170139.79139999999</v>
      </c>
      <c r="S33" s="163">
        <f t="shared" si="9"/>
        <v>1712910.8601000002</v>
      </c>
      <c r="T33" s="163">
        <f t="shared" si="9"/>
        <v>22288.8089</v>
      </c>
      <c r="U33" s="163">
        <f t="shared" si="9"/>
        <v>537326.58829999994</v>
      </c>
      <c r="V33" s="163">
        <f t="shared" si="9"/>
        <v>70814.945800000001</v>
      </c>
      <c r="W33" s="163">
        <f t="shared" si="9"/>
        <v>383894.92949999997</v>
      </c>
      <c r="X33" s="163">
        <f t="shared" si="9"/>
        <v>71433.161200000002</v>
      </c>
      <c r="Y33" s="163">
        <f t="shared" si="9"/>
        <v>494166.47570000001</v>
      </c>
      <c r="Z33" s="163">
        <f t="shared" si="9"/>
        <v>84768.949800000002</v>
      </c>
      <c r="AA33" s="163">
        <f t="shared" si="9"/>
        <v>450490.38769999996</v>
      </c>
      <c r="AD33" s="1">
        <f t="shared" si="8"/>
        <v>20207772.752100002</v>
      </c>
    </row>
    <row r="34" spans="1:30">
      <c r="C34" s="173"/>
      <c r="D34" s="1"/>
      <c r="E34" s="1"/>
      <c r="F34" s="1"/>
      <c r="G34" s="1"/>
      <c r="H34" s="1"/>
      <c r="I34" s="1"/>
      <c r="J34" s="1"/>
      <c r="K34" s="1"/>
      <c r="L34" s="1"/>
      <c r="M34" s="1"/>
      <c r="N34" s="1"/>
      <c r="O34" s="1"/>
      <c r="P34" s="1"/>
      <c r="Q34" s="1"/>
      <c r="R34" s="1"/>
      <c r="S34" s="1"/>
      <c r="T34" s="1"/>
      <c r="U34" s="1"/>
      <c r="V34" s="1"/>
      <c r="W34" s="1"/>
      <c r="X34" s="1"/>
      <c r="Y34" s="157"/>
      <c r="Z34" s="1"/>
      <c r="AA34" s="1"/>
      <c r="AB34" s="1"/>
      <c r="AC34" s="1"/>
    </row>
    <row r="35" spans="1:30">
      <c r="A35" s="155">
        <v>2015</v>
      </c>
      <c r="C35" s="149"/>
      <c r="E35" s="149"/>
      <c r="G35" s="149"/>
      <c r="I35" s="149"/>
      <c r="K35" s="149"/>
      <c r="O35" s="149"/>
      <c r="Q35" s="149"/>
      <c r="S35" s="163"/>
      <c r="W35" s="149"/>
      <c r="Y35" s="169"/>
      <c r="AA35" s="149"/>
      <c r="AC35" s="146"/>
    </row>
    <row r="36" spans="1:30">
      <c r="A36" s="146" t="s">
        <v>337</v>
      </c>
      <c r="C36" s="1">
        <v>3136247</v>
      </c>
      <c r="D36" s="1">
        <v>143297</v>
      </c>
      <c r="E36" s="1">
        <v>373847</v>
      </c>
      <c r="F36" s="1">
        <v>305124</v>
      </c>
      <c r="G36" s="1">
        <v>3649440</v>
      </c>
      <c r="H36" s="1">
        <v>167565</v>
      </c>
      <c r="I36" s="1">
        <v>2010771</v>
      </c>
      <c r="J36" s="1">
        <v>143921</v>
      </c>
      <c r="K36" s="1">
        <v>1286812</v>
      </c>
      <c r="L36" s="1">
        <v>109130</v>
      </c>
      <c r="M36" s="1">
        <v>2227909</v>
      </c>
      <c r="N36" s="1">
        <v>237310</v>
      </c>
      <c r="O36" s="1">
        <v>2983440</v>
      </c>
      <c r="P36" s="1">
        <v>145949</v>
      </c>
      <c r="Q36" s="1">
        <v>1797331</v>
      </c>
      <c r="R36" s="1">
        <v>189023</v>
      </c>
      <c r="S36" s="1">
        <v>1775085</v>
      </c>
      <c r="T36" s="150"/>
      <c r="U36" s="1">
        <v>484661</v>
      </c>
      <c r="V36" s="150"/>
      <c r="W36" s="150">
        <v>0</v>
      </c>
      <c r="X36" s="150"/>
      <c r="Y36" s="158"/>
      <c r="Z36" s="150"/>
      <c r="AA36" s="150">
        <v>0</v>
      </c>
      <c r="AC36" s="151"/>
      <c r="AD36" s="1">
        <f t="shared" ref="AD36:AD37" si="10">+C36+E36+G36+I36+K36+O36+Q36+S36+U36+W36+AA36</f>
        <v>17497634</v>
      </c>
    </row>
    <row r="37" spans="1:30">
      <c r="A37" t="s">
        <v>339</v>
      </c>
      <c r="C37" s="1">
        <v>395255</v>
      </c>
      <c r="D37" s="1">
        <v>10353</v>
      </c>
      <c r="E37" s="1">
        <v>12881</v>
      </c>
      <c r="F37" s="1">
        <v>45891</v>
      </c>
      <c r="G37" s="1">
        <v>498599</v>
      </c>
      <c r="H37" s="1">
        <v>12561</v>
      </c>
      <c r="I37" s="1">
        <v>212106</v>
      </c>
      <c r="J37" s="1">
        <v>9356</v>
      </c>
      <c r="K37" s="1">
        <v>103607</v>
      </c>
      <c r="L37" s="1">
        <v>31644</v>
      </c>
      <c r="M37" s="1">
        <v>416157</v>
      </c>
      <c r="N37" s="1">
        <v>23692</v>
      </c>
      <c r="O37" s="1">
        <v>314896</v>
      </c>
      <c r="P37" s="1">
        <v>21441</v>
      </c>
      <c r="Q37" s="1">
        <v>238141</v>
      </c>
      <c r="R37" s="1">
        <v>11759</v>
      </c>
      <c r="S37" s="1">
        <v>32249</v>
      </c>
      <c r="U37" s="1">
        <v>7594</v>
      </c>
      <c r="W37" s="1">
        <v>0</v>
      </c>
      <c r="AA37">
        <v>0</v>
      </c>
      <c r="AD37" s="1">
        <f t="shared" si="10"/>
        <v>1815328</v>
      </c>
    </row>
    <row r="38" spans="1:30">
      <c r="A38" t="s">
        <v>341</v>
      </c>
      <c r="C38" s="167">
        <f t="shared" ref="C38:V38" si="11">+C37/C39</f>
        <v>0.11192263235303279</v>
      </c>
      <c r="D38" s="167">
        <f t="shared" si="11"/>
        <v>6.7380410022779044E-2</v>
      </c>
      <c r="E38" s="167">
        <f t="shared" si="11"/>
        <v>3.3307647752425479E-2</v>
      </c>
      <c r="F38" s="167">
        <f t="shared" si="11"/>
        <v>0.13073800264945942</v>
      </c>
      <c r="G38" s="167">
        <f t="shared" si="11"/>
        <v>0.1202011360066769</v>
      </c>
      <c r="H38" s="167">
        <f t="shared" si="11"/>
        <v>6.9734519169914397E-2</v>
      </c>
      <c r="I38" s="167">
        <f t="shared" si="11"/>
        <v>9.5419584619391901E-2</v>
      </c>
      <c r="J38" s="167">
        <f t="shared" si="11"/>
        <v>6.1039816802259964E-2</v>
      </c>
      <c r="K38" s="167">
        <f t="shared" si="11"/>
        <v>7.4514948371677894E-2</v>
      </c>
      <c r="L38" s="167">
        <f t="shared" si="11"/>
        <v>0.22478582692826801</v>
      </c>
      <c r="M38" s="167">
        <f t="shared" si="11"/>
        <v>0.15739281848486383</v>
      </c>
      <c r="N38" s="167">
        <f t="shared" si="11"/>
        <v>9.0773250779687509E-2</v>
      </c>
      <c r="O38" s="167">
        <f t="shared" si="11"/>
        <v>9.5471170917699105E-2</v>
      </c>
      <c r="P38" s="167">
        <f t="shared" si="11"/>
        <v>0.12809008901368063</v>
      </c>
      <c r="Q38" s="167">
        <f t="shared" si="11"/>
        <v>0.11699546837293757</v>
      </c>
      <c r="R38" s="167">
        <f t="shared" si="11"/>
        <v>5.8566006912970286E-2</v>
      </c>
      <c r="S38" s="167">
        <f t="shared" si="11"/>
        <v>1.7843409131903677E-2</v>
      </c>
      <c r="T38" s="167" t="e">
        <f t="shared" si="11"/>
        <v>#DIV/0!</v>
      </c>
      <c r="U38" s="167">
        <f t="shared" si="11"/>
        <v>1.5426963667205005E-2</v>
      </c>
      <c r="V38" s="167" t="e">
        <f t="shared" si="11"/>
        <v>#DIV/0!</v>
      </c>
      <c r="W38" s="167">
        <v>0</v>
      </c>
      <c r="X38" s="167"/>
      <c r="Y38" s="168"/>
      <c r="Z38" s="167"/>
      <c r="AA38" s="167">
        <v>0</v>
      </c>
      <c r="AD38" s="167">
        <f>+AD37/AD39</f>
        <v>9.3995317756023128E-2</v>
      </c>
    </row>
    <row r="39" spans="1:30">
      <c r="A39" t="s">
        <v>338</v>
      </c>
      <c r="C39" s="1">
        <v>3531502</v>
      </c>
      <c r="D39" s="1">
        <v>153650</v>
      </c>
      <c r="E39" s="1">
        <v>386728</v>
      </c>
      <c r="F39" s="1">
        <v>351015</v>
      </c>
      <c r="G39" s="1">
        <v>4148039</v>
      </c>
      <c r="H39" s="1">
        <v>180126</v>
      </c>
      <c r="I39" s="1">
        <v>2222877</v>
      </c>
      <c r="J39" s="1">
        <v>153277</v>
      </c>
      <c r="K39" s="1">
        <v>1390419</v>
      </c>
      <c r="L39" s="1">
        <v>140774</v>
      </c>
      <c r="M39" s="1">
        <v>2644066</v>
      </c>
      <c r="N39" s="1">
        <v>261002</v>
      </c>
      <c r="O39" s="1">
        <v>3298336</v>
      </c>
      <c r="P39" s="1">
        <v>167390</v>
      </c>
      <c r="Q39" s="1">
        <v>2035472</v>
      </c>
      <c r="R39" s="1">
        <v>200782</v>
      </c>
      <c r="S39" s="1">
        <v>1807334</v>
      </c>
      <c r="U39" s="1">
        <v>492255</v>
      </c>
      <c r="W39" s="1">
        <v>0</v>
      </c>
      <c r="AA39">
        <v>0</v>
      </c>
      <c r="AD39" s="1">
        <f>+C39+E39+G39+I39+K39+O39+Q39+S39+U39+W39+AA39</f>
        <v>19312962</v>
      </c>
    </row>
    <row r="40" spans="1:30" ht="45">
      <c r="A40" s="174" t="s">
        <v>348</v>
      </c>
      <c r="C40" s="1">
        <v>-947953.47080000001</v>
      </c>
      <c r="D40" s="1">
        <v>-55166.091399999998</v>
      </c>
      <c r="E40" s="1">
        <v>-137782.31109999999</v>
      </c>
      <c r="F40" s="1">
        <v>-89970.311199999996</v>
      </c>
      <c r="G40" s="1">
        <v>-1153665.9715</v>
      </c>
      <c r="H40" s="1">
        <v>-42773.893400000001</v>
      </c>
      <c r="I40" s="1">
        <v>-492307.25319999998</v>
      </c>
      <c r="J40" s="1">
        <v>-36046.7961</v>
      </c>
      <c r="K40" s="1">
        <v>-270004.24430000002</v>
      </c>
      <c r="L40" s="1">
        <v>-61597.145400000001</v>
      </c>
      <c r="M40" s="1">
        <v>-1119818.3541999999</v>
      </c>
      <c r="N40" s="1">
        <v>-49523.143600000003</v>
      </c>
      <c r="O40" s="1">
        <v>-838018.02630000003</v>
      </c>
      <c r="P40" s="1">
        <v>-70223.350399999996</v>
      </c>
      <c r="Q40" s="1">
        <v>-831240.58149999997</v>
      </c>
      <c r="R40" s="1">
        <v>-63775.513899999998</v>
      </c>
      <c r="S40" s="1">
        <v>-365167.73230000003</v>
      </c>
      <c r="T40" s="1">
        <v>-23109.502499999999</v>
      </c>
      <c r="U40" s="1">
        <v>-147055.64929999999</v>
      </c>
      <c r="V40" s="1"/>
      <c r="W40" s="1"/>
      <c r="X40" s="1"/>
      <c r="Y40" s="157"/>
      <c r="Z40" s="1"/>
      <c r="AA40" s="1"/>
      <c r="AB40" s="1"/>
      <c r="AD40" s="1">
        <f t="shared" ref="AD40:AD41" si="12">+C40+E40+G40+I40+K40+O40+Q40+S40+U40+W40+AA40</f>
        <v>-5183195.2402999997</v>
      </c>
    </row>
    <row r="41" spans="1:30">
      <c r="A41" t="s">
        <v>349</v>
      </c>
      <c r="C41" s="1">
        <f>+C39+C40</f>
        <v>2583548.5291999998</v>
      </c>
      <c r="D41" s="1">
        <f t="shared" ref="D41:AA41" si="13">+D39+D40</f>
        <v>98483.908599999995</v>
      </c>
      <c r="E41" s="1">
        <f t="shared" si="13"/>
        <v>248945.68890000001</v>
      </c>
      <c r="F41" s="1">
        <f t="shared" si="13"/>
        <v>261044.6888</v>
      </c>
      <c r="G41" s="1">
        <f t="shared" si="13"/>
        <v>2994373.0285</v>
      </c>
      <c r="H41" s="1">
        <f t="shared" si="13"/>
        <v>137352.1066</v>
      </c>
      <c r="I41" s="1">
        <f t="shared" si="13"/>
        <v>1730569.7468000001</v>
      </c>
      <c r="J41" s="1">
        <f t="shared" si="13"/>
        <v>117230.20389999999</v>
      </c>
      <c r="K41" s="1">
        <f t="shared" si="13"/>
        <v>1120414.7557000001</v>
      </c>
      <c r="L41" s="1">
        <f t="shared" si="13"/>
        <v>79176.854599999991</v>
      </c>
      <c r="M41" s="1">
        <f t="shared" si="13"/>
        <v>1524247.6458000001</v>
      </c>
      <c r="N41" s="1">
        <f t="shared" si="13"/>
        <v>211478.85639999999</v>
      </c>
      <c r="O41" s="1">
        <f t="shared" si="13"/>
        <v>2460317.9737</v>
      </c>
      <c r="P41" s="1">
        <f t="shared" si="13"/>
        <v>97166.649600000004</v>
      </c>
      <c r="Q41" s="1">
        <f t="shared" si="13"/>
        <v>1204231.4185000001</v>
      </c>
      <c r="R41" s="1">
        <f t="shared" si="13"/>
        <v>137006.48610000001</v>
      </c>
      <c r="S41" s="1">
        <f t="shared" si="13"/>
        <v>1442166.2677</v>
      </c>
      <c r="T41" s="1">
        <f t="shared" si="13"/>
        <v>-23109.502499999999</v>
      </c>
      <c r="U41" s="1">
        <f t="shared" si="13"/>
        <v>345199.35070000001</v>
      </c>
      <c r="V41" s="1">
        <f t="shared" si="13"/>
        <v>0</v>
      </c>
      <c r="W41" s="1">
        <f t="shared" si="13"/>
        <v>0</v>
      </c>
      <c r="X41" s="1">
        <f t="shared" si="13"/>
        <v>0</v>
      </c>
      <c r="Y41" s="1">
        <f t="shared" si="13"/>
        <v>0</v>
      </c>
      <c r="Z41" s="1">
        <f t="shared" si="13"/>
        <v>0</v>
      </c>
      <c r="AA41" s="1">
        <f t="shared" si="13"/>
        <v>0</v>
      </c>
      <c r="AB41" s="1" t="e">
        <f>+AB39+AB40+#REF!</f>
        <v>#REF!</v>
      </c>
      <c r="AC41" s="1" t="e">
        <f>+AC39+AC40+#REF!</f>
        <v>#REF!</v>
      </c>
      <c r="AD41" s="1">
        <f t="shared" si="12"/>
        <v>14129766.7597</v>
      </c>
    </row>
    <row r="42" spans="1:30">
      <c r="C42" s="1"/>
      <c r="D42" s="1"/>
      <c r="E42" s="1"/>
      <c r="F42" s="1"/>
      <c r="G42" s="1"/>
      <c r="H42" s="1"/>
      <c r="I42" s="1"/>
      <c r="J42" s="1"/>
      <c r="K42" s="1"/>
      <c r="L42" s="1"/>
      <c r="M42" s="1"/>
      <c r="N42" s="1"/>
      <c r="O42" s="1"/>
      <c r="P42" s="1"/>
      <c r="Q42" s="1"/>
      <c r="R42" s="1"/>
      <c r="S42" s="1"/>
      <c r="T42" s="1"/>
      <c r="U42" s="1"/>
      <c r="V42" s="1"/>
      <c r="W42" s="1"/>
      <c r="X42" s="1"/>
      <c r="Y42" s="157"/>
      <c r="Z42" s="1"/>
      <c r="AA42" s="1"/>
      <c r="AB42" s="1"/>
    </row>
    <row r="43" spans="1:30">
      <c r="A43" t="s">
        <v>340</v>
      </c>
      <c r="C43" s="1">
        <f t="shared" ref="C43:AD43" si="14">+C33-C41</f>
        <v>1209501.2874000003</v>
      </c>
      <c r="D43" s="1">
        <f t="shared" si="14"/>
        <v>152510.76800000001</v>
      </c>
      <c r="E43" s="1">
        <f t="shared" si="14"/>
        <v>2105121.8901</v>
      </c>
      <c r="F43" s="1">
        <f t="shared" si="14"/>
        <v>38171.364799999981</v>
      </c>
      <c r="G43" s="1">
        <f t="shared" si="14"/>
        <v>-13640.876500000246</v>
      </c>
      <c r="H43" s="1">
        <f t="shared" si="14"/>
        <v>-4450.3221999999951</v>
      </c>
      <c r="I43" s="1">
        <f t="shared" si="14"/>
        <v>224595.89449999994</v>
      </c>
      <c r="J43" s="1">
        <f t="shared" si="14"/>
        <v>26205.502800000017</v>
      </c>
      <c r="K43" s="1">
        <f t="shared" si="14"/>
        <v>474510.54129999992</v>
      </c>
      <c r="L43" s="1">
        <f t="shared" si="14"/>
        <v>-79176.854599999991</v>
      </c>
      <c r="M43" s="1">
        <f t="shared" si="14"/>
        <v>-1524247.6458000001</v>
      </c>
      <c r="N43" s="1">
        <f t="shared" si="14"/>
        <v>112219.62640000001</v>
      </c>
      <c r="O43" s="1">
        <f t="shared" si="14"/>
        <v>532020.79190000007</v>
      </c>
      <c r="P43" s="1">
        <f t="shared" si="14"/>
        <v>32176.316299999991</v>
      </c>
      <c r="Q43" s="1">
        <f t="shared" si="14"/>
        <v>248639.31649999972</v>
      </c>
      <c r="R43" s="1">
        <f t="shared" si="14"/>
        <v>33133.305299999978</v>
      </c>
      <c r="S43" s="1">
        <f t="shared" si="14"/>
        <v>270744.5924000002</v>
      </c>
      <c r="T43" s="1">
        <f t="shared" si="14"/>
        <v>45398.311399999999</v>
      </c>
      <c r="U43" s="1">
        <f t="shared" si="14"/>
        <v>192127.23759999993</v>
      </c>
      <c r="V43" s="1">
        <f t="shared" si="14"/>
        <v>70814.945800000001</v>
      </c>
      <c r="W43" s="1">
        <f t="shared" si="14"/>
        <v>383894.92949999997</v>
      </c>
      <c r="X43" s="1">
        <f t="shared" si="14"/>
        <v>71433.161200000002</v>
      </c>
      <c r="Y43" s="1">
        <f t="shared" si="14"/>
        <v>494166.47570000001</v>
      </c>
      <c r="Z43" s="1">
        <f t="shared" si="14"/>
        <v>84768.949800000002</v>
      </c>
      <c r="AA43" s="1">
        <f t="shared" si="14"/>
        <v>450490.38769999996</v>
      </c>
      <c r="AB43" s="1" t="e">
        <f t="shared" si="14"/>
        <v>#REF!</v>
      </c>
      <c r="AC43" s="1" t="e">
        <f t="shared" si="14"/>
        <v>#REF!</v>
      </c>
      <c r="AD43" s="1">
        <f t="shared" si="14"/>
        <v>6078005.9924000017</v>
      </c>
    </row>
    <row r="46" spans="1:30">
      <c r="A46" t="s">
        <v>342</v>
      </c>
      <c r="C46" s="163">
        <f>+C43*$AD$30</f>
        <v>127019.59242361366</v>
      </c>
      <c r="D46" s="163">
        <f t="shared" ref="D46:AC46" si="15">+D43*$AD$30</f>
        <v>16016.399315469052</v>
      </c>
      <c r="E46" s="163">
        <f t="shared" si="15"/>
        <v>221076.01477409486</v>
      </c>
      <c r="F46" s="163">
        <f t="shared" si="15"/>
        <v>4008.6862657018364</v>
      </c>
      <c r="G46" s="163">
        <f t="shared" si="15"/>
        <v>-1432.539668523614</v>
      </c>
      <c r="H46" s="163">
        <f t="shared" si="15"/>
        <v>-467.36462200293062</v>
      </c>
      <c r="I46" s="163">
        <f t="shared" si="15"/>
        <v>23586.646228985996</v>
      </c>
      <c r="J46" s="163">
        <f t="shared" si="15"/>
        <v>2752.053527836425</v>
      </c>
      <c r="K46" s="163">
        <f t="shared" si="15"/>
        <v>49832.221085268997</v>
      </c>
      <c r="L46" s="163">
        <f t="shared" si="15"/>
        <v>-8315.0071070157646</v>
      </c>
      <c r="M46" s="163">
        <f t="shared" si="15"/>
        <v>-160073.67395065792</v>
      </c>
      <c r="N46" s="163">
        <f t="shared" si="15"/>
        <v>11785.098003408866</v>
      </c>
      <c r="O46" s="163">
        <f t="shared" si="15"/>
        <v>55871.841437467963</v>
      </c>
      <c r="P46" s="163">
        <f t="shared" si="15"/>
        <v>3379.0973392884334</v>
      </c>
      <c r="Q46" s="163">
        <f t="shared" si="15"/>
        <v>26111.642022478623</v>
      </c>
      <c r="R46" s="163">
        <f t="shared" si="15"/>
        <v>3479.5985574352803</v>
      </c>
      <c r="S46" s="163">
        <f t="shared" si="15"/>
        <v>28433.097290430735</v>
      </c>
      <c r="T46" s="163">
        <f t="shared" si="15"/>
        <v>4767.6468564528559</v>
      </c>
      <c r="U46" s="163">
        <f t="shared" si="15"/>
        <v>20176.847819555918</v>
      </c>
      <c r="V46" s="163">
        <f t="shared" si="15"/>
        <v>7436.8548811982773</v>
      </c>
      <c r="W46" s="163">
        <f t="shared" si="15"/>
        <v>40315.936813431028</v>
      </c>
      <c r="X46" s="163">
        <f t="shared" si="15"/>
        <v>7501.7787212603271</v>
      </c>
      <c r="Y46" s="163">
        <f t="shared" si="15"/>
        <v>51896.451030455988</v>
      </c>
      <c r="Z46" s="163">
        <f t="shared" si="15"/>
        <v>8902.2786217282082</v>
      </c>
      <c r="AA46" s="163">
        <f t="shared" si="15"/>
        <v>47309.668896190116</v>
      </c>
      <c r="AB46" s="163" t="e">
        <f t="shared" si="15"/>
        <v>#REF!</v>
      </c>
      <c r="AC46" s="163" t="e">
        <f t="shared" si="15"/>
        <v>#REF!</v>
      </c>
      <c r="AD46" s="1">
        <f t="shared" ref="AD46" si="16">+C46+E46+G46+I46+K46+O46+Q46+S46+U46+W46+AA46</f>
        <v>638300.96912299423</v>
      </c>
    </row>
    <row r="47" spans="1:30">
      <c r="A47" t="s">
        <v>346</v>
      </c>
      <c r="AD47" s="1">
        <f>+AD29-AD46</f>
        <v>2229630.0308770058</v>
      </c>
    </row>
    <row r="48" spans="1:30">
      <c r="AD48" s="1"/>
    </row>
    <row r="50" spans="1:32">
      <c r="A50" t="s">
        <v>343</v>
      </c>
      <c r="C50" s="163">
        <v>99244</v>
      </c>
      <c r="D50" s="163"/>
      <c r="E50" s="163">
        <v>181556</v>
      </c>
      <c r="F50" s="163"/>
      <c r="G50" s="163">
        <v>166112</v>
      </c>
      <c r="H50" s="163"/>
      <c r="I50" s="163">
        <v>-3377.7</v>
      </c>
      <c r="J50" s="163"/>
      <c r="K50" s="163">
        <v>-6368.78</v>
      </c>
      <c r="L50" s="163"/>
      <c r="M50" s="163"/>
      <c r="N50" s="163"/>
      <c r="O50" s="163">
        <v>20647.990000000002</v>
      </c>
      <c r="P50" s="163"/>
      <c r="Q50" s="163">
        <v>40583.269999999997</v>
      </c>
      <c r="R50" s="163"/>
      <c r="S50" s="163">
        <v>42177</v>
      </c>
      <c r="T50" s="163"/>
      <c r="U50" s="163">
        <v>0</v>
      </c>
      <c r="V50" s="163"/>
      <c r="W50" s="163">
        <v>0</v>
      </c>
      <c r="X50" s="163"/>
      <c r="Y50" s="164"/>
      <c r="Z50" s="163"/>
      <c r="AA50" s="163">
        <v>6700</v>
      </c>
      <c r="AB50" s="163"/>
      <c r="AC50" s="163"/>
      <c r="AD50" s="163">
        <f>SUM(C50:AA50)</f>
        <v>547273.78</v>
      </c>
      <c r="AE50" s="163"/>
      <c r="AF50" s="147"/>
    </row>
    <row r="51" spans="1:32">
      <c r="A51" t="s">
        <v>344</v>
      </c>
      <c r="C51" s="163">
        <v>-4222942.79</v>
      </c>
      <c r="D51" s="163"/>
      <c r="E51" s="163">
        <v>-2026803</v>
      </c>
      <c r="F51" s="163"/>
      <c r="G51" s="163">
        <v>-1121752</v>
      </c>
      <c r="H51" s="163"/>
      <c r="I51" s="163">
        <v>-1434625</v>
      </c>
      <c r="J51" s="163"/>
      <c r="K51" s="163">
        <v>-889169</v>
      </c>
      <c r="L51" s="163"/>
      <c r="M51" s="163"/>
      <c r="N51" s="163"/>
      <c r="O51" s="163">
        <v>-2228711</v>
      </c>
      <c r="P51" s="163"/>
      <c r="Q51" s="163">
        <v>-1481699</v>
      </c>
      <c r="R51" s="163"/>
      <c r="S51" s="163">
        <v>-2062093</v>
      </c>
      <c r="T51" s="163"/>
      <c r="U51" s="163">
        <v>-349499</v>
      </c>
      <c r="V51" s="163"/>
      <c r="W51" s="163">
        <v>-20424</v>
      </c>
      <c r="X51" s="163"/>
      <c r="Y51" s="164"/>
      <c r="Z51" s="163"/>
      <c r="AA51" s="163">
        <v>-269269</v>
      </c>
      <c r="AB51" s="163"/>
      <c r="AC51" s="163"/>
      <c r="AD51" s="163">
        <f>SUM(C51:AA51)</f>
        <v>-16106986.789999999</v>
      </c>
      <c r="AE51" s="163"/>
      <c r="AF51" s="147"/>
    </row>
    <row r="52" spans="1:32">
      <c r="C52" s="163"/>
      <c r="D52" s="163"/>
      <c r="E52" s="163"/>
      <c r="F52" s="163"/>
      <c r="G52" s="163"/>
      <c r="H52" s="163"/>
      <c r="I52" s="163"/>
      <c r="J52" s="163"/>
      <c r="K52" s="163"/>
      <c r="L52" s="163"/>
      <c r="M52" s="163"/>
      <c r="N52" s="163"/>
      <c r="O52" s="163"/>
      <c r="P52" s="163"/>
      <c r="Q52" s="163"/>
      <c r="R52" s="163"/>
      <c r="S52" s="163"/>
      <c r="T52" s="163"/>
      <c r="U52" s="163"/>
      <c r="V52" s="163"/>
      <c r="W52" s="163"/>
      <c r="X52" s="163"/>
      <c r="Y52" s="164"/>
      <c r="Z52" s="163"/>
      <c r="AA52" s="163"/>
      <c r="AB52" s="163"/>
      <c r="AC52" s="163"/>
      <c r="AD52" s="163"/>
      <c r="AE52" s="163"/>
      <c r="AF52" s="147"/>
    </row>
    <row r="53" spans="1:32">
      <c r="A53" t="s">
        <v>345</v>
      </c>
      <c r="C53" s="163">
        <f t="shared" ref="C53:F53" si="17">+C51+C50+C46</f>
        <v>-3996679.1975763864</v>
      </c>
      <c r="D53" s="163">
        <f t="shared" si="17"/>
        <v>16016.399315469052</v>
      </c>
      <c r="E53" s="163">
        <f t="shared" si="17"/>
        <v>-1624170.9852259052</v>
      </c>
      <c r="F53" s="163">
        <f t="shared" si="17"/>
        <v>4008.6862657018364</v>
      </c>
      <c r="G53" s="163">
        <f>+G51+G50+G46</f>
        <v>-957072.53966852359</v>
      </c>
      <c r="H53" s="163">
        <f t="shared" ref="H53:AD53" si="18">+H51+H50+H46</f>
        <v>-467.36462200293062</v>
      </c>
      <c r="I53" s="163">
        <f t="shared" si="18"/>
        <v>-1414416.0537710139</v>
      </c>
      <c r="J53" s="163">
        <f t="shared" si="18"/>
        <v>2752.053527836425</v>
      </c>
      <c r="K53" s="163">
        <f t="shared" si="18"/>
        <v>-845705.55891473102</v>
      </c>
      <c r="L53" s="163">
        <f t="shared" si="18"/>
        <v>-8315.0071070157646</v>
      </c>
      <c r="M53" s="163">
        <f t="shared" si="18"/>
        <v>-160073.67395065792</v>
      </c>
      <c r="N53" s="163">
        <f t="shared" si="18"/>
        <v>11785.098003408866</v>
      </c>
      <c r="O53" s="163">
        <f t="shared" si="18"/>
        <v>-2152191.1685625319</v>
      </c>
      <c r="P53" s="163">
        <f t="shared" si="18"/>
        <v>3379.0973392884334</v>
      </c>
      <c r="Q53" s="163">
        <f t="shared" si="18"/>
        <v>-1415004.0879775214</v>
      </c>
      <c r="R53" s="163">
        <f t="shared" si="18"/>
        <v>3479.5985574352803</v>
      </c>
      <c r="S53" s="163">
        <f t="shared" si="18"/>
        <v>-1991482.9027095693</v>
      </c>
      <c r="T53" s="163">
        <f t="shared" si="18"/>
        <v>4767.6468564528559</v>
      </c>
      <c r="U53" s="163">
        <f t="shared" si="18"/>
        <v>-329322.1521804441</v>
      </c>
      <c r="V53" s="163">
        <f t="shared" si="18"/>
        <v>7436.8548811982773</v>
      </c>
      <c r="W53" s="163">
        <f t="shared" si="18"/>
        <v>19891.936813431028</v>
      </c>
      <c r="X53" s="163">
        <f t="shared" si="18"/>
        <v>7501.7787212603271</v>
      </c>
      <c r="Y53" s="163">
        <f t="shared" si="18"/>
        <v>51896.451030455988</v>
      </c>
      <c r="Z53" s="163">
        <f t="shared" si="18"/>
        <v>8902.2786217282082</v>
      </c>
      <c r="AA53" s="163">
        <f t="shared" si="18"/>
        <v>-215259.33110380988</v>
      </c>
      <c r="AB53" s="163" t="e">
        <f t="shared" si="18"/>
        <v>#REF!</v>
      </c>
      <c r="AC53" s="163" t="e">
        <f t="shared" si="18"/>
        <v>#REF!</v>
      </c>
      <c r="AD53" s="163">
        <f t="shared" si="18"/>
        <v>-14921412.040877005</v>
      </c>
      <c r="AE53" s="163"/>
      <c r="AF53" s="147"/>
    </row>
    <row r="54" spans="1:32">
      <c r="C54" s="163"/>
      <c r="D54" s="163"/>
      <c r="E54" s="163"/>
      <c r="F54" s="163"/>
      <c r="G54" s="163"/>
      <c r="H54" s="163"/>
      <c r="I54" s="163"/>
      <c r="J54" s="163"/>
      <c r="K54" s="163"/>
      <c r="L54" s="163"/>
      <c r="M54" s="163"/>
      <c r="N54" s="163"/>
      <c r="O54" s="163"/>
      <c r="P54" s="163"/>
      <c r="Q54" s="163"/>
      <c r="R54" s="163"/>
      <c r="S54" s="163"/>
      <c r="T54" s="163"/>
      <c r="U54" s="163"/>
      <c r="V54" s="163"/>
      <c r="W54" s="163"/>
      <c r="X54" s="163"/>
      <c r="Y54" s="164"/>
      <c r="Z54" s="163"/>
      <c r="AA54" s="163"/>
      <c r="AB54" s="163"/>
      <c r="AC54" s="163"/>
      <c r="AD54" s="163"/>
      <c r="AE54" s="163"/>
      <c r="AF54" s="147"/>
    </row>
    <row r="55" spans="1:32" s="156" customFormat="1">
      <c r="A55" s="167" t="s">
        <v>347</v>
      </c>
      <c r="B55" s="167"/>
      <c r="C55" s="167">
        <f t="shared" ref="C55:F55" si="19">(+C46+C50)/C51</f>
        <v>-5.3579601636898719E-2</v>
      </c>
      <c r="D55" s="167" t="e">
        <f t="shared" si="19"/>
        <v>#DIV/0!</v>
      </c>
      <c r="E55" s="167">
        <f t="shared" si="19"/>
        <v>-0.19865374916757814</v>
      </c>
      <c r="F55" s="167" t="e">
        <f t="shared" si="19"/>
        <v>#DIV/0!</v>
      </c>
      <c r="G55" s="167">
        <f>(+G46+G50)/G51</f>
        <v>-0.14680558655698978</v>
      </c>
      <c r="H55" s="167" t="e">
        <f t="shared" ref="H55:AD55" si="20">(+H46+H50)/H51</f>
        <v>#DIV/0!</v>
      </c>
      <c r="I55" s="167">
        <f t="shared" si="20"/>
        <v>-1.4086570517721352E-2</v>
      </c>
      <c r="J55" s="167" t="e">
        <f t="shared" si="20"/>
        <v>#DIV/0!</v>
      </c>
      <c r="K55" s="167">
        <f t="shared" si="20"/>
        <v>-4.8880967606010781E-2</v>
      </c>
      <c r="L55" s="167" t="e">
        <f t="shared" si="20"/>
        <v>#DIV/0!</v>
      </c>
      <c r="M55" s="167" t="e">
        <f t="shared" si="20"/>
        <v>#DIV/0!</v>
      </c>
      <c r="N55" s="167" t="e">
        <f t="shared" si="20"/>
        <v>#DIV/0!</v>
      </c>
      <c r="O55" s="167">
        <f t="shared" si="20"/>
        <v>-3.4333671542639652E-2</v>
      </c>
      <c r="P55" s="167" t="e">
        <f t="shared" si="20"/>
        <v>#DIV/0!</v>
      </c>
      <c r="Q55" s="167">
        <f t="shared" si="20"/>
        <v>-4.5012456661223783E-2</v>
      </c>
      <c r="R55" s="167" t="e">
        <f t="shared" si="20"/>
        <v>#DIV/0!</v>
      </c>
      <c r="S55" s="167">
        <f t="shared" si="20"/>
        <v>-3.4241955765540517E-2</v>
      </c>
      <c r="T55" s="167" t="e">
        <f t="shared" si="20"/>
        <v>#DIV/0!</v>
      </c>
      <c r="U55" s="167">
        <f t="shared" si="20"/>
        <v>-5.7730774106809803E-2</v>
      </c>
      <c r="V55" s="167" t="e">
        <f t="shared" si="20"/>
        <v>#DIV/0!</v>
      </c>
      <c r="W55" s="167">
        <f t="shared" si="20"/>
        <v>-1.9739491193415113</v>
      </c>
      <c r="X55" s="167" t="e">
        <f t="shared" si="20"/>
        <v>#DIV/0!</v>
      </c>
      <c r="Y55" s="167" t="e">
        <f t="shared" si="20"/>
        <v>#DIV/0!</v>
      </c>
      <c r="Z55" s="167" t="e">
        <f t="shared" si="20"/>
        <v>#DIV/0!</v>
      </c>
      <c r="AA55" s="167">
        <f t="shared" si="20"/>
        <v>-0.20057885941638331</v>
      </c>
      <c r="AB55" s="167" t="e">
        <f t="shared" si="20"/>
        <v>#REF!</v>
      </c>
      <c r="AC55" s="167" t="e">
        <f t="shared" si="20"/>
        <v>#REF!</v>
      </c>
      <c r="AD55" s="167">
        <f t="shared" si="20"/>
        <v>-7.3606240855617802E-2</v>
      </c>
      <c r="AE55" s="167"/>
    </row>
    <row r="56" spans="1:32">
      <c r="C56" s="163"/>
      <c r="D56" s="163"/>
      <c r="E56" s="163"/>
      <c r="F56" s="163"/>
      <c r="G56" s="163"/>
      <c r="H56" s="163"/>
      <c r="I56" s="163"/>
      <c r="J56" s="163"/>
      <c r="K56" s="163"/>
      <c r="L56" s="163"/>
      <c r="M56" s="163"/>
      <c r="N56" s="163"/>
      <c r="O56" s="163"/>
      <c r="P56" s="163"/>
      <c r="Q56" s="163"/>
      <c r="R56" s="163"/>
      <c r="S56" s="163"/>
      <c r="T56" s="163"/>
      <c r="U56" s="163"/>
      <c r="V56" s="163"/>
      <c r="W56" s="163"/>
      <c r="X56" s="163"/>
      <c r="Y56" s="164"/>
      <c r="Z56" s="163"/>
      <c r="AA56" s="163"/>
      <c r="AB56" s="163"/>
      <c r="AC56" s="163"/>
      <c r="AD56" s="163"/>
      <c r="AE56" s="163"/>
      <c r="AF56" s="147"/>
    </row>
    <row r="60" spans="1:32">
      <c r="A60" t="s">
        <v>350</v>
      </c>
    </row>
    <row r="61" spans="1:32">
      <c r="A61" t="s">
        <v>351</v>
      </c>
    </row>
    <row r="62" spans="1:32">
      <c r="A62" t="s">
        <v>299</v>
      </c>
    </row>
  </sheetData>
  <pageMargins left="0.7" right="0.7" top="0.75" bottom="0.75" header="0.3" footer="0.3"/>
  <pageSetup scale="1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D45"/>
  <sheetViews>
    <sheetView workbookViewId="0"/>
  </sheetViews>
  <sheetFormatPr defaultColWidth="8.85546875" defaultRowHeight="15"/>
  <cols>
    <col min="1" max="1" width="35.140625" bestFit="1" customWidth="1"/>
    <col min="2" max="2" width="9.7109375" hidden="1" customWidth="1"/>
    <col min="3" max="3" width="10.7109375" bestFit="1" customWidth="1"/>
    <col min="4" max="4" width="9.7109375" hidden="1" customWidth="1"/>
    <col min="5" max="5" width="11.7109375" bestFit="1" customWidth="1"/>
    <col min="6" max="6" width="9.7109375" hidden="1" customWidth="1"/>
    <col min="7" max="7" width="10.140625" bestFit="1" customWidth="1"/>
    <col min="8" max="8" width="9.7109375" hidden="1" customWidth="1"/>
    <col min="9" max="9" width="10.7109375" bestFit="1" customWidth="1"/>
    <col min="10" max="10" width="9.7109375" hidden="1" customWidth="1"/>
    <col min="11" max="11" width="11.7109375" bestFit="1" customWidth="1"/>
    <col min="12" max="13" width="0" hidden="1" customWidth="1"/>
    <col min="14" max="14" width="9.7109375" hidden="1" customWidth="1"/>
    <col min="15" max="15" width="11.7109375" bestFit="1" customWidth="1"/>
    <col min="16" max="16" width="9.7109375" hidden="1" customWidth="1"/>
    <col min="17" max="17" width="10.7109375" bestFit="1" customWidth="1"/>
    <col min="18" max="18" width="8.28515625" hidden="1" customWidth="1"/>
    <col min="19" max="19" width="11.7109375" bestFit="1" customWidth="1"/>
    <col min="20" max="20" width="8.28515625" hidden="1" customWidth="1"/>
    <col min="21" max="21" width="10.140625" bestFit="1" customWidth="1"/>
    <col min="22" max="22" width="8.28515625" hidden="1" customWidth="1"/>
    <col min="23" max="23" width="11.7109375" bestFit="1" customWidth="1"/>
    <col min="24" max="24" width="9.7109375" hidden="1" customWidth="1"/>
    <col min="25" max="25" width="9.140625" bestFit="1" customWidth="1"/>
    <col min="26" max="26" width="8.28515625" hidden="1" customWidth="1"/>
    <col min="27" max="27" width="10.7109375" bestFit="1" customWidth="1"/>
    <col min="28" max="28" width="11.42578125" hidden="1" customWidth="1"/>
    <col min="29" max="29" width="13.28515625" bestFit="1" customWidth="1"/>
  </cols>
  <sheetData>
    <row r="1" spans="1:29">
      <c r="A1" s="123" t="s">
        <v>330</v>
      </c>
    </row>
    <row r="2" spans="1:29">
      <c r="A2" s="154" t="s">
        <v>333</v>
      </c>
    </row>
    <row r="3" spans="1:29">
      <c r="A3" s="155">
        <v>2016</v>
      </c>
    </row>
    <row r="6" spans="1:29">
      <c r="A6" s="153" t="s">
        <v>331</v>
      </c>
      <c r="B6" s="132" t="s">
        <v>213</v>
      </c>
      <c r="C6" s="132" t="s">
        <v>213</v>
      </c>
      <c r="D6" s="132" t="s">
        <v>282</v>
      </c>
      <c r="E6" s="132" t="s">
        <v>282</v>
      </c>
      <c r="F6" s="132" t="s">
        <v>203</v>
      </c>
      <c r="G6" s="132" t="s">
        <v>203</v>
      </c>
      <c r="H6" s="132" t="s">
        <v>204</v>
      </c>
      <c r="I6" s="132" t="s">
        <v>204</v>
      </c>
      <c r="J6" s="132" t="s">
        <v>205</v>
      </c>
      <c r="K6" s="132" t="s">
        <v>205</v>
      </c>
      <c r="L6" s="132" t="s">
        <v>205</v>
      </c>
      <c r="M6" s="132" t="s">
        <v>205</v>
      </c>
      <c r="N6" s="132" t="s">
        <v>207</v>
      </c>
      <c r="O6" s="132" t="s">
        <v>207</v>
      </c>
      <c r="P6" s="132" t="s">
        <v>208</v>
      </c>
      <c r="Q6" s="132" t="s">
        <v>208</v>
      </c>
      <c r="R6" s="132" t="s">
        <v>278</v>
      </c>
      <c r="S6" s="132" t="s">
        <v>278</v>
      </c>
      <c r="T6" s="132" t="s">
        <v>279</v>
      </c>
      <c r="U6" s="132" t="s">
        <v>279</v>
      </c>
      <c r="V6" s="132" t="s">
        <v>287</v>
      </c>
      <c r="W6" s="132" t="s">
        <v>287</v>
      </c>
      <c r="X6" s="132" t="s">
        <v>292</v>
      </c>
      <c r="Y6" s="132" t="s">
        <v>292</v>
      </c>
      <c r="Z6" s="132" t="s">
        <v>293</v>
      </c>
      <c r="AA6" s="132" t="s">
        <v>293</v>
      </c>
      <c r="AB6" s="132" t="s">
        <v>288</v>
      </c>
      <c r="AC6" s="132" t="s">
        <v>288</v>
      </c>
    </row>
    <row r="7" spans="1:29">
      <c r="A7" s="1"/>
      <c r="B7" s="14" t="s">
        <v>2</v>
      </c>
      <c r="C7" s="15" t="s">
        <v>3</v>
      </c>
      <c r="D7" s="14" t="s">
        <v>2</v>
      </c>
      <c r="E7" s="15" t="s">
        <v>3</v>
      </c>
      <c r="F7" s="14" t="s">
        <v>2</v>
      </c>
      <c r="G7" s="15" t="s">
        <v>3</v>
      </c>
      <c r="H7" s="14" t="s">
        <v>2</v>
      </c>
      <c r="I7" s="15" t="s">
        <v>3</v>
      </c>
      <c r="J7" s="14" t="s">
        <v>2</v>
      </c>
      <c r="K7" s="15" t="s">
        <v>3</v>
      </c>
      <c r="L7" s="14"/>
      <c r="M7" s="15"/>
      <c r="N7" s="14" t="s">
        <v>2</v>
      </c>
      <c r="O7" s="15" t="s">
        <v>3</v>
      </c>
      <c r="P7" s="14" t="s">
        <v>2</v>
      </c>
      <c r="Q7" s="15" t="s">
        <v>3</v>
      </c>
      <c r="R7" s="14" t="s">
        <v>2</v>
      </c>
      <c r="S7" s="15" t="s">
        <v>3</v>
      </c>
      <c r="T7" s="14" t="s">
        <v>2</v>
      </c>
      <c r="U7" s="15" t="s">
        <v>3</v>
      </c>
      <c r="V7" s="14" t="s">
        <v>2</v>
      </c>
      <c r="W7" s="15" t="s">
        <v>3</v>
      </c>
      <c r="X7" s="14" t="s">
        <v>2</v>
      </c>
      <c r="Y7" s="15" t="s">
        <v>3</v>
      </c>
      <c r="Z7" s="14" t="s">
        <v>2</v>
      </c>
      <c r="AA7" s="15" t="s">
        <v>3</v>
      </c>
      <c r="AB7" s="14" t="s">
        <v>2</v>
      </c>
      <c r="AC7" s="15" t="s">
        <v>3</v>
      </c>
    </row>
    <row r="8" spans="1:29">
      <c r="A8" s="50" t="s">
        <v>222</v>
      </c>
      <c r="B8" s="47">
        <v>152530</v>
      </c>
      <c r="C8" s="13">
        <v>1430558</v>
      </c>
      <c r="D8" s="47">
        <v>97844</v>
      </c>
      <c r="E8" s="13">
        <v>924598</v>
      </c>
      <c r="F8" s="47">
        <v>186201</v>
      </c>
      <c r="G8" s="13">
        <v>1413867</v>
      </c>
      <c r="H8" s="47">
        <v>34626</v>
      </c>
      <c r="I8" s="13">
        <v>466436</v>
      </c>
      <c r="J8" s="47">
        <v>28186</v>
      </c>
      <c r="K8" s="13">
        <v>305337</v>
      </c>
      <c r="L8" s="47"/>
      <c r="M8" s="13"/>
      <c r="N8" s="47">
        <v>77947</v>
      </c>
      <c r="O8" s="13">
        <v>653672</v>
      </c>
      <c r="P8" s="47">
        <v>68022</v>
      </c>
      <c r="Q8" s="13">
        <v>788809</v>
      </c>
      <c r="R8" s="47">
        <v>40636</v>
      </c>
      <c r="S8" s="13">
        <v>413874</v>
      </c>
      <c r="T8" s="47"/>
      <c r="U8" s="13"/>
      <c r="V8" s="47">
        <v>34879</v>
      </c>
      <c r="W8" s="13">
        <v>193061</v>
      </c>
      <c r="X8" s="47">
        <v>0</v>
      </c>
      <c r="Y8" s="13">
        <v>0</v>
      </c>
      <c r="Z8" s="47">
        <v>35634</v>
      </c>
      <c r="AA8" s="13">
        <v>159987</v>
      </c>
      <c r="AB8" s="47">
        <v>756505</v>
      </c>
      <c r="AC8" s="13">
        <v>6750199</v>
      </c>
    </row>
    <row r="9" spans="1:29">
      <c r="A9" s="50" t="s">
        <v>223</v>
      </c>
      <c r="B9" s="47">
        <v>92064</v>
      </c>
      <c r="C9" s="13">
        <v>1269153</v>
      </c>
      <c r="D9" s="47">
        <v>85976</v>
      </c>
      <c r="E9" s="13">
        <v>704862</v>
      </c>
      <c r="F9" s="47">
        <v>113022</v>
      </c>
      <c r="G9" s="15">
        <v>1101799</v>
      </c>
      <c r="H9" s="47">
        <v>60512</v>
      </c>
      <c r="I9" s="13">
        <v>954874</v>
      </c>
      <c r="J9" s="47">
        <v>70098</v>
      </c>
      <c r="K9" s="13">
        <v>764872</v>
      </c>
      <c r="L9" s="47"/>
      <c r="M9" s="13"/>
      <c r="N9" s="47">
        <v>123010</v>
      </c>
      <c r="O9" s="13">
        <v>916561</v>
      </c>
      <c r="P9" s="47">
        <v>48999</v>
      </c>
      <c r="Q9" s="13">
        <v>547501</v>
      </c>
      <c r="R9" s="47">
        <v>63126</v>
      </c>
      <c r="S9" s="13">
        <v>498201</v>
      </c>
      <c r="T9" s="47"/>
      <c r="U9" s="13"/>
      <c r="V9" s="47">
        <v>28968</v>
      </c>
      <c r="W9" s="13">
        <v>112189</v>
      </c>
      <c r="X9" s="47">
        <v>0</v>
      </c>
      <c r="Y9" s="13">
        <v>0</v>
      </c>
      <c r="Z9" s="47">
        <v>33722</v>
      </c>
      <c r="AA9" s="13">
        <v>156746</v>
      </c>
      <c r="AB9" s="47">
        <v>719497</v>
      </c>
      <c r="AC9" s="13">
        <v>7026758</v>
      </c>
    </row>
    <row r="10" spans="1:29">
      <c r="A10" s="50" t="s">
        <v>224</v>
      </c>
      <c r="B10" s="47">
        <v>14348</v>
      </c>
      <c r="C10" s="13">
        <v>71237</v>
      </c>
      <c r="D10" s="47">
        <v>10162</v>
      </c>
      <c r="E10" s="13">
        <v>91631</v>
      </c>
      <c r="F10" s="47">
        <v>16112</v>
      </c>
      <c r="G10" s="13">
        <v>74690</v>
      </c>
      <c r="H10" s="47"/>
      <c r="I10" s="13"/>
      <c r="J10" s="47"/>
      <c r="K10" s="13"/>
      <c r="L10" s="47"/>
      <c r="M10" s="13"/>
      <c r="N10" s="47">
        <v>21565</v>
      </c>
      <c r="O10" s="13">
        <v>211239</v>
      </c>
      <c r="P10" s="47"/>
      <c r="Q10" s="13"/>
      <c r="R10" s="47"/>
      <c r="S10" s="13"/>
      <c r="T10" s="47"/>
      <c r="U10" s="13"/>
      <c r="V10" s="47">
        <v>0</v>
      </c>
      <c r="W10" s="13">
        <v>0</v>
      </c>
      <c r="X10" s="47">
        <v>0</v>
      </c>
      <c r="Y10" s="13">
        <v>0</v>
      </c>
      <c r="Z10" s="47">
        <v>884</v>
      </c>
      <c r="AA10" s="13">
        <v>4396</v>
      </c>
      <c r="AB10" s="47">
        <v>63071</v>
      </c>
      <c r="AC10" s="13">
        <v>453193</v>
      </c>
    </row>
    <row r="11" spans="1:29">
      <c r="A11" s="50" t="s">
        <v>225</v>
      </c>
      <c r="B11" s="47">
        <v>48915</v>
      </c>
      <c r="C11" s="13">
        <v>601230</v>
      </c>
      <c r="D11" s="47">
        <v>15676</v>
      </c>
      <c r="E11" s="13">
        <v>168675</v>
      </c>
      <c r="F11" s="47">
        <v>21697</v>
      </c>
      <c r="G11" s="13">
        <v>246659</v>
      </c>
      <c r="H11" s="47">
        <v>7758</v>
      </c>
      <c r="I11" s="13">
        <v>130686</v>
      </c>
      <c r="J11" s="47">
        <v>6468</v>
      </c>
      <c r="K11" s="13">
        <v>91887</v>
      </c>
      <c r="L11" s="47"/>
      <c r="M11" s="13"/>
      <c r="N11" s="47">
        <v>23204</v>
      </c>
      <c r="O11" s="13">
        <v>170134</v>
      </c>
      <c r="P11" s="47">
        <v>0</v>
      </c>
      <c r="Q11" s="13">
        <v>0</v>
      </c>
      <c r="R11" s="47">
        <v>14280</v>
      </c>
      <c r="S11" s="13">
        <v>145178</v>
      </c>
      <c r="T11" s="47"/>
      <c r="U11" s="13"/>
      <c r="V11" s="47">
        <v>8094</v>
      </c>
      <c r="W11" s="13">
        <v>47413</v>
      </c>
      <c r="X11" s="47">
        <v>0</v>
      </c>
      <c r="Y11" s="13">
        <v>0</v>
      </c>
      <c r="Z11" s="47">
        <v>13607</v>
      </c>
      <c r="AA11" s="13">
        <v>66447</v>
      </c>
      <c r="AB11" s="47">
        <v>159699</v>
      </c>
      <c r="AC11" s="13">
        <v>1668309</v>
      </c>
    </row>
    <row r="12" spans="1:29">
      <c r="A12" s="50" t="s">
        <v>226</v>
      </c>
      <c r="B12" s="47">
        <v>46246</v>
      </c>
      <c r="C12" s="13">
        <v>502043</v>
      </c>
      <c r="D12" s="47">
        <v>29817</v>
      </c>
      <c r="E12" s="13">
        <v>355788</v>
      </c>
      <c r="F12" s="47">
        <v>30450</v>
      </c>
      <c r="G12" s="13">
        <v>225804</v>
      </c>
      <c r="H12" s="47">
        <v>0</v>
      </c>
      <c r="I12" s="13">
        <v>0</v>
      </c>
      <c r="J12" s="47">
        <v>0</v>
      </c>
      <c r="K12" s="13">
        <v>0</v>
      </c>
      <c r="L12" s="47"/>
      <c r="M12" s="13"/>
      <c r="N12" s="47">
        <v>35690</v>
      </c>
      <c r="O12" s="13">
        <v>280130</v>
      </c>
      <c r="P12" s="47">
        <v>9104</v>
      </c>
      <c r="Q12" s="13">
        <v>127102</v>
      </c>
      <c r="R12" s="47">
        <v>29638</v>
      </c>
      <c r="S12" s="13">
        <v>246661</v>
      </c>
      <c r="T12" s="47"/>
      <c r="U12" s="13"/>
      <c r="V12" s="47">
        <v>4398</v>
      </c>
      <c r="W12" s="13">
        <v>21274</v>
      </c>
      <c r="X12" s="47">
        <v>0</v>
      </c>
      <c r="Y12" s="13">
        <v>0</v>
      </c>
      <c r="Z12" s="47">
        <v>7747</v>
      </c>
      <c r="AA12" s="13">
        <v>36061</v>
      </c>
      <c r="AB12" s="47">
        <v>193090</v>
      </c>
      <c r="AC12" s="13">
        <v>1794863</v>
      </c>
    </row>
    <row r="13" spans="1:29">
      <c r="A13" s="49" t="s">
        <v>228</v>
      </c>
      <c r="B13" s="47">
        <v>-51416</v>
      </c>
      <c r="C13" s="13">
        <v>-560012</v>
      </c>
      <c r="D13" s="47">
        <v>-29899</v>
      </c>
      <c r="E13" s="13">
        <v>-181268</v>
      </c>
      <c r="F13" s="47">
        <v>-37064</v>
      </c>
      <c r="G13" s="13">
        <v>-393603</v>
      </c>
      <c r="H13" s="47">
        <v>-8681</v>
      </c>
      <c r="I13" s="13">
        <v>-177435</v>
      </c>
      <c r="J13" s="47">
        <v>-5957</v>
      </c>
      <c r="K13" s="13">
        <v>-97726</v>
      </c>
      <c r="L13" s="47"/>
      <c r="M13" s="118"/>
      <c r="N13" s="119">
        <v>-20863</v>
      </c>
      <c r="O13" s="1">
        <v>-221049</v>
      </c>
      <c r="P13" s="47">
        <v>-21310</v>
      </c>
      <c r="Q13" s="13">
        <v>-259719</v>
      </c>
      <c r="R13" s="47">
        <v>-1110</v>
      </c>
      <c r="S13" s="13">
        <v>-64294</v>
      </c>
      <c r="T13" s="47"/>
      <c r="U13" s="13"/>
      <c r="V13" s="119">
        <v>-1064</v>
      </c>
      <c r="W13" s="13">
        <v>-13229</v>
      </c>
      <c r="X13" s="119">
        <v>0</v>
      </c>
      <c r="Y13" s="1">
        <v>0</v>
      </c>
      <c r="Z13" s="119">
        <v>-3019</v>
      </c>
      <c r="AA13" s="1">
        <v>-11397</v>
      </c>
      <c r="AB13" s="119">
        <v>-180383</v>
      </c>
      <c r="AC13" s="13">
        <v>-1979732</v>
      </c>
    </row>
    <row r="14" spans="1:29">
      <c r="A14" s="122"/>
      <c r="B14" s="24"/>
      <c r="C14" s="25"/>
      <c r="D14" s="24"/>
      <c r="E14" s="25"/>
      <c r="F14" s="24"/>
      <c r="G14" s="25"/>
      <c r="H14" s="24"/>
      <c r="I14" s="25"/>
      <c r="J14" s="24"/>
      <c r="K14" s="25"/>
      <c r="L14" s="24"/>
      <c r="M14" s="25"/>
      <c r="N14" s="24"/>
      <c r="O14" s="25"/>
      <c r="P14" s="24"/>
      <c r="Q14" s="25"/>
      <c r="R14" s="24"/>
      <c r="S14" s="25"/>
      <c r="T14" s="24"/>
      <c r="U14" s="25"/>
      <c r="V14" s="24"/>
      <c r="W14" s="25"/>
      <c r="X14" s="24"/>
      <c r="Y14" s="25"/>
      <c r="Z14" s="24"/>
      <c r="AA14" s="25"/>
      <c r="AB14" s="24">
        <v>0</v>
      </c>
      <c r="AC14" s="25">
        <v>0</v>
      </c>
    </row>
    <row r="15" spans="1:29">
      <c r="A15" s="48" t="s">
        <v>219</v>
      </c>
      <c r="B15" s="16">
        <v>302687</v>
      </c>
      <c r="C15" s="17">
        <v>3314209</v>
      </c>
      <c r="D15" s="16">
        <v>209576</v>
      </c>
      <c r="E15" s="17">
        <v>2064286</v>
      </c>
      <c r="F15" s="16">
        <v>330418</v>
      </c>
      <c r="G15" s="17">
        <v>2669216</v>
      </c>
      <c r="H15" s="16">
        <v>94215</v>
      </c>
      <c r="I15" s="17">
        <v>1374561</v>
      </c>
      <c r="J15" s="16">
        <v>98795</v>
      </c>
      <c r="K15" s="17">
        <v>1064370</v>
      </c>
      <c r="L15" s="16"/>
      <c r="M15" s="17"/>
      <c r="N15" s="16">
        <v>260553</v>
      </c>
      <c r="O15" s="17">
        <v>2010687</v>
      </c>
      <c r="P15" s="16">
        <v>104815</v>
      </c>
      <c r="Q15" s="17">
        <v>1203693</v>
      </c>
      <c r="R15" s="16">
        <v>146570</v>
      </c>
      <c r="S15" s="17">
        <v>1239620</v>
      </c>
      <c r="T15" s="16"/>
      <c r="U15" s="17"/>
      <c r="V15" s="16">
        <v>75275</v>
      </c>
      <c r="W15" s="17">
        <v>360708</v>
      </c>
      <c r="X15" s="16">
        <v>0</v>
      </c>
      <c r="Y15" s="17">
        <v>0</v>
      </c>
      <c r="Z15" s="16">
        <v>88575</v>
      </c>
      <c r="AA15" s="17">
        <v>412240</v>
      </c>
      <c r="AB15" s="16">
        <v>1711479</v>
      </c>
      <c r="AC15" s="17">
        <v>15713590</v>
      </c>
    </row>
    <row r="16" spans="1:29" s="146" customFormat="1">
      <c r="A16" s="146" t="s">
        <v>319</v>
      </c>
      <c r="C16" s="147">
        <f>VLOOKUP(B6,'CB 2016'!$A$5:$E$17,3,FALSE)</f>
        <v>-599581.97</v>
      </c>
      <c r="E16" s="147">
        <f>VLOOKUP(D6,'CB 2016'!$A$5:$E$17,3,FALSE)</f>
        <v>-181267.86</v>
      </c>
      <c r="G16" s="147">
        <f>VLOOKUP(F6,'CB 2016'!$A$5:$E$17,3,FALSE)</f>
        <v>-392718.04</v>
      </c>
      <c r="I16" s="147">
        <f>VLOOKUP(H6,'CB 2016'!$A$5:$E$17,3,FALSE)</f>
        <v>-177434.93</v>
      </c>
      <c r="K16" s="147">
        <f>VLOOKUP(J6,'CB 2016'!$A$5:$E$17,3,FALSE)</f>
        <v>-97725.62</v>
      </c>
      <c r="M16" s="147">
        <f>VLOOKUP(L6,'CB 2016'!$A$5:$E$17,3,FALSE)</f>
        <v>-97725.62</v>
      </c>
      <c r="O16" s="147">
        <f>VLOOKUP(N6,'CB 2016'!$A$5:$E$17,3,FALSE)</f>
        <v>-217522.27</v>
      </c>
      <c r="Q16" s="147">
        <f>VLOOKUP(P6,'CB 2016'!$A$5:$E$17,3,FALSE)</f>
        <v>-259719.18</v>
      </c>
      <c r="S16" s="147">
        <f>VLOOKUP(R6,'CB 2016'!$A$5:$E$17,3,FALSE)</f>
        <v>-58340.14</v>
      </c>
      <c r="U16" s="147">
        <f>VLOOKUP(T6,'CB 2016'!$A$5:$E$17,3,FALSE)</f>
        <v>0</v>
      </c>
      <c r="W16" s="147">
        <f>VLOOKUP(V6,'CB 2016'!$A$5:$E$17,3,FALSE)</f>
        <v>-13229.06</v>
      </c>
      <c r="Y16" s="147">
        <f>VLOOKUP(X6,'CB 2016'!$A$5:$E$17,3,FALSE)</f>
        <v>0</v>
      </c>
      <c r="AA16" s="147">
        <f>VLOOKUP(Z6,'CB 2016'!$A$5:$E$17,3,FALSE)</f>
        <v>-11396.65</v>
      </c>
      <c r="AC16" s="146">
        <f>+C16+E16+G16+I16+K16+O16+Q16+S16+U16+W16+Y16+AA16</f>
        <v>-2008935.7199999997</v>
      </c>
    </row>
    <row r="17" spans="1:29" s="146" customFormat="1">
      <c r="A17" s="146" t="s">
        <v>320</v>
      </c>
      <c r="C17" s="147">
        <f>+C16-C13</f>
        <v>-39569.969999999972</v>
      </c>
      <c r="E17" s="147">
        <f t="shared" ref="E17" si="0">+E16-E13</f>
        <v>0.14000000001396984</v>
      </c>
      <c r="G17" s="147">
        <f t="shared" ref="G17" si="1">+G16-G13</f>
        <v>884.96000000002095</v>
      </c>
      <c r="I17" s="147">
        <f t="shared" ref="I17" si="2">+I16-I13</f>
        <v>7.0000000006984919E-2</v>
      </c>
      <c r="K17" s="147">
        <f t="shared" ref="K17" si="3">+K16-K13</f>
        <v>0.38000000000465661</v>
      </c>
      <c r="M17" s="147">
        <f t="shared" ref="M17" si="4">+M16-M13</f>
        <v>-97725.62</v>
      </c>
      <c r="O17" s="147">
        <f t="shared" ref="O17" si="5">+O16-O13</f>
        <v>3526.7300000000105</v>
      </c>
      <c r="Q17" s="147">
        <f t="shared" ref="Q17" si="6">+Q16-Q13</f>
        <v>-0.17999999999301508</v>
      </c>
      <c r="S17" s="147">
        <f t="shared" ref="S17" si="7">+S16-S13</f>
        <v>5953.8600000000006</v>
      </c>
      <c r="U17" s="147">
        <f t="shared" ref="U17" si="8">+U16-U13</f>
        <v>0</v>
      </c>
      <c r="W17" s="147">
        <f t="shared" ref="W17" si="9">+W16-W13</f>
        <v>-5.9999999999490683E-2</v>
      </c>
      <c r="Y17" s="147">
        <f t="shared" ref="Y17" si="10">+Y16-Y13</f>
        <v>0</v>
      </c>
      <c r="AA17" s="147">
        <f t="shared" ref="AA17" si="11">+AA16-AA13</f>
        <v>0.3500000000003638</v>
      </c>
    </row>
    <row r="18" spans="1:29">
      <c r="A18" t="s">
        <v>318</v>
      </c>
      <c r="C18" s="145">
        <f>+C13/SUM(C8:C12)</f>
        <v>-0.14454828467451908</v>
      </c>
      <c r="E18" s="145">
        <f t="shared" ref="E18" si="12">+E13/SUM(E8:E12)</f>
        <v>-8.0723064330672972E-2</v>
      </c>
      <c r="G18" s="145">
        <f t="shared" ref="G18" si="13">+G13/SUM(G8:G12)</f>
        <v>-0.12851004254577236</v>
      </c>
      <c r="I18" s="145">
        <f t="shared" ref="I18" si="14">+I13/SUM(I8:I12)</f>
        <v>-0.11432696991487092</v>
      </c>
      <c r="K18" s="145">
        <f t="shared" ref="K18" si="15">+K13/SUM(K8:K12)</f>
        <v>-8.409460147870744E-2</v>
      </c>
      <c r="M18" s="145" t="e">
        <f t="shared" ref="M18" si="16">+M13/SUM(M8:M12)</f>
        <v>#DIV/0!</v>
      </c>
      <c r="O18" s="145">
        <f t="shared" ref="O18" si="17">+O13/SUM(O8:O12)</f>
        <v>-9.9048005678090953E-2</v>
      </c>
      <c r="Q18" s="145">
        <f t="shared" ref="Q18" si="18">+Q13/SUM(Q8:Q12)</f>
        <v>-0.17747496945494501</v>
      </c>
      <c r="S18" s="145">
        <f t="shared" ref="S18" si="19">+S13/SUM(S8:S12)</f>
        <v>-4.9308466662678671E-2</v>
      </c>
      <c r="U18" s="145">
        <v>0</v>
      </c>
      <c r="W18" s="145">
        <f t="shared" ref="W18" si="20">+W13/SUM(W8:W12)</f>
        <v>-3.5377617085230934E-2</v>
      </c>
      <c r="Y18" s="145">
        <v>0</v>
      </c>
      <c r="AA18" s="145">
        <f t="shared" ref="AA18" si="21">+AA13/SUM(AA8:AA12)</f>
        <v>-2.6902749287715664E-2</v>
      </c>
      <c r="AC18" s="145">
        <f t="shared" ref="AC18" si="22">+AC13/SUM(AC8:AC12)</f>
        <v>-0.11189148086492745</v>
      </c>
    </row>
    <row r="20" spans="1:29">
      <c r="A20" s="153" t="s">
        <v>332</v>
      </c>
      <c r="B20" s="132" t="s">
        <v>213</v>
      </c>
      <c r="C20" s="132" t="s">
        <v>213</v>
      </c>
      <c r="D20" s="132" t="s">
        <v>282</v>
      </c>
      <c r="E20" s="132" t="s">
        <v>282</v>
      </c>
      <c r="F20" s="132" t="s">
        <v>203</v>
      </c>
      <c r="G20" s="132" t="s">
        <v>203</v>
      </c>
      <c r="H20" s="132" t="s">
        <v>204</v>
      </c>
      <c r="I20" s="132" t="s">
        <v>204</v>
      </c>
      <c r="J20" s="132" t="s">
        <v>205</v>
      </c>
      <c r="K20" s="132" t="s">
        <v>205</v>
      </c>
      <c r="L20" s="132" t="s">
        <v>205</v>
      </c>
      <c r="M20" s="132" t="s">
        <v>205</v>
      </c>
      <c r="N20" s="132" t="s">
        <v>207</v>
      </c>
      <c r="O20" s="132" t="s">
        <v>207</v>
      </c>
      <c r="P20" s="132" t="s">
        <v>208</v>
      </c>
      <c r="Q20" s="132" t="s">
        <v>208</v>
      </c>
      <c r="R20" s="132" t="s">
        <v>278</v>
      </c>
      <c r="S20" s="132" t="s">
        <v>278</v>
      </c>
      <c r="T20" s="132" t="s">
        <v>279</v>
      </c>
      <c r="U20" s="132" t="s">
        <v>279</v>
      </c>
      <c r="V20" s="132" t="s">
        <v>287</v>
      </c>
      <c r="W20" s="132" t="s">
        <v>287</v>
      </c>
      <c r="X20" s="132" t="s">
        <v>292</v>
      </c>
      <c r="Y20" s="132" t="s">
        <v>292</v>
      </c>
      <c r="Z20" s="132" t="s">
        <v>293</v>
      </c>
      <c r="AA20" s="132" t="s">
        <v>293</v>
      </c>
      <c r="AB20" s="132" t="s">
        <v>289</v>
      </c>
      <c r="AC20" s="132" t="s">
        <v>289</v>
      </c>
    </row>
    <row r="21" spans="1:29">
      <c r="A21" s="1"/>
      <c r="B21" s="14" t="s">
        <v>2</v>
      </c>
      <c r="C21" s="15" t="s">
        <v>3</v>
      </c>
      <c r="D21" s="14" t="s">
        <v>2</v>
      </c>
      <c r="E21" s="15" t="s">
        <v>3</v>
      </c>
      <c r="F21" s="14" t="s">
        <v>2</v>
      </c>
      <c r="G21" s="15" t="s">
        <v>3</v>
      </c>
      <c r="H21" s="14" t="s">
        <v>2</v>
      </c>
      <c r="I21" s="15" t="s">
        <v>3</v>
      </c>
      <c r="J21" s="14" t="s">
        <v>2</v>
      </c>
      <c r="K21" s="15" t="s">
        <v>3</v>
      </c>
      <c r="L21" s="14"/>
      <c r="M21" s="15"/>
      <c r="N21" s="14" t="s">
        <v>2</v>
      </c>
      <c r="O21" s="15" t="s">
        <v>3</v>
      </c>
      <c r="P21" s="14" t="s">
        <v>2</v>
      </c>
      <c r="Q21" s="15" t="s">
        <v>3</v>
      </c>
      <c r="R21" s="14" t="s">
        <v>2</v>
      </c>
      <c r="S21" s="15" t="s">
        <v>3</v>
      </c>
      <c r="T21" s="14" t="s">
        <v>2</v>
      </c>
      <c r="U21" s="15" t="s">
        <v>3</v>
      </c>
      <c r="V21" s="14" t="s">
        <v>2</v>
      </c>
      <c r="W21" s="15" t="s">
        <v>3</v>
      </c>
      <c r="X21" s="14" t="s">
        <v>2</v>
      </c>
      <c r="Y21" s="15" t="s">
        <v>3</v>
      </c>
      <c r="Z21" s="14" t="s">
        <v>2</v>
      </c>
      <c r="AA21" s="15" t="s">
        <v>3</v>
      </c>
      <c r="AB21" s="14" t="s">
        <v>2</v>
      </c>
      <c r="AC21" s="15" t="s">
        <v>3</v>
      </c>
    </row>
    <row r="22" spans="1:29">
      <c r="A22" s="50" t="s">
        <v>222</v>
      </c>
      <c r="B22" s="47">
        <v>46420</v>
      </c>
      <c r="C22" s="13">
        <v>546460</v>
      </c>
      <c r="D22" s="47">
        <v>26974</v>
      </c>
      <c r="E22" s="13">
        <v>376572</v>
      </c>
      <c r="F22" s="47">
        <v>39327</v>
      </c>
      <c r="G22" s="15">
        <v>525093</v>
      </c>
      <c r="H22" s="47">
        <v>18586</v>
      </c>
      <c r="I22" s="13">
        <v>286663</v>
      </c>
      <c r="J22" s="47">
        <v>14755</v>
      </c>
      <c r="K22" s="13">
        <v>216973</v>
      </c>
      <c r="L22" s="47"/>
      <c r="M22" s="13"/>
      <c r="N22" s="47">
        <v>46697</v>
      </c>
      <c r="O22" s="13">
        <v>479616</v>
      </c>
      <c r="P22" s="47">
        <v>34935</v>
      </c>
      <c r="Q22" s="13">
        <v>390241</v>
      </c>
      <c r="R22" s="47">
        <v>28186</v>
      </c>
      <c r="S22" s="13">
        <v>455149</v>
      </c>
      <c r="T22" s="47">
        <v>12847</v>
      </c>
      <c r="U22" s="13">
        <v>374909</v>
      </c>
      <c r="V22" s="47">
        <v>12255</v>
      </c>
      <c r="W22" s="13">
        <v>94724</v>
      </c>
      <c r="X22" s="47">
        <v>41476</v>
      </c>
      <c r="Y22" s="13">
        <v>257811</v>
      </c>
      <c r="Z22" s="47">
        <v>10420</v>
      </c>
      <c r="AA22" s="13">
        <v>81584</v>
      </c>
      <c r="AB22" s="47">
        <v>332878</v>
      </c>
      <c r="AC22" s="13">
        <v>4085795</v>
      </c>
    </row>
    <row r="23" spans="1:29">
      <c r="A23" s="50" t="s">
        <v>223</v>
      </c>
      <c r="B23" s="47">
        <v>38531</v>
      </c>
      <c r="C23" s="13">
        <v>411071</v>
      </c>
      <c r="D23" s="47">
        <v>51240</v>
      </c>
      <c r="E23" s="13">
        <v>428663</v>
      </c>
      <c r="F23" s="47">
        <v>31638</v>
      </c>
      <c r="G23" s="13">
        <v>487561</v>
      </c>
      <c r="H23" s="47">
        <v>36688</v>
      </c>
      <c r="I23" s="13">
        <v>500870</v>
      </c>
      <c r="J23" s="47">
        <v>43418</v>
      </c>
      <c r="K23" s="13">
        <v>456135</v>
      </c>
      <c r="L23" s="47"/>
      <c r="M23" s="13"/>
      <c r="N23" s="47">
        <v>47187</v>
      </c>
      <c r="O23" s="13">
        <v>655220</v>
      </c>
      <c r="P23" s="47">
        <v>32516</v>
      </c>
      <c r="Q23" s="13">
        <v>339911</v>
      </c>
      <c r="R23" s="47">
        <v>27626</v>
      </c>
      <c r="S23" s="13">
        <v>311805</v>
      </c>
      <c r="T23" s="47">
        <v>10303</v>
      </c>
      <c r="U23" s="13">
        <v>233624</v>
      </c>
      <c r="V23" s="47">
        <v>7977</v>
      </c>
      <c r="W23" s="13">
        <v>59166</v>
      </c>
      <c r="X23" s="47">
        <v>27869</v>
      </c>
      <c r="Y23" s="13">
        <v>209088</v>
      </c>
      <c r="Z23" s="47">
        <v>6217</v>
      </c>
      <c r="AA23" s="13">
        <v>64436</v>
      </c>
      <c r="AB23" s="47">
        <v>361210</v>
      </c>
      <c r="AC23" s="13">
        <v>4157550</v>
      </c>
    </row>
    <row r="24" spans="1:29">
      <c r="A24" s="50" t="s">
        <v>224</v>
      </c>
      <c r="B24" s="47">
        <v>0</v>
      </c>
      <c r="C24" s="13">
        <v>8112</v>
      </c>
      <c r="D24" s="47">
        <v>0</v>
      </c>
      <c r="E24" s="13">
        <v>0</v>
      </c>
      <c r="F24" s="47">
        <v>1199</v>
      </c>
      <c r="G24" s="13">
        <v>23042</v>
      </c>
      <c r="H24" s="47"/>
      <c r="I24" s="13"/>
      <c r="J24" s="47"/>
      <c r="K24" s="13"/>
      <c r="L24" s="47"/>
      <c r="M24" s="13"/>
      <c r="N24" s="47">
        <v>6969</v>
      </c>
      <c r="O24" s="13">
        <v>90318</v>
      </c>
      <c r="P24" s="47"/>
      <c r="Q24" s="13"/>
      <c r="R24" s="47"/>
      <c r="S24" s="13"/>
      <c r="T24" s="47"/>
      <c r="U24" s="13"/>
      <c r="V24" s="47">
        <v>0</v>
      </c>
      <c r="W24" s="13">
        <v>0</v>
      </c>
      <c r="X24" s="47">
        <v>0</v>
      </c>
      <c r="Y24" s="13">
        <v>0</v>
      </c>
      <c r="Z24" s="47">
        <v>200</v>
      </c>
      <c r="AA24" s="13">
        <v>200</v>
      </c>
      <c r="AB24" s="47">
        <v>8368</v>
      </c>
      <c r="AC24" s="13">
        <v>121672</v>
      </c>
    </row>
    <row r="25" spans="1:29">
      <c r="A25" s="50" t="s">
        <v>225</v>
      </c>
      <c r="B25" s="47">
        <v>15669</v>
      </c>
      <c r="C25" s="13">
        <v>213560</v>
      </c>
      <c r="D25" s="47">
        <v>4996</v>
      </c>
      <c r="E25" s="13">
        <v>91830</v>
      </c>
      <c r="F25" s="47">
        <v>9804</v>
      </c>
      <c r="G25" s="13">
        <v>141549</v>
      </c>
      <c r="H25" s="47">
        <v>10453</v>
      </c>
      <c r="I25" s="13">
        <v>121192</v>
      </c>
      <c r="J25" s="47">
        <v>9337</v>
      </c>
      <c r="K25" s="13">
        <v>110348</v>
      </c>
      <c r="L25" s="47"/>
      <c r="M25" s="13"/>
      <c r="N25" s="47">
        <v>15473</v>
      </c>
      <c r="O25" s="13">
        <v>163318</v>
      </c>
      <c r="P25" s="47">
        <v>0</v>
      </c>
      <c r="Q25" s="13">
        <v>0</v>
      </c>
      <c r="R25" s="47">
        <v>10761</v>
      </c>
      <c r="S25" s="13">
        <v>161017</v>
      </c>
      <c r="T25" s="47">
        <v>7014</v>
      </c>
      <c r="U25" s="13">
        <v>158329</v>
      </c>
      <c r="V25" s="47">
        <v>4004</v>
      </c>
      <c r="W25" s="13">
        <v>35506</v>
      </c>
      <c r="X25" s="47">
        <v>14045</v>
      </c>
      <c r="Y25" s="13">
        <v>98540</v>
      </c>
      <c r="Z25" s="47">
        <v>4166</v>
      </c>
      <c r="AA25" s="13">
        <v>30349</v>
      </c>
      <c r="AB25" s="47">
        <v>105722</v>
      </c>
      <c r="AC25" s="13">
        <v>1325538</v>
      </c>
    </row>
    <row r="26" spans="1:29">
      <c r="A26" s="50" t="s">
        <v>226</v>
      </c>
      <c r="B26" s="47">
        <v>5927</v>
      </c>
      <c r="C26" s="13">
        <v>66798</v>
      </c>
      <c r="D26" s="47">
        <v>12100</v>
      </c>
      <c r="E26" s="13">
        <v>84924</v>
      </c>
      <c r="F26" s="47">
        <v>1163</v>
      </c>
      <c r="G26" s="13">
        <v>42292</v>
      </c>
      <c r="H26" s="47">
        <v>0</v>
      </c>
      <c r="I26" s="13">
        <v>0</v>
      </c>
      <c r="J26" s="47">
        <v>0</v>
      </c>
      <c r="K26" s="13">
        <v>0</v>
      </c>
      <c r="L26" s="47"/>
      <c r="M26" s="13"/>
      <c r="N26" s="47">
        <v>9630</v>
      </c>
      <c r="O26" s="13">
        <v>132907</v>
      </c>
      <c r="P26" s="47">
        <v>4882</v>
      </c>
      <c r="Q26" s="13">
        <v>50803</v>
      </c>
      <c r="R26" s="47">
        <v>2087</v>
      </c>
      <c r="S26" s="13">
        <v>64401</v>
      </c>
      <c r="T26" s="47">
        <v>749</v>
      </c>
      <c r="U26" s="13">
        <v>22141</v>
      </c>
      <c r="V26" s="47">
        <v>1881</v>
      </c>
      <c r="W26" s="13">
        <v>13752</v>
      </c>
      <c r="X26" s="47">
        <v>15886</v>
      </c>
      <c r="Y26" s="13">
        <v>101796</v>
      </c>
      <c r="Z26" s="47">
        <v>3088</v>
      </c>
      <c r="AA26" s="13">
        <v>12451</v>
      </c>
      <c r="AB26" s="47">
        <v>57393</v>
      </c>
      <c r="AC26" s="13">
        <v>592265</v>
      </c>
    </row>
    <row r="27" spans="1:29">
      <c r="A27" s="49" t="s">
        <v>228</v>
      </c>
      <c r="B27" s="47">
        <v>-12047</v>
      </c>
      <c r="C27" s="13">
        <v>-128851</v>
      </c>
      <c r="D27" s="47">
        <v>-14647</v>
      </c>
      <c r="E27" s="13">
        <v>-86486</v>
      </c>
      <c r="F27" s="47">
        <v>-9786</v>
      </c>
      <c r="G27" s="13">
        <v>-148103</v>
      </c>
      <c r="H27" s="47">
        <v>-6992</v>
      </c>
      <c r="I27" s="13">
        <v>-100208</v>
      </c>
      <c r="J27" s="47">
        <v>-8229</v>
      </c>
      <c r="K27" s="13">
        <v>-68960</v>
      </c>
      <c r="L27" s="47"/>
      <c r="M27" s="13"/>
      <c r="N27" s="47">
        <v>-11202</v>
      </c>
      <c r="O27" s="118">
        <v>-165828</v>
      </c>
      <c r="P27" s="47">
        <v>-7862</v>
      </c>
      <c r="Q27" s="13">
        <v>-76284</v>
      </c>
      <c r="R27" s="47">
        <v>-3160</v>
      </c>
      <c r="S27" s="13">
        <v>-56617</v>
      </c>
      <c r="T27" s="47">
        <v>-3444</v>
      </c>
      <c r="U27" s="13">
        <v>-38312</v>
      </c>
      <c r="V27" s="47">
        <v>-1724</v>
      </c>
      <c r="W27" s="13">
        <v>-10939</v>
      </c>
      <c r="X27" s="47">
        <v>-2370</v>
      </c>
      <c r="Y27" s="118">
        <v>-11522</v>
      </c>
      <c r="Z27" s="47">
        <v>-1644</v>
      </c>
      <c r="AA27" s="118">
        <v>-7611</v>
      </c>
      <c r="AB27" s="47">
        <v>-83107</v>
      </c>
      <c r="AC27" s="13">
        <v>-899721</v>
      </c>
    </row>
    <row r="28" spans="1:29">
      <c r="A28" s="48" t="s">
        <v>219</v>
      </c>
      <c r="B28" s="16">
        <v>94500</v>
      </c>
      <c r="C28" s="17">
        <v>1117150</v>
      </c>
      <c r="D28" s="16">
        <v>80663</v>
      </c>
      <c r="E28" s="17">
        <v>895503</v>
      </c>
      <c r="F28" s="16">
        <v>73345</v>
      </c>
      <c r="G28" s="17">
        <v>1071434</v>
      </c>
      <c r="H28" s="16">
        <v>58735</v>
      </c>
      <c r="I28" s="17">
        <v>808517</v>
      </c>
      <c r="J28" s="16">
        <v>59281</v>
      </c>
      <c r="K28" s="17">
        <v>714496</v>
      </c>
      <c r="L28" s="16"/>
      <c r="M28" s="17"/>
      <c r="N28" s="16">
        <v>114754</v>
      </c>
      <c r="O28" s="17">
        <v>1355551</v>
      </c>
      <c r="P28" s="16">
        <v>64471</v>
      </c>
      <c r="Q28" s="17">
        <v>704671</v>
      </c>
      <c r="R28" s="16">
        <v>65500</v>
      </c>
      <c r="S28" s="17">
        <v>935755</v>
      </c>
      <c r="T28" s="16">
        <v>27469</v>
      </c>
      <c r="U28" s="17">
        <v>750691</v>
      </c>
      <c r="V28" s="16">
        <v>24393</v>
      </c>
      <c r="W28" s="17">
        <v>192209</v>
      </c>
      <c r="X28" s="16">
        <v>96906</v>
      </c>
      <c r="Y28" s="17">
        <v>655713</v>
      </c>
      <c r="Z28" s="16">
        <v>22447</v>
      </c>
      <c r="AA28" s="17">
        <v>181409</v>
      </c>
      <c r="AB28" s="16">
        <v>782464</v>
      </c>
      <c r="AC28" s="17">
        <v>9383099</v>
      </c>
    </row>
    <row r="29" spans="1:29" s="146" customFormat="1">
      <c r="A29" s="146" t="s">
        <v>319</v>
      </c>
      <c r="C29" s="147">
        <f>VLOOKUP(B20,'CB 2016'!$A$5:$E$17,4,FALSE)</f>
        <v>-145241.07</v>
      </c>
      <c r="E29" s="147">
        <f>VLOOKUP(D20,'CB 2016'!$A$5:$E$17,4,FALSE)</f>
        <v>-86485.91</v>
      </c>
      <c r="G29" s="147">
        <f>VLOOKUP(F20,'CB 2016'!$A$5:$E$17,4,FALSE)</f>
        <v>-141384.14000000001</v>
      </c>
      <c r="I29" s="147">
        <f>VLOOKUP(H20,'CB 2016'!$A$5:$E$17,4,FALSE)</f>
        <v>-100208.13</v>
      </c>
      <c r="K29" s="147">
        <f>VLOOKUP(J20,'CB 2016'!$A$5:$E$17,4,FALSE)</f>
        <v>-68960.13</v>
      </c>
      <c r="M29" s="147">
        <f>VLOOKUP(L20,'CB 2016'!$A$5:$E$17,4,FALSE)</f>
        <v>-68960.13</v>
      </c>
      <c r="O29" s="147">
        <f>VLOOKUP(N20,'CB 2016'!$A$5:$E$17,4,FALSE)</f>
        <v>-165827.48000000001</v>
      </c>
      <c r="Q29" s="147">
        <f>VLOOKUP(P20,'CB 2016'!$A$5:$E$17,4,FALSE)</f>
        <v>-76283.5</v>
      </c>
      <c r="S29" s="147">
        <f>VLOOKUP(R20,'CB 2016'!$A$5:$E$17,4,FALSE)</f>
        <v>-62570.34</v>
      </c>
      <c r="U29" s="147">
        <f>VLOOKUP(T20,'CB 2016'!$A$5:$E$17,4,FALSE)</f>
        <v>0</v>
      </c>
      <c r="W29" s="147">
        <f>VLOOKUP(V20,'CB 2016'!$A$5:$E$17,4,FALSE)</f>
        <v>-10939</v>
      </c>
      <c r="Y29" s="147">
        <f>VLOOKUP(X20,'CB 2016'!$A$5:$E$17,4,FALSE)</f>
        <v>-11522.44</v>
      </c>
      <c r="AA29" s="147">
        <f>VLOOKUP(Z20,'CB 2016'!$A$5:$E$17,4,FALSE)</f>
        <v>-7610.76</v>
      </c>
      <c r="AC29" s="146">
        <f>+C29+E29+G29+I29+K29+O29+Q29+S29+U29+W29+Y29+AA29</f>
        <v>-877032.89999999991</v>
      </c>
    </row>
    <row r="30" spans="1:29" s="146" customFormat="1">
      <c r="A30" s="146" t="s">
        <v>320</v>
      </c>
      <c r="C30" s="147">
        <f>+C29-C27</f>
        <v>-16390.070000000007</v>
      </c>
      <c r="E30" s="147">
        <f t="shared" ref="E30" si="23">+E29-E27</f>
        <v>8.999999999650754E-2</v>
      </c>
      <c r="G30" s="147">
        <f t="shared" ref="G30" si="24">+G29-G27</f>
        <v>6718.859999999986</v>
      </c>
      <c r="I30" s="147">
        <f t="shared" ref="I30" si="25">+I29-I27</f>
        <v>-0.13000000000465661</v>
      </c>
      <c r="K30" s="147">
        <f t="shared" ref="K30" si="26">+K29-K27</f>
        <v>-0.13000000000465661</v>
      </c>
      <c r="M30" s="147">
        <f t="shared" ref="M30" si="27">+M29-M27</f>
        <v>-68960.13</v>
      </c>
      <c r="O30" s="147">
        <f t="shared" ref="O30" si="28">+O29-O27</f>
        <v>0.51999999998952262</v>
      </c>
      <c r="Q30" s="147">
        <f t="shared" ref="Q30" si="29">+Q29-Q27</f>
        <v>0.5</v>
      </c>
      <c r="S30" s="147">
        <f t="shared" ref="S30" si="30">+S29-S27</f>
        <v>-5953.3399999999965</v>
      </c>
      <c r="U30" s="147">
        <f t="shared" ref="U30" si="31">+U29-U27</f>
        <v>38312</v>
      </c>
      <c r="W30" s="147">
        <f t="shared" ref="W30" si="32">+W29-W27</f>
        <v>0</v>
      </c>
      <c r="Y30" s="147">
        <f t="shared" ref="Y30" si="33">+Y29-Y27</f>
        <v>-0.44000000000050932</v>
      </c>
      <c r="AA30" s="147">
        <f t="shared" ref="AA30" si="34">+AA29-AA27</f>
        <v>0.23999999999978172</v>
      </c>
    </row>
    <row r="31" spans="1:29">
      <c r="A31" t="s">
        <v>318</v>
      </c>
      <c r="B31" s="145"/>
      <c r="C31" s="145">
        <f>+C27/SUM(C22:C26)</f>
        <v>-0.1034116345010959</v>
      </c>
      <c r="D31" s="145"/>
      <c r="E31" s="145">
        <f>+E27/SUM(E22:E26)</f>
        <v>-8.8072269648641691E-2</v>
      </c>
      <c r="F31" s="145"/>
      <c r="G31" s="145">
        <f>+G27/SUM(G22:G26)</f>
        <v>-0.12144198986992605</v>
      </c>
      <c r="H31" s="145"/>
      <c r="I31" s="145">
        <f>+I27/SUM(I22:I26)</f>
        <v>-0.11027318495694517</v>
      </c>
      <c r="J31" s="145"/>
      <c r="K31" s="145">
        <f>+K27/SUM(K22:K26)</f>
        <v>-8.8020258955193401E-2</v>
      </c>
      <c r="L31" s="145"/>
      <c r="M31" s="145" t="e">
        <f>+M27/SUM(M22:M26)</f>
        <v>#DIV/0!</v>
      </c>
      <c r="N31" s="145"/>
      <c r="O31" s="145">
        <f>+O27/SUM(O22:O26)</f>
        <v>-0.108998480983371</v>
      </c>
      <c r="P31" s="145"/>
      <c r="Q31" s="145">
        <f>+Q27/SUM(Q22:Q26)</f>
        <v>-9.7680404120595934E-2</v>
      </c>
      <c r="R31" s="145"/>
      <c r="S31" s="145">
        <f>+S27/SUM(S22:S26)</f>
        <v>-5.7052194136876087E-2</v>
      </c>
      <c r="T31" s="145"/>
      <c r="U31" s="145">
        <f>+U27/SUM(U22:U26)</f>
        <v>-4.8557483304879703E-2</v>
      </c>
      <c r="V31" s="145"/>
      <c r="W31" s="145">
        <f>+W27/SUM(W22:W26)</f>
        <v>-5.3847441274341858E-2</v>
      </c>
      <c r="X31" s="145"/>
      <c r="Y31" s="145">
        <f>+Y27/SUM(Y22:Y26)</f>
        <v>-1.726827879232954E-2</v>
      </c>
      <c r="Z31" s="145"/>
      <c r="AA31" s="145">
        <f>+AA27/SUM(AA22:AA26)</f>
        <v>-4.026558036186647E-2</v>
      </c>
      <c r="AB31" s="145"/>
      <c r="AC31" s="145">
        <f>+AC27/SUM(AC22:AC26)</f>
        <v>-8.7497495823130225E-2</v>
      </c>
    </row>
    <row r="32" spans="1:29">
      <c r="AC32" s="144"/>
    </row>
    <row r="33" spans="1:30">
      <c r="AC33" s="144"/>
    </row>
    <row r="34" spans="1:30">
      <c r="A34" t="s">
        <v>323</v>
      </c>
      <c r="C34" s="1">
        <f>+C13+C27</f>
        <v>-688863</v>
      </c>
      <c r="E34" s="1">
        <f>+E13+E27</f>
        <v>-267754</v>
      </c>
      <c r="G34" s="1">
        <f>+G13+G27</f>
        <v>-541706</v>
      </c>
      <c r="I34" s="1">
        <f>+I13+I27</f>
        <v>-277643</v>
      </c>
      <c r="K34" s="1">
        <f>+K13+K27</f>
        <v>-166686</v>
      </c>
      <c r="M34" s="1">
        <f>+M13+M27</f>
        <v>0</v>
      </c>
      <c r="O34" s="1">
        <f>+O13+O27</f>
        <v>-386877</v>
      </c>
      <c r="Q34" s="1">
        <f>+Q13+Q27</f>
        <v>-336003</v>
      </c>
      <c r="S34" s="1">
        <f>+S13+S27</f>
        <v>-120911</v>
      </c>
      <c r="U34" s="1">
        <f>+U13+U27</f>
        <v>-38312</v>
      </c>
      <c r="W34" s="1">
        <f>+W13+W27</f>
        <v>-24168</v>
      </c>
      <c r="Y34" s="1">
        <f>+Y13+Y27</f>
        <v>-11522</v>
      </c>
      <c r="AA34" s="1">
        <f>+AA13+AA27</f>
        <v>-19008</v>
      </c>
      <c r="AC34" s="1">
        <f>+AC13+AC27</f>
        <v>-2879453</v>
      </c>
    </row>
    <row r="35" spans="1:30">
      <c r="A35" s="123" t="s">
        <v>329</v>
      </c>
      <c r="C35" s="1">
        <f>+C34*0.52</f>
        <v>-358208.76</v>
      </c>
      <c r="D35" s="1">
        <f t="shared" ref="D35:AC35" si="35">+D34*0.52</f>
        <v>0</v>
      </c>
      <c r="E35" s="1">
        <f t="shared" si="35"/>
        <v>-139232.08000000002</v>
      </c>
      <c r="F35" s="1">
        <f t="shared" si="35"/>
        <v>0</v>
      </c>
      <c r="G35" s="1">
        <f t="shared" si="35"/>
        <v>-281687.12</v>
      </c>
      <c r="H35" s="1">
        <f t="shared" si="35"/>
        <v>0</v>
      </c>
      <c r="I35" s="1">
        <f t="shared" si="35"/>
        <v>-144374.36000000002</v>
      </c>
      <c r="J35" s="1">
        <f t="shared" si="35"/>
        <v>0</v>
      </c>
      <c r="K35" s="1">
        <f t="shared" si="35"/>
        <v>-86676.72</v>
      </c>
      <c r="L35" s="1">
        <f t="shared" si="35"/>
        <v>0</v>
      </c>
      <c r="M35" s="1">
        <f t="shared" si="35"/>
        <v>0</v>
      </c>
      <c r="N35" s="1">
        <f t="shared" si="35"/>
        <v>0</v>
      </c>
      <c r="O35" s="1">
        <f t="shared" si="35"/>
        <v>-201176.04</v>
      </c>
      <c r="P35" s="1">
        <f t="shared" si="35"/>
        <v>0</v>
      </c>
      <c r="Q35" s="1">
        <f t="shared" si="35"/>
        <v>-174721.56</v>
      </c>
      <c r="R35" s="1">
        <f t="shared" si="35"/>
        <v>0</v>
      </c>
      <c r="S35" s="1">
        <f t="shared" si="35"/>
        <v>-62873.72</v>
      </c>
      <c r="T35" s="1">
        <f t="shared" si="35"/>
        <v>0</v>
      </c>
      <c r="U35" s="1">
        <f t="shared" si="35"/>
        <v>-19922.240000000002</v>
      </c>
      <c r="V35" s="1">
        <f t="shared" si="35"/>
        <v>0</v>
      </c>
      <c r="W35" s="1">
        <f t="shared" si="35"/>
        <v>-12567.36</v>
      </c>
      <c r="X35" s="1">
        <f t="shared" si="35"/>
        <v>0</v>
      </c>
      <c r="Y35" s="1">
        <f t="shared" si="35"/>
        <v>-5991.4400000000005</v>
      </c>
      <c r="Z35" s="1">
        <f t="shared" si="35"/>
        <v>0</v>
      </c>
      <c r="AA35" s="1">
        <f t="shared" si="35"/>
        <v>-9884.16</v>
      </c>
      <c r="AB35" s="1">
        <f t="shared" si="35"/>
        <v>0</v>
      </c>
      <c r="AC35" s="1">
        <f t="shared" si="35"/>
        <v>-1497315.56</v>
      </c>
    </row>
    <row r="36" spans="1:30">
      <c r="A36" t="s">
        <v>324</v>
      </c>
      <c r="C36" s="1">
        <f>+C34-C35</f>
        <v>-330654.24</v>
      </c>
      <c r="D36" s="1">
        <f t="shared" ref="D36:AC36" si="36">+D34-D35</f>
        <v>0</v>
      </c>
      <c r="E36" s="1">
        <f t="shared" si="36"/>
        <v>-128521.91999999998</v>
      </c>
      <c r="F36" s="1">
        <f t="shared" si="36"/>
        <v>0</v>
      </c>
      <c r="G36" s="1">
        <f t="shared" si="36"/>
        <v>-260018.88</v>
      </c>
      <c r="H36" s="1">
        <f t="shared" si="36"/>
        <v>0</v>
      </c>
      <c r="I36" s="1">
        <f t="shared" si="36"/>
        <v>-133268.63999999998</v>
      </c>
      <c r="J36" s="1">
        <f t="shared" si="36"/>
        <v>0</v>
      </c>
      <c r="K36" s="1">
        <f t="shared" si="36"/>
        <v>-80009.279999999999</v>
      </c>
      <c r="L36" s="1">
        <f t="shared" si="36"/>
        <v>0</v>
      </c>
      <c r="M36" s="1">
        <f t="shared" si="36"/>
        <v>0</v>
      </c>
      <c r="N36" s="1">
        <f t="shared" si="36"/>
        <v>0</v>
      </c>
      <c r="O36" s="1">
        <f t="shared" si="36"/>
        <v>-185700.96</v>
      </c>
      <c r="P36" s="1">
        <f t="shared" si="36"/>
        <v>0</v>
      </c>
      <c r="Q36" s="1">
        <f t="shared" si="36"/>
        <v>-161281.44</v>
      </c>
      <c r="R36" s="1">
        <f t="shared" si="36"/>
        <v>0</v>
      </c>
      <c r="S36" s="1">
        <f t="shared" si="36"/>
        <v>-58037.279999999999</v>
      </c>
      <c r="T36" s="1">
        <f t="shared" si="36"/>
        <v>0</v>
      </c>
      <c r="U36" s="1">
        <f t="shared" si="36"/>
        <v>-18389.759999999998</v>
      </c>
      <c r="V36" s="1">
        <f t="shared" si="36"/>
        <v>0</v>
      </c>
      <c r="W36" s="1">
        <f t="shared" si="36"/>
        <v>-11600.64</v>
      </c>
      <c r="X36" s="1">
        <f t="shared" si="36"/>
        <v>0</v>
      </c>
      <c r="Y36" s="1">
        <f t="shared" si="36"/>
        <v>-5530.5599999999995</v>
      </c>
      <c r="Z36" s="1">
        <f t="shared" si="36"/>
        <v>0</v>
      </c>
      <c r="AA36" s="1">
        <f t="shared" si="36"/>
        <v>-9123.84</v>
      </c>
      <c r="AB36" s="1">
        <f t="shared" si="36"/>
        <v>0</v>
      </c>
      <c r="AC36" s="1">
        <f t="shared" si="36"/>
        <v>-1382137.44</v>
      </c>
    </row>
    <row r="38" spans="1:30">
      <c r="C38" s="148" t="s">
        <v>213</v>
      </c>
      <c r="E38" s="148" t="s">
        <v>321</v>
      </c>
      <c r="G38" s="148" t="s">
        <v>322</v>
      </c>
      <c r="I38" s="148" t="s">
        <v>204</v>
      </c>
      <c r="K38" s="148" t="s">
        <v>204</v>
      </c>
      <c r="O38" s="148" t="s">
        <v>207</v>
      </c>
      <c r="Q38" s="148" t="s">
        <v>208</v>
      </c>
      <c r="S38" s="148" t="s">
        <v>278</v>
      </c>
      <c r="W38" s="148" t="s">
        <v>287</v>
      </c>
      <c r="AA38" s="148" t="s">
        <v>293</v>
      </c>
    </row>
    <row r="39" spans="1:30">
      <c r="A39" t="s">
        <v>327</v>
      </c>
      <c r="C39" s="149">
        <v>350000</v>
      </c>
      <c r="E39" s="149">
        <v>344000</v>
      </c>
      <c r="G39" s="149">
        <v>250000</v>
      </c>
      <c r="I39" s="149">
        <v>200000</v>
      </c>
      <c r="K39" s="149">
        <v>200000</v>
      </c>
      <c r="O39" s="149">
        <v>320000</v>
      </c>
      <c r="Q39" s="149">
        <v>240000</v>
      </c>
      <c r="S39" s="147">
        <v>290000</v>
      </c>
      <c r="U39" t="s">
        <v>326</v>
      </c>
      <c r="W39" s="149">
        <v>130000</v>
      </c>
      <c r="Y39" s="152" t="s">
        <v>326</v>
      </c>
      <c r="AA39" s="149">
        <v>90000</v>
      </c>
      <c r="AC39" s="146">
        <f>SUM(C39:AA39)</f>
        <v>2414000</v>
      </c>
      <c r="AD39" t="s">
        <v>328</v>
      </c>
    </row>
    <row r="40" spans="1:30">
      <c r="C40" s="149"/>
      <c r="E40" s="149"/>
      <c r="G40" s="149"/>
      <c r="I40" s="149"/>
      <c r="K40" s="149"/>
      <c r="O40" s="149"/>
      <c r="Q40" s="149"/>
      <c r="S40" s="147"/>
      <c r="W40" s="149"/>
      <c r="AA40" s="149"/>
    </row>
    <row r="41" spans="1:30">
      <c r="A41" t="s">
        <v>325</v>
      </c>
      <c r="C41" s="150">
        <f>-(C39+C36)</f>
        <v>-19345.760000000009</v>
      </c>
      <c r="D41" s="150">
        <f t="shared" ref="D41:AA41" si="37">-(D39+D36)</f>
        <v>0</v>
      </c>
      <c r="E41" s="150">
        <f t="shared" si="37"/>
        <v>-215478.08000000002</v>
      </c>
      <c r="F41" s="150">
        <f t="shared" si="37"/>
        <v>0</v>
      </c>
      <c r="G41" s="150">
        <f t="shared" si="37"/>
        <v>10018.880000000005</v>
      </c>
      <c r="H41" s="150">
        <f t="shared" si="37"/>
        <v>0</v>
      </c>
      <c r="I41" s="150">
        <f t="shared" si="37"/>
        <v>-66731.360000000015</v>
      </c>
      <c r="J41" s="150">
        <f t="shared" si="37"/>
        <v>0</v>
      </c>
      <c r="K41" s="150">
        <f t="shared" si="37"/>
        <v>-119990.72</v>
      </c>
      <c r="L41" s="150">
        <f t="shared" si="37"/>
        <v>0</v>
      </c>
      <c r="M41" s="150">
        <f t="shared" si="37"/>
        <v>0</v>
      </c>
      <c r="N41" s="150">
        <f t="shared" si="37"/>
        <v>0</v>
      </c>
      <c r="O41" s="150">
        <f t="shared" si="37"/>
        <v>-134299.04</v>
      </c>
      <c r="P41" s="150">
        <f t="shared" si="37"/>
        <v>0</v>
      </c>
      <c r="Q41" s="150">
        <f t="shared" si="37"/>
        <v>-78718.559999999998</v>
      </c>
      <c r="R41" s="150">
        <f t="shared" si="37"/>
        <v>0</v>
      </c>
      <c r="S41" s="150">
        <f>-(S39+S36+U36)</f>
        <v>-213572.96</v>
      </c>
      <c r="T41" s="150">
        <f t="shared" si="37"/>
        <v>0</v>
      </c>
      <c r="U41" s="150">
        <v>0</v>
      </c>
      <c r="V41" s="150">
        <f t="shared" si="37"/>
        <v>0</v>
      </c>
      <c r="W41" s="150">
        <f t="shared" si="37"/>
        <v>-118399.36</v>
      </c>
      <c r="X41" s="150">
        <f t="shared" si="37"/>
        <v>0</v>
      </c>
      <c r="Y41" s="150">
        <v>0</v>
      </c>
      <c r="Z41" s="150">
        <f t="shared" si="37"/>
        <v>0</v>
      </c>
      <c r="AA41" s="150">
        <f t="shared" si="37"/>
        <v>-80876.160000000003</v>
      </c>
      <c r="AC41" s="151">
        <f>SUM(C41:AB41)</f>
        <v>-1037393.1200000001</v>
      </c>
    </row>
    <row r="45" spans="1:30">
      <c r="C45" s="1">
        <f>+C15+C28</f>
        <v>4431359</v>
      </c>
      <c r="D45" s="1">
        <f t="shared" ref="D45:AB45" si="38">+D15+D28</f>
        <v>290239</v>
      </c>
      <c r="E45" s="1">
        <f t="shared" si="38"/>
        <v>2959789</v>
      </c>
      <c r="F45" s="1">
        <f t="shared" si="38"/>
        <v>403763</v>
      </c>
      <c r="G45" s="1">
        <f t="shared" si="38"/>
        <v>3740650</v>
      </c>
      <c r="H45" s="1">
        <f t="shared" si="38"/>
        <v>152950</v>
      </c>
      <c r="I45" s="1">
        <f t="shared" si="38"/>
        <v>2183078</v>
      </c>
      <c r="J45" s="1">
        <f t="shared" si="38"/>
        <v>158076</v>
      </c>
      <c r="K45" s="1">
        <f t="shared" si="38"/>
        <v>1778866</v>
      </c>
      <c r="L45" s="1">
        <f t="shared" si="38"/>
        <v>0</v>
      </c>
      <c r="M45" s="1">
        <f t="shared" si="38"/>
        <v>0</v>
      </c>
      <c r="N45" s="1">
        <f t="shared" si="38"/>
        <v>375307</v>
      </c>
      <c r="O45" s="1">
        <f t="shared" si="38"/>
        <v>3366238</v>
      </c>
      <c r="P45" s="1">
        <f t="shared" si="38"/>
        <v>169286</v>
      </c>
      <c r="Q45" s="1">
        <f t="shared" si="38"/>
        <v>1908364</v>
      </c>
      <c r="R45" s="1">
        <f t="shared" si="38"/>
        <v>212070</v>
      </c>
      <c r="S45" s="1">
        <f t="shared" si="38"/>
        <v>2175375</v>
      </c>
      <c r="T45" s="1">
        <f t="shared" si="38"/>
        <v>27469</v>
      </c>
      <c r="U45" s="1">
        <f t="shared" si="38"/>
        <v>750691</v>
      </c>
      <c r="V45" s="1">
        <f t="shared" si="38"/>
        <v>99668</v>
      </c>
      <c r="W45" s="1">
        <f t="shared" si="38"/>
        <v>552917</v>
      </c>
      <c r="X45" s="1">
        <f t="shared" si="38"/>
        <v>96906</v>
      </c>
      <c r="Y45" s="1">
        <f t="shared" si="38"/>
        <v>655713</v>
      </c>
      <c r="Z45" s="1">
        <f t="shared" si="38"/>
        <v>111022</v>
      </c>
      <c r="AA45" s="1">
        <f t="shared" si="38"/>
        <v>593649</v>
      </c>
      <c r="AB45" s="1">
        <f t="shared" si="38"/>
        <v>2493943</v>
      </c>
    </row>
  </sheetData>
  <pageMargins left="0.7" right="0.7" top="0.75" bottom="0.75" header="0.3" footer="0.3"/>
  <pageSetup scale="5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A1:AC125"/>
  <sheetViews>
    <sheetView workbookViewId="0"/>
  </sheetViews>
  <sheetFormatPr defaultColWidth="9.140625" defaultRowHeight="15"/>
  <cols>
    <col min="1" max="1" width="54.85546875" bestFit="1" customWidth="1"/>
    <col min="2" max="3" width="12.5703125" style="1" customWidth="1"/>
    <col min="4" max="4" width="14.42578125" style="1" bestFit="1" customWidth="1"/>
    <col min="5" max="5" width="15.42578125" style="1" bestFit="1" customWidth="1"/>
    <col min="6" max="6" width="14.42578125" style="1" bestFit="1" customWidth="1"/>
    <col min="7" max="7" width="15.85546875" style="1" bestFit="1" customWidth="1"/>
    <col min="8" max="8" width="13.42578125" style="1" bestFit="1" customWidth="1"/>
    <col min="9" max="9" width="14.85546875" style="1" bestFit="1" customWidth="1"/>
    <col min="10" max="10" width="14" style="1" bestFit="1" customWidth="1"/>
    <col min="11" max="11" width="12.5703125" style="1" customWidth="1"/>
    <col min="12" max="13" width="12.5703125" style="1" hidden="1" customWidth="1"/>
    <col min="14" max="19" width="12.5703125" style="1" customWidth="1"/>
    <col min="20" max="21" width="12.5703125" style="1" hidden="1" customWidth="1"/>
    <col min="22" max="23" width="12.5703125" style="1" customWidth="1"/>
    <col min="24" max="25" width="12.5703125" style="1" hidden="1" customWidth="1"/>
    <col min="26" max="29" width="12.5703125" style="1" customWidth="1"/>
  </cols>
  <sheetData>
    <row r="1" spans="1:29">
      <c r="A1" t="s">
        <v>209</v>
      </c>
    </row>
    <row r="2" spans="1:29" s="1" customFormat="1">
      <c r="A2" s="2">
        <f>'Dealership Totals'!A2</f>
        <v>42705</v>
      </c>
      <c r="B2" s="3"/>
      <c r="D2" s="3"/>
      <c r="F2" s="3"/>
      <c r="H2" s="3"/>
      <c r="J2" s="3"/>
      <c r="L2" s="3"/>
      <c r="N2" s="3"/>
      <c r="P2" s="3"/>
      <c r="R2" s="3"/>
      <c r="T2" s="3"/>
      <c r="V2" s="3"/>
      <c r="X2" s="3"/>
      <c r="Z2" s="3"/>
      <c r="AB2" s="3"/>
    </row>
    <row r="3" spans="1:29" s="1" customFormat="1">
      <c r="A3" s="3"/>
      <c r="B3" s="3"/>
      <c r="D3" s="3"/>
      <c r="F3" s="3"/>
      <c r="H3" s="3"/>
      <c r="J3" s="3"/>
      <c r="L3" s="3"/>
      <c r="N3" s="3"/>
      <c r="P3" s="125">
        <f>'[2]PAGE 2'!$AQ$13</f>
        <v>62332</v>
      </c>
      <c r="Q3" s="126">
        <f>P3/'Dealership Totals'!AD3</f>
        <v>0.33367593841673626</v>
      </c>
      <c r="R3" s="125">
        <f>[3]P2!$AF$25</f>
        <v>65604</v>
      </c>
      <c r="S3" s="126">
        <f>R3/'Dealership Totals'!AH3</f>
        <v>0.33000165996810849</v>
      </c>
      <c r="T3" s="125"/>
      <c r="U3" s="126"/>
      <c r="V3" s="125">
        <f>[3]P2!$AF$25</f>
        <v>65604</v>
      </c>
      <c r="W3" s="126"/>
      <c r="X3" s="3"/>
      <c r="Z3" s="3"/>
      <c r="AB3" s="125">
        <f>[3]P2!$AF$25</f>
        <v>65604</v>
      </c>
      <c r="AC3" s="126"/>
    </row>
    <row r="4" spans="1:29" s="1" customFormat="1">
      <c r="A4" s="3"/>
      <c r="B4" s="328" t="s">
        <v>213</v>
      </c>
      <c r="C4" s="329"/>
      <c r="D4" s="328" t="s">
        <v>282</v>
      </c>
      <c r="E4" s="329"/>
      <c r="F4" s="328" t="s">
        <v>203</v>
      </c>
      <c r="G4" s="329"/>
      <c r="H4" s="328" t="s">
        <v>204</v>
      </c>
      <c r="I4" s="329"/>
      <c r="J4" s="328" t="s">
        <v>205</v>
      </c>
      <c r="K4" s="329"/>
      <c r="L4" s="328"/>
      <c r="M4" s="329"/>
      <c r="N4" s="328" t="s">
        <v>207</v>
      </c>
      <c r="O4" s="329"/>
      <c r="P4" s="328" t="s">
        <v>208</v>
      </c>
      <c r="Q4" s="329"/>
      <c r="R4" s="328" t="s">
        <v>278</v>
      </c>
      <c r="S4" s="329"/>
      <c r="T4" s="328" t="s">
        <v>279</v>
      </c>
      <c r="U4" s="329"/>
      <c r="V4" s="328" t="s">
        <v>287</v>
      </c>
      <c r="W4" s="329"/>
      <c r="X4" s="328" t="s">
        <v>292</v>
      </c>
      <c r="Y4" s="329"/>
      <c r="Z4" s="328" t="s">
        <v>293</v>
      </c>
      <c r="AA4" s="329"/>
      <c r="AB4" s="328" t="s">
        <v>288</v>
      </c>
      <c r="AC4" s="329"/>
    </row>
    <row r="5" spans="1:29" s="1" customFormat="1">
      <c r="B5" s="14" t="s">
        <v>2</v>
      </c>
      <c r="C5" s="15" t="s">
        <v>3</v>
      </c>
      <c r="D5" s="14" t="s">
        <v>2</v>
      </c>
      <c r="E5" s="15" t="s">
        <v>3</v>
      </c>
      <c r="F5" s="14" t="s">
        <v>2</v>
      </c>
      <c r="G5" s="15" t="s">
        <v>3</v>
      </c>
      <c r="H5" s="14" t="s">
        <v>2</v>
      </c>
      <c r="I5" s="15" t="s">
        <v>3</v>
      </c>
      <c r="J5" s="14" t="s">
        <v>2</v>
      </c>
      <c r="K5" s="15" t="s">
        <v>3</v>
      </c>
      <c r="L5" s="14"/>
      <c r="M5" s="15"/>
      <c r="N5" s="14" t="s">
        <v>2</v>
      </c>
      <c r="O5" s="15" t="s">
        <v>3</v>
      </c>
      <c r="P5" s="14" t="s">
        <v>2</v>
      </c>
      <c r="Q5" s="15" t="s">
        <v>3</v>
      </c>
      <c r="R5" s="14" t="s">
        <v>2</v>
      </c>
      <c r="S5" s="15" t="s">
        <v>3</v>
      </c>
      <c r="T5" s="14" t="s">
        <v>2</v>
      </c>
      <c r="U5" s="15" t="s">
        <v>3</v>
      </c>
      <c r="V5" s="14" t="s">
        <v>2</v>
      </c>
      <c r="W5" s="15" t="s">
        <v>3</v>
      </c>
      <c r="X5" s="14" t="s">
        <v>2</v>
      </c>
      <c r="Y5" s="15" t="s">
        <v>3</v>
      </c>
      <c r="Z5" s="14" t="s">
        <v>2</v>
      </c>
      <c r="AA5" s="15" t="s">
        <v>3</v>
      </c>
      <c r="AB5" s="14" t="s">
        <v>2</v>
      </c>
      <c r="AC5" s="15" t="s">
        <v>3</v>
      </c>
    </row>
    <row r="6" spans="1:29" s="1" customFormat="1">
      <c r="A6" s="1" t="s">
        <v>218</v>
      </c>
      <c r="B6" s="55">
        <f>INDEX('[4]Page 4'!$B:$O,MATCH("TOTAL ALL NISSAN NEW VEHICLES",'[4]Page 4'!$G:$G,0),1)</f>
        <v>186</v>
      </c>
      <c r="C6" s="56">
        <f>INDEX('[4]Page 4'!$B:$O,MATCH("TOTAL ALL NISSAN NEW VEHICLES",'[4]Page 4'!$G:$G,0),9)</f>
        <v>2080</v>
      </c>
      <c r="D6" s="55">
        <f>INDEX('[5]Page 4'!$B:$O,MATCH("TOTAL ALL NISSAN NEW VEHICLES",'[5]Page 4'!$G:$G,0),1)</f>
        <v>129</v>
      </c>
      <c r="E6" s="56">
        <f>INDEX('[5]Page 4'!$B:$O,MATCH("TOTAL ALL NISSAN NEW VEHICLES",'[5]Page 4'!$G:$G,0),9)</f>
        <v>1342</v>
      </c>
      <c r="F6" s="55">
        <f>INDEX('[6]Page 4'!$B:$O,MATCH("TOTAL ALL NISSAN NEW VEHICLES",'[6]Page 4'!$G:$G,0),1)</f>
        <v>213</v>
      </c>
      <c r="G6" s="56">
        <f>INDEX('[6]Page 4'!$B:$O,MATCH("TOTAL ALL NISSAN NEW VEHICLES",'[6]Page 4'!$G:$G,0),9)</f>
        <v>1865</v>
      </c>
      <c r="H6" s="55">
        <f>'[7]PAGE 4'!$B$21</f>
        <v>90</v>
      </c>
      <c r="I6" s="56">
        <f>'[7]PAGE 4'!$L$21</f>
        <v>1099</v>
      </c>
      <c r="J6" s="55">
        <f>'[8]PAGE 4'!$B$21</f>
        <v>84</v>
      </c>
      <c r="K6" s="56">
        <f>'[8]PAGE 4'!$L$21</f>
        <v>858</v>
      </c>
      <c r="L6" s="55"/>
      <c r="M6" s="56"/>
      <c r="N6" s="55">
        <f>'[9]Page 4'!$B$71</f>
        <v>181</v>
      </c>
      <c r="O6" s="56">
        <f>'[9]Page 4'!$M$71</f>
        <v>1603</v>
      </c>
      <c r="P6" s="55">
        <f>'[2]PAGE 3T'!$R$47</f>
        <v>84</v>
      </c>
      <c r="Q6" s="56">
        <f>'[2]PAGE 3T'!$BA47</f>
        <v>1005</v>
      </c>
      <c r="R6" s="55">
        <f>[3]P3T!$T$95</f>
        <v>76</v>
      </c>
      <c r="S6" s="56">
        <f>[3]P3T!$BC$95</f>
        <v>848</v>
      </c>
      <c r="T6" s="55"/>
      <c r="U6" s="56"/>
      <c r="V6" s="55">
        <f>'[10]PAGE 4'!$B$74</f>
        <v>46</v>
      </c>
      <c r="W6" s="56">
        <f>'[10]PAGE 4'!$M$74</f>
        <v>310</v>
      </c>
      <c r="X6" s="55">
        <f>'[11]Page 4'!$B$71</f>
        <v>0</v>
      </c>
      <c r="Y6" s="56">
        <f>'[11]Page 4'!$M$71</f>
        <v>0</v>
      </c>
      <c r="Z6" s="55">
        <f>'[12]Page 4'!$B$71</f>
        <v>60</v>
      </c>
      <c r="AA6" s="56">
        <f>'[12]Page 4'!$M$71</f>
        <v>239</v>
      </c>
      <c r="AB6" s="55">
        <f>SUMIF($B$5:$AA$5,"Month",B6:AA6)</f>
        <v>1149</v>
      </c>
      <c r="AC6" s="56">
        <f>SUMIF($B$5:$AA$5,"YTD",B6:AA6)</f>
        <v>11249</v>
      </c>
    </row>
    <row r="7" spans="1:29">
      <c r="A7" s="4" t="s">
        <v>220</v>
      </c>
      <c r="B7" s="24">
        <f>INDEX('[4]Page 4'!$B:$O,MATCH("TOTAL ALL NISSAN NEW VEHICLES",'[4]Page 4'!$G:$G,0),2)</f>
        <v>4919135</v>
      </c>
      <c r="C7" s="25">
        <f>INDEX('[4]Page 4'!$B:$O,MATCH("TOTAL ALL NISSAN NEW VEHICLES",'[4]Page 4'!$G:$G,0),10)</f>
        <v>51589533</v>
      </c>
      <c r="D7" s="24">
        <f>INDEX('[5]Page 4'!$B:$O,MATCH("TOTAL ALL NISSAN NEW VEHICLES",'[5]Page 4'!$G:$G,0),2)</f>
        <v>3875879</v>
      </c>
      <c r="E7" s="25">
        <f>INDEX('[5]Page 4'!$B:$O,MATCH("TOTAL ALL NISSAN NEW VEHICLES",'[5]Page 4'!$G:$G,0),10)</f>
        <v>39335719</v>
      </c>
      <c r="F7" s="24">
        <f>INDEX('[6]Page 4'!$B:$O,MATCH("TOTAL ALL NISSAN NEW VEHICLES",'[6]Page 4'!$G:$G,0),2)</f>
        <v>6167028</v>
      </c>
      <c r="G7" s="25">
        <f>INDEX('[6]Page 4'!$B:$O,MATCH("TOTAL ALL NISSAN NEW VEHICLES",'[6]Page 4'!$G:$G,0),10)</f>
        <v>50512979</v>
      </c>
      <c r="H7" s="24">
        <f>'[7]PAGE 2'!$H5</f>
        <v>2474128</v>
      </c>
      <c r="I7" s="25">
        <f>'[7]PAGE 2'!$J5</f>
        <v>29467480</v>
      </c>
      <c r="J7" s="24">
        <f>'[8]PAGE 2'!$H5</f>
        <v>2350129</v>
      </c>
      <c r="K7" s="25">
        <f>'[8]PAGE 2'!$J5</f>
        <v>22557156</v>
      </c>
      <c r="L7" s="24"/>
      <c r="M7" s="25"/>
      <c r="N7" s="24">
        <f>'[9]Page 4'!$C$71</f>
        <v>6043309</v>
      </c>
      <c r="O7" s="25">
        <f>'[9]Page 4'!$N$71</f>
        <v>51276093</v>
      </c>
      <c r="P7" s="24">
        <f>'[2]PAGE 3T'!$B$47</f>
        <v>3444758</v>
      </c>
      <c r="Q7" s="25">
        <f>'[2]PAGE 3T'!$BK$47</f>
        <v>39470856</v>
      </c>
      <c r="R7" s="24">
        <f>[3]P3T!$C$95</f>
        <v>2862333</v>
      </c>
      <c r="S7" s="25">
        <f>[3]P3T!$BP$95</f>
        <v>29926163</v>
      </c>
      <c r="T7" s="24"/>
      <c r="U7" s="25"/>
      <c r="V7" s="24">
        <f>SUM('[10]PAGE 4'!$C$47:$D$47,'[10]PAGE 4'!$C$59:$D$59)</f>
        <v>1107813</v>
      </c>
      <c r="W7" s="25">
        <f>SUM('[10]PAGE 4'!$N$47:$O$47,'[10]PAGE 4'!$N$59:$O$59)</f>
        <v>7357360</v>
      </c>
      <c r="X7" s="24">
        <f>'[11]Page 4'!$C$71</f>
        <v>0</v>
      </c>
      <c r="Y7" s="25">
        <f>'[11]Page 4'!$N$71</f>
        <v>0</v>
      </c>
      <c r="Z7" s="24">
        <f>'[12]Page 4'!$C$71</f>
        <v>1631136</v>
      </c>
      <c r="AA7" s="25">
        <f>'[12]Page 4'!$N$71</f>
        <v>6593900</v>
      </c>
      <c r="AB7" s="24">
        <f t="shared" ref="AB7:AB70" si="0">SUMIF($B$5:$AA$5,"Month",B7:AA7)</f>
        <v>34875648</v>
      </c>
      <c r="AC7" s="25">
        <f t="shared" ref="AC7:AC70" si="1">SUMIF($B$5:$AA$5,"YTD",B7:AA7)</f>
        <v>328087239</v>
      </c>
    </row>
    <row r="8" spans="1:29">
      <c r="A8" s="4" t="s">
        <v>221</v>
      </c>
      <c r="B8" s="24">
        <f>INDEX('[4]Page 4'!$B:$O,MATCH("TOTAL ALL NISSAN NEW VEHICLES",'[4]Page 4'!$G:$G,0),3)</f>
        <v>-47584</v>
      </c>
      <c r="C8" s="25">
        <f>INDEX('[4]Page 4'!$B:$O,MATCH("TOTAL ALL NISSAN NEW VEHICLES",'[4]Page 4'!$G:$G,0),11)</f>
        <v>-741859</v>
      </c>
      <c r="D8" s="24">
        <f>INDEX('[5]Page 4'!$B:$O,MATCH("TOTAL ALL NISSAN NEW VEHICLES",'[5]Page 4'!$G:$G,0),3)</f>
        <v>-204848</v>
      </c>
      <c r="E8" s="25">
        <f>INDEX('[5]Page 4'!$B:$O,MATCH("TOTAL ALL NISSAN NEW VEHICLES",'[5]Page 4'!$G:$G,0),11)</f>
        <v>-727292</v>
      </c>
      <c r="F8" s="24">
        <f>INDEX('[6]Page 4'!$B:$O,MATCH("TOTAL ALL NISSAN NEW VEHICLES",'[6]Page 4'!$G:$G,0),3)</f>
        <v>-242686</v>
      </c>
      <c r="G8" s="25">
        <f>INDEX('[6]Page 4'!$B:$O,MATCH("TOTAL ALL NISSAN NEW VEHICLES",'[6]Page 4'!$G:$G,0),11)</f>
        <v>-1553638</v>
      </c>
      <c r="H8" s="24">
        <f>'[7]PAGE 2'!$H6</f>
        <v>54123</v>
      </c>
      <c r="I8" s="25">
        <f>'[7]PAGE 2'!$J6</f>
        <v>133094</v>
      </c>
      <c r="J8" s="24">
        <f>'[8]PAGE 2'!$H6</f>
        <v>29298</v>
      </c>
      <c r="K8" s="25">
        <f>'[8]PAGE 2'!$J6</f>
        <v>277797</v>
      </c>
      <c r="L8" s="24"/>
      <c r="M8" s="25"/>
      <c r="N8" s="24">
        <f>'[9]Page 4'!$D$71</f>
        <v>-17666</v>
      </c>
      <c r="O8" s="25">
        <f>'[9]Page 4'!$O$71</f>
        <v>433471</v>
      </c>
      <c r="P8" s="24">
        <f>'[2]PAGE 3T'!$K$47</f>
        <v>116177</v>
      </c>
      <c r="Q8" s="25">
        <f>'[2]PAGE 3T'!$BU$47</f>
        <v>1428798</v>
      </c>
      <c r="R8" s="24">
        <f>[3]P3T!$L$95</f>
        <v>93511</v>
      </c>
      <c r="S8" s="25">
        <f>[3]P3T!$BY$95</f>
        <v>1051752</v>
      </c>
      <c r="T8" s="24"/>
      <c r="U8" s="25"/>
      <c r="V8" s="120">
        <f>SUM('[10]PAGE 4'!$E$42:$F$42,'[10]PAGE 4'!$E$59:$F$59,'[10]PAGE 4'!$E$70:$F$70)</f>
        <v>-49609</v>
      </c>
      <c r="W8" s="25">
        <f>SUM('[10]PAGE 4'!$P$42:$Q$42,'[10]PAGE 4'!$P$59:$Q$59,'[10]PAGE 4'!$P$70:$Q$70)</f>
        <v>-269617</v>
      </c>
      <c r="X8" s="24">
        <f>'[11]Page 4'!$D$71</f>
        <v>0</v>
      </c>
      <c r="Y8" s="25">
        <f>'[11]Page 4'!$O$71</f>
        <v>0</v>
      </c>
      <c r="Z8" s="24">
        <f>'[12]Page 4'!$D$71</f>
        <v>31934</v>
      </c>
      <c r="AA8" s="25">
        <f>'[12]Page 4'!$O$71</f>
        <v>137619</v>
      </c>
      <c r="AB8" s="120">
        <f t="shared" si="0"/>
        <v>-237350</v>
      </c>
      <c r="AC8" s="25">
        <f t="shared" si="1"/>
        <v>170125</v>
      </c>
    </row>
    <row r="9" spans="1:29">
      <c r="A9" s="4" t="s">
        <v>227</v>
      </c>
      <c r="B9" s="24">
        <f>INDEX('[4]Page 2'!$B:$DP,MATCH("8075",'[4]Page 2'!$M:$M,0),42)+INDEX('[4]Page 2'!$B:$DP,MATCH("8077",'[4]Page 2'!$M:$M,0),42)+INDEX('[4]Page 2'!$B:$DP,MATCH("8070",'[4]Page 2'!$M:$M,0),42)</f>
        <v>266350</v>
      </c>
      <c r="C9" s="25">
        <f>INDEX('[4]Page 2'!$B:$DP,MATCH("8075",'[4]Page 2'!$M:$M,0),58)+INDEX('[4]Page 2'!$B:$DP,MATCH("8077",'[4]Page 2'!$M:$M,0),58)+INDEX('[4]Page 2'!$B:$DP,MATCH("8070",'[4]Page 2'!$M:$M,0),58)</f>
        <v>3192417</v>
      </c>
      <c r="D9" s="24">
        <f>INDEX('[5]Page 2'!$B:$DP,MATCH("8075",'[5]Page 2'!$M:$M,0),42)+INDEX('[5]Page 2'!$B:$DP,MATCH("8077",'[5]Page 2'!$M:$M,0),42)+INDEX('[5]Page 2'!$B:$DP,MATCH("8070",'[5]Page 2'!$M:$M,0),42)</f>
        <v>211825</v>
      </c>
      <c r="E9" s="25">
        <f>INDEX('[5]Page 2'!$B:$DP,MATCH("8075",'[5]Page 2'!$M:$M,0),58)+INDEX('[5]Page 2'!$B:$DP,MATCH("8077",'[5]Page 2'!$M:$M,0),58)+INDEX('[5]Page 2'!$B:$DP,MATCH("8070",'[5]Page 2'!$M:$M,0),58)</f>
        <v>1381473</v>
      </c>
      <c r="F9" s="24">
        <f>INDEX('[6]Page 2'!$B:$DP,MATCH("8075",'[6]Page 2'!$M:$M,0),42)+INDEX('[6]Page 2'!$B:$DP,MATCH("8077",'[6]Page 2'!$M:$M,0),42)+INDEX('[6]Page 2'!$B:$DP,MATCH("8070",'[6]Page 2'!$M:$M,0),42)</f>
        <v>356000</v>
      </c>
      <c r="G9" s="25">
        <f>INDEX('[6]Page 2'!$B:$DP,MATCH("8075",'[6]Page 2'!$M:$M,0),58)+INDEX('[6]Page 2'!$B:$DP,MATCH("8077",'[6]Page 2'!$M:$M,0),58)+INDEX('[6]Page 2'!$B:$DP,MATCH("8070",'[6]Page 2'!$M:$M,0),58)</f>
        <v>2572394</v>
      </c>
      <c r="H9" s="24">
        <f>'[7]PAGE 2'!$H15+'[7]PAGE 2'!$H16</f>
        <v>47654</v>
      </c>
      <c r="I9" s="25">
        <f>'[7]PAGE 2'!$J15+'[7]PAGE 2'!$J16</f>
        <v>609675</v>
      </c>
      <c r="J9" s="24">
        <f>'[8]PAGE 2'!$H15+'[8]PAGE 2'!$H16</f>
        <v>44993</v>
      </c>
      <c r="K9" s="25">
        <f>'[8]PAGE 2'!$J15+'[8]PAGE 2'!$J16</f>
        <v>471415</v>
      </c>
      <c r="L9" s="24"/>
      <c r="M9" s="25"/>
      <c r="N9" s="24">
        <f>'[9]PAGE 2'!$E$74</f>
        <v>92484</v>
      </c>
      <c r="O9" s="25">
        <f>'[9]PAGE 2'!$G$74</f>
        <v>708513</v>
      </c>
      <c r="P9" s="24">
        <f>'[2]PAGE 2'!$L$25</f>
        <v>21233</v>
      </c>
      <c r="Q9" s="25">
        <f>'[2]PAGE 2'!$X$25</f>
        <v>78772</v>
      </c>
      <c r="R9" s="24">
        <f>[3]P2!$J$49</f>
        <v>0</v>
      </c>
      <c r="S9" s="25">
        <f>[3]P2!$R$49</f>
        <v>0</v>
      </c>
      <c r="T9" s="24"/>
      <c r="U9" s="25"/>
      <c r="V9" s="24">
        <f>SUM('[10]PAGE 4'!$E$43:$F$46,'[10]PAGE 4'!$E$68:$F$68)</f>
        <v>65101</v>
      </c>
      <c r="W9" s="25">
        <f>SUM('[10]PAGE 4'!$P$43:$Q$46,'[10]PAGE 4'!$P$68:$Q$68)</f>
        <v>453384</v>
      </c>
      <c r="X9" s="24">
        <f>'[11]PAGE 2'!$E$74</f>
        <v>0</v>
      </c>
      <c r="Y9" s="25">
        <f>'[11]PAGE 2'!$G$74</f>
        <v>0</v>
      </c>
      <c r="Z9" s="24">
        <f>'[12]PAGE 2'!$E$74</f>
        <v>0</v>
      </c>
      <c r="AA9" s="25">
        <f>'[12]PAGE 2'!$G$74</f>
        <v>0</v>
      </c>
      <c r="AB9" s="24">
        <f t="shared" si="0"/>
        <v>1105640</v>
      </c>
      <c r="AC9" s="25">
        <f t="shared" si="1"/>
        <v>9468043</v>
      </c>
    </row>
    <row r="10" spans="1:29">
      <c r="A10" s="11" t="s">
        <v>250</v>
      </c>
      <c r="B10" s="16">
        <f t="shared" ref="B10:C10" si="2">B9+B8</f>
        <v>218766</v>
      </c>
      <c r="C10" s="17">
        <f t="shared" si="2"/>
        <v>2450558</v>
      </c>
      <c r="D10" s="16">
        <f t="shared" ref="D10:E10" si="3">D9+D8</f>
        <v>6977</v>
      </c>
      <c r="E10" s="17">
        <f t="shared" si="3"/>
        <v>654181</v>
      </c>
      <c r="F10" s="16">
        <f t="shared" ref="F10:G10" si="4">F9+F8</f>
        <v>113314</v>
      </c>
      <c r="G10" s="17">
        <f t="shared" si="4"/>
        <v>1018756</v>
      </c>
      <c r="H10" s="16">
        <f t="shared" ref="H10:I10" si="5">H9+H8</f>
        <v>101777</v>
      </c>
      <c r="I10" s="17">
        <f t="shared" si="5"/>
        <v>742769</v>
      </c>
      <c r="J10" s="16">
        <f>J9+J8</f>
        <v>74291</v>
      </c>
      <c r="K10" s="17">
        <f>K9+K8</f>
        <v>749212</v>
      </c>
      <c r="L10" s="16"/>
      <c r="M10" s="17"/>
      <c r="N10" s="16">
        <f t="shared" ref="N10:Q10" si="6">N9+N8</f>
        <v>74818</v>
      </c>
      <c r="O10" s="17">
        <f t="shared" si="6"/>
        <v>1141984</v>
      </c>
      <c r="P10" s="16">
        <f t="shared" si="6"/>
        <v>137410</v>
      </c>
      <c r="Q10" s="17">
        <f t="shared" si="6"/>
        <v>1507570</v>
      </c>
      <c r="R10" s="16">
        <f>SUM(R8:R9)</f>
        <v>93511</v>
      </c>
      <c r="S10" s="17">
        <f>SUM(S8:S9)</f>
        <v>1051752</v>
      </c>
      <c r="T10" s="16"/>
      <c r="U10" s="17"/>
      <c r="V10" s="16">
        <f>SUM(V8:V9)</f>
        <v>15492</v>
      </c>
      <c r="W10" s="17">
        <f>SUM(W8:W9)</f>
        <v>183767</v>
      </c>
      <c r="X10" s="16">
        <f t="shared" ref="X10:AA10" si="7">X9+X8</f>
        <v>0</v>
      </c>
      <c r="Y10" s="17">
        <f t="shared" si="7"/>
        <v>0</v>
      </c>
      <c r="Z10" s="16">
        <f t="shared" si="7"/>
        <v>31934</v>
      </c>
      <c r="AA10" s="17">
        <f t="shared" si="7"/>
        <v>137619</v>
      </c>
      <c r="AB10" s="16">
        <f t="shared" si="0"/>
        <v>868290</v>
      </c>
      <c r="AC10" s="17">
        <f t="shared" si="1"/>
        <v>9638168</v>
      </c>
    </row>
    <row r="11" spans="1:29">
      <c r="A11" s="4"/>
      <c r="B11" s="22"/>
      <c r="C11" s="23"/>
      <c r="D11" s="22"/>
      <c r="E11" s="23"/>
      <c r="F11" s="22"/>
      <c r="G11" s="23"/>
      <c r="H11" s="22"/>
      <c r="I11" s="23"/>
      <c r="J11" s="22"/>
      <c r="K11" s="23"/>
      <c r="L11" s="22"/>
      <c r="M11" s="23"/>
      <c r="N11" s="22"/>
      <c r="O11" s="23"/>
      <c r="P11" s="22"/>
      <c r="Q11" s="23"/>
      <c r="R11" s="132"/>
      <c r="S11" s="133"/>
      <c r="T11" s="22"/>
      <c r="U11" s="23"/>
      <c r="V11" s="132"/>
      <c r="W11" s="133"/>
      <c r="X11" s="22"/>
      <c r="Y11" s="23"/>
      <c r="Z11" s="22"/>
      <c r="AA11" s="23"/>
      <c r="AB11" s="132">
        <f t="shared" si="0"/>
        <v>0</v>
      </c>
      <c r="AC11" s="133">
        <f t="shared" si="1"/>
        <v>0</v>
      </c>
    </row>
    <row r="12" spans="1:29">
      <c r="A12" s="50" t="s">
        <v>222</v>
      </c>
      <c r="B12" s="47">
        <f>INDEX('[4]Page 5'!$B:$O,MATCH(6310,'[4]Page 5'!$G:$G,0),4)+INDEX('[4]Page 5'!$B:$O,MATCH(6317,'[4]Page 5'!$G:$G,0),4)+INDEX('[4]Page 5'!$B:$O,MATCH(6330,'[4]Page 5'!$G:$G,0),4)</f>
        <v>152530</v>
      </c>
      <c r="C12" s="13">
        <f>INDEX('[4]Page 5'!$B:$O,MATCH(6310,'[4]Page 5'!$G:$G,0),12)+INDEX('[4]Page 5'!$B:$O,MATCH(6317,'[4]Page 5'!$G:$G,0),12)+INDEX('[4]Page 5'!$B:$O,MATCH(6330,'[4]Page 5'!$G:$G,0),12)</f>
        <v>1430558</v>
      </c>
      <c r="D12" s="47">
        <f>INDEX('[5]Page 5'!$B:$O,MATCH(6310,'[5]Page 5'!$G:$G,0),4)+INDEX('[5]Page 5'!$B:$O,MATCH(6317,'[5]Page 5'!$G:$G,0),4)+INDEX('[5]Page 5'!$B:$O,MATCH(6330,'[5]Page 5'!$G:$G,0),4)</f>
        <v>97844</v>
      </c>
      <c r="E12" s="13">
        <f>INDEX('[5]Page 5'!$B:$O,MATCH(6310,'[5]Page 5'!$G:$G,0),12)+INDEX('[5]Page 5'!$B:$O,MATCH(6317,'[5]Page 5'!$G:$G,0),12)+INDEX('[5]Page 5'!$B:$O,MATCH(6330,'[5]Page 5'!$G:$G,0),12)</f>
        <v>924598</v>
      </c>
      <c r="F12" s="47">
        <f>INDEX('[6]Page 5'!$B:$O,MATCH(6310,'[6]Page 5'!$G:$G,0),4)+INDEX('[6]Page 5'!$B:$O,MATCH(6317,'[6]Page 5'!$G:$G,0),4)+INDEX('[6]Page 5'!$B:$O,MATCH(6330,'[6]Page 5'!$G:$G,0),4)</f>
        <v>186201</v>
      </c>
      <c r="G12" s="13">
        <f>INDEX('[6]Page 5'!$B:$O,MATCH(6310,'[6]Page 5'!$G:$G,0),12)+INDEX('[6]Page 5'!$B:$O,MATCH(6317,'[6]Page 5'!$G:$G,0),12)+INDEX('[6]Page 5'!$B:$O,MATCH(6330,'[6]Page 5'!$G:$G,0),12)</f>
        <v>1413867</v>
      </c>
      <c r="H12" s="47">
        <f>'[7]PAGE 2'!$H$8+'[7]PAGE 2'!$H$9</f>
        <v>34626</v>
      </c>
      <c r="I12" s="13">
        <f>'[7]PAGE 2'!$J$8+'[7]PAGE 2'!$J$9</f>
        <v>466436</v>
      </c>
      <c r="J12" s="47">
        <f>'[8]PAGE 2'!$H$8+'[8]PAGE 2'!$H$9</f>
        <v>28186</v>
      </c>
      <c r="K12" s="13">
        <f>'[8]PAGE 2'!$J$8+'[8]PAGE 2'!$J$9</f>
        <v>305337</v>
      </c>
      <c r="L12" s="47"/>
      <c r="M12" s="13"/>
      <c r="N12" s="47">
        <f>'[9]Page 5'!$D$11+'[9]Page 5'!$D$9+'[9]Page 5'!$M11+'[9]Page 5'!$M9</f>
        <v>77947</v>
      </c>
      <c r="O12" s="13">
        <f>'[9]Page 5'!$G$11+'[9]Page 5'!$G$9+'[9]Page 5'!$P11+'[9]Page 5'!$P9</f>
        <v>653672</v>
      </c>
      <c r="P12" s="47">
        <f>'[2]PAGE 4'!$C$26+'[2]PAGE 4'!$C$28</f>
        <v>68022</v>
      </c>
      <c r="Q12" s="13">
        <f>'[2]PAGE 4'!$K$26+'[2]PAGE 4'!$K$28</f>
        <v>788809</v>
      </c>
      <c r="R12" s="47">
        <f>[3]P4!$E$51+[3]P4!$E$55</f>
        <v>40636</v>
      </c>
      <c r="S12" s="13">
        <f>[3]P4!$K$51+[3]P4!$K$55</f>
        <v>413874</v>
      </c>
      <c r="T12" s="47"/>
      <c r="U12" s="13"/>
      <c r="V12" s="47">
        <f>SUM('[10]PAGE 4'!$E$48:$F$48,'[10]PAGE 4'!$E$64:$F$64)</f>
        <v>34879</v>
      </c>
      <c r="W12" s="13">
        <f>SUM('[10]PAGE 4'!$P$48:$Q$48,'[10]PAGE 4'!$P$64:$Q$64)</f>
        <v>193061</v>
      </c>
      <c r="X12" s="47">
        <f>'[11]Page 5'!$D$11+'[11]Page 5'!$D$9+'[11]Page 5'!$M11+'[11]Page 5'!$M9</f>
        <v>0</v>
      </c>
      <c r="Y12" s="13">
        <f>'[11]Page 5'!$G$11+'[11]Page 5'!$G$9+'[11]Page 5'!$P11+'[11]Page 5'!$P9</f>
        <v>0</v>
      </c>
      <c r="Z12" s="47">
        <f>'[12]Page 5'!$D$11+'[12]Page 5'!$D$9+'[12]Page 5'!$M11+'[12]Page 5'!$M9</f>
        <v>35634</v>
      </c>
      <c r="AA12" s="13">
        <f>'[12]Page 5'!$G$11+'[12]Page 5'!$G$9+'[12]Page 5'!$P11+'[12]Page 5'!$P9</f>
        <v>159987</v>
      </c>
      <c r="AB12" s="47">
        <f t="shared" si="0"/>
        <v>756505</v>
      </c>
      <c r="AC12" s="13">
        <f t="shared" si="1"/>
        <v>6750199</v>
      </c>
    </row>
    <row r="13" spans="1:29">
      <c r="A13" s="50" t="s">
        <v>223</v>
      </c>
      <c r="B13" s="47">
        <f>INDEX('[4]Page 5'!$B:$O,MATCH(4280,'[4]Page 5'!$G:$G,0),4)+INDEX('[4]Page 5'!$B:$O,MATCH(4285,'[4]Page 5'!$G:$G,0),4)+INDEX('[4]Page 5'!$B:$O,MATCH(4287,'[4]Page 5'!$G:$G,0),4)+INDEX('[4]Page 5'!$B:$O,MATCH(4289,'[4]Page 5'!$G:$G,0),4)+INDEX('[4]Page 5'!$B:$O,MATCH(4290,'[4]Page 5'!$G:$G,0),4)</f>
        <v>92064</v>
      </c>
      <c r="C13" s="13">
        <f>INDEX('[4]Page 5'!$B:$O,MATCH(4280,'[4]Page 5'!$G:$G,0),12)+INDEX('[4]Page 5'!$B:$O,MATCH(4285,'[4]Page 5'!$G:$G,0),12)+INDEX('[4]Page 5'!$B:$O,MATCH(4287,'[4]Page 5'!$G:$G,0),12)+INDEX('[4]Page 5'!$B:$O,MATCH(4289,'[4]Page 5'!$G:$G,0),12)+INDEX('[4]Page 5'!$B:$O,MATCH(4290,'[4]Page 5'!$G:$G,0),12)</f>
        <v>1269153</v>
      </c>
      <c r="D13" s="47">
        <f>INDEX('[5]Page 5'!$B:$O,MATCH(4280,'[5]Page 5'!$G:$G,0),4)+INDEX('[5]Page 5'!$B:$O,MATCH(4285,'[5]Page 5'!$G:$G,0),4)+INDEX('[5]Page 5'!$B:$O,MATCH(4287,'[5]Page 5'!$G:$G,0),4)+INDEX('[5]Page 5'!$B:$O,MATCH(4289,'[5]Page 5'!$G:$G,0),4)+INDEX('[5]Page 5'!$B:$O,MATCH(4290,'[5]Page 5'!$G:$G,0),4)</f>
        <v>85976</v>
      </c>
      <c r="E13" s="13">
        <f>INDEX('[5]Page 5'!$B:$O,MATCH(4280,'[5]Page 5'!$G:$G,0),12)+INDEX('[5]Page 5'!$B:$O,MATCH(4285,'[5]Page 5'!$G:$G,0),12)+INDEX('[5]Page 5'!$B:$O,MATCH(4287,'[5]Page 5'!$G:$G,0),12)+INDEX('[5]Page 5'!$B:$O,MATCH(4289,'[5]Page 5'!$G:$G,0),12)+INDEX('[5]Page 5'!$B:$O,MATCH(4290,'[5]Page 5'!$G:$G,0),12)</f>
        <v>704862</v>
      </c>
      <c r="F13" s="47">
        <f>INDEX('[6]Page 5'!$B:$O,MATCH(4280,'[6]Page 5'!$G:$G,0),4)+INDEX('[6]Page 5'!$B:$O,MATCH(4285,'[6]Page 5'!$G:$G,0),4)+INDEX('[6]Page 5'!$B:$O,MATCH(4287,'[6]Page 5'!$G:$G,0),4)+INDEX('[6]Page 5'!$B:$O,MATCH(4289,'[6]Page 5'!$G:$G,0),4)+INDEX('[6]Page 5'!$B:$O,MATCH(4290,'[6]Page 5'!$G:$G,0),4)</f>
        <v>113022</v>
      </c>
      <c r="G13" s="13">
        <f>INDEX('[6]Page 5'!$B:$O,MATCH(4280,'[6]Page 5'!$G:$G,0),12)+INDEX('[6]Page 5'!$B:$O,MATCH(4285,'[6]Page 5'!$G:$G,0),12)+INDEX('[6]Page 5'!$B:$O,MATCH(4287,'[6]Page 5'!$G:$G,0),12)+INDEX('[6]Page 5'!$B:$O,MATCH(4289,'[6]Page 5'!$G:$G,0),12)+INDEX('[6]Page 5'!$B:$O,MATCH(4290,'[6]Page 5'!$G:$G,0),12)</f>
        <v>1101799</v>
      </c>
      <c r="H13" s="47">
        <f>'[7]PAGE 2'!$H$10</f>
        <v>60512</v>
      </c>
      <c r="I13" s="13">
        <f>'[7]PAGE 2'!$J$10</f>
        <v>954874</v>
      </c>
      <c r="J13" s="47">
        <f>'[8]PAGE 2'!$H$10</f>
        <v>70098</v>
      </c>
      <c r="K13" s="13">
        <f>'[8]PAGE 2'!$J$10</f>
        <v>764872</v>
      </c>
      <c r="L13" s="47"/>
      <c r="M13" s="13"/>
      <c r="N13" s="47">
        <f>'[9]Page 5'!$D$5+'[9]Page 5'!$M5</f>
        <v>123010</v>
      </c>
      <c r="O13" s="13">
        <f>'[9]Page 5'!$G$5+'[9]Page 5'!$P5</f>
        <v>916561</v>
      </c>
      <c r="P13" s="47">
        <f>'[2]PAGE 4'!$C$31</f>
        <v>48999</v>
      </c>
      <c r="Q13" s="13">
        <f>'[2]PAGE 4'!$K$31</f>
        <v>547501</v>
      </c>
      <c r="R13" s="47">
        <f>[3]P4!$E$61</f>
        <v>63126</v>
      </c>
      <c r="S13" s="13">
        <f>[3]P4!$K$61</f>
        <v>498201</v>
      </c>
      <c r="T13" s="47"/>
      <c r="U13" s="13"/>
      <c r="V13" s="47">
        <f>SUM('[10]PAGE 4'!$E$52:$F$52,'[10]PAGE 4'!$E$67:$F$67)</f>
        <v>28968</v>
      </c>
      <c r="W13" s="13">
        <f>SUM('[10]PAGE 4'!$P$52:$Q$52,'[10]PAGE 4'!$P$67:$Q$67)</f>
        <v>112189</v>
      </c>
      <c r="X13" s="47">
        <f>'[11]Page 5'!$D$5+'[11]Page 5'!$M5</f>
        <v>0</v>
      </c>
      <c r="Y13" s="13">
        <f>'[11]Page 5'!$G$5+'[11]Page 5'!$P5</f>
        <v>0</v>
      </c>
      <c r="Z13" s="47">
        <f>'[12]Page 5'!$D$5+'[12]Page 5'!$M5</f>
        <v>33722</v>
      </c>
      <c r="AA13" s="13">
        <f>'[12]Page 5'!$G$5+'[12]Page 5'!$P5</f>
        <v>156746</v>
      </c>
      <c r="AB13" s="47">
        <f t="shared" si="0"/>
        <v>719497</v>
      </c>
      <c r="AC13" s="13">
        <f t="shared" si="1"/>
        <v>7026758</v>
      </c>
    </row>
    <row r="14" spans="1:29">
      <c r="A14" s="50" t="s">
        <v>224</v>
      </c>
      <c r="B14" s="47">
        <f>INDEX('[4]Page 5'!$B:$O,MATCH(4230,'[4]Page 5'!$G:$G,0),4)+INDEX('[4]Page 5'!$B:$O,MATCH(4237,'[4]Page 5'!$G:$G,0),4)+INDEX('[4]Page 5'!$B:$O,MATCH(4235,'[4]Page 5'!$G:$G,0),4)</f>
        <v>14348</v>
      </c>
      <c r="C14" s="13">
        <f>INDEX('[4]Page 5'!$B:$O,MATCH(4230,'[4]Page 5'!$G:$G,0),12)+INDEX('[4]Page 5'!$B:$O,MATCH(4237,'[4]Page 5'!$G:$G,0),12)+INDEX('[4]Page 5'!$B:$O,MATCH(4235,'[4]Page 5'!$G:$G,0),12)</f>
        <v>71237</v>
      </c>
      <c r="D14" s="47">
        <f>INDEX('[5]Page 5'!$B:$O,MATCH(4230,'[5]Page 5'!$G:$G,0),4)+INDEX('[5]Page 5'!$B:$O,MATCH(4237,'[5]Page 5'!$G:$G,0),4)+INDEX('[5]Page 5'!$B:$O,MATCH(4235,'[5]Page 5'!$G:$G,0),4)</f>
        <v>10162</v>
      </c>
      <c r="E14" s="13">
        <f>INDEX('[5]Page 5'!$B:$O,MATCH(4230,'[5]Page 5'!$G:$G,0),12)+INDEX('[5]Page 5'!$B:$O,MATCH(4237,'[5]Page 5'!$G:$G,0),12)+INDEX('[5]Page 5'!$B:$O,MATCH(4235,'[5]Page 5'!$G:$G,0),12)</f>
        <v>91631</v>
      </c>
      <c r="F14" s="47">
        <f>INDEX('[6]Page 5'!$B:$O,MATCH(4230,'[6]Page 5'!$G:$G,0),4)+INDEX('[6]Page 5'!$B:$O,MATCH(4237,'[6]Page 5'!$G:$G,0),4)+INDEX('[6]Page 5'!$B:$O,MATCH(4235,'[6]Page 5'!$G:$G,0),4)</f>
        <v>16112</v>
      </c>
      <c r="G14" s="13">
        <f>INDEX('[6]Page 5'!$B:$O,MATCH(4230,'[6]Page 5'!$G:$G,0),12)+INDEX('[6]Page 5'!$B:$O,MATCH(4237,'[6]Page 5'!$G:$G,0),12)+INDEX('[6]Page 5'!$B:$O,MATCH(4235,'[6]Page 5'!$G:$G,0),12)</f>
        <v>74690</v>
      </c>
      <c r="H14" s="47"/>
      <c r="I14" s="13"/>
      <c r="J14" s="47"/>
      <c r="K14" s="13"/>
      <c r="L14" s="47"/>
      <c r="M14" s="13"/>
      <c r="N14" s="47">
        <f>'[9]Page 5'!$D7+'[9]Page 5'!$M7</f>
        <v>21565</v>
      </c>
      <c r="O14" s="13">
        <f>'[9]Page 5'!$G7+'[9]Page 5'!$P7</f>
        <v>211239</v>
      </c>
      <c r="P14" s="47"/>
      <c r="Q14" s="13"/>
      <c r="R14" s="47"/>
      <c r="S14" s="13"/>
      <c r="T14" s="47"/>
      <c r="U14" s="13"/>
      <c r="V14" s="47">
        <f>SUM('[10]PAGE 4'!$E$51:$F$51)</f>
        <v>0</v>
      </c>
      <c r="W14" s="13">
        <f>SUM('[10]PAGE 4'!$P$51:$Q$51)</f>
        <v>0</v>
      </c>
      <c r="X14" s="47">
        <f>'[11]Page 5'!$D7+'[11]Page 5'!$M7</f>
        <v>0</v>
      </c>
      <c r="Y14" s="13">
        <f>'[11]Page 5'!$G7+'[11]Page 5'!$P7</f>
        <v>0</v>
      </c>
      <c r="Z14" s="47">
        <f>'[12]Page 5'!$D7+'[12]Page 5'!$M7</f>
        <v>884</v>
      </c>
      <c r="AA14" s="13">
        <f>'[12]Page 5'!$G7+'[12]Page 5'!$P7</f>
        <v>4396</v>
      </c>
      <c r="AB14" s="47">
        <f t="shared" si="0"/>
        <v>63071</v>
      </c>
      <c r="AC14" s="13">
        <f t="shared" si="1"/>
        <v>453193</v>
      </c>
    </row>
    <row r="15" spans="1:29">
      <c r="A15" s="50" t="s">
        <v>225</v>
      </c>
      <c r="B15" s="47">
        <f>INDEX('[4]Page 5'!$B:$O,MATCH(4260,'[4]Page 5'!$G:$G,0),4)+INDEX('[4]Page 5'!$B:$O,MATCH(4267,'[4]Page 5'!$G:$G,0),4)+INDEX('[4]Page 5'!$B:$O,MATCH(4270,'[4]Page 5'!$G:$G,0),4)</f>
        <v>48915</v>
      </c>
      <c r="C15" s="13">
        <f>INDEX('[4]Page 5'!$B:$O,MATCH(4260,'[4]Page 5'!$G:$G,0),12)+INDEX('[4]Page 5'!$B:$O,MATCH(4267,'[4]Page 5'!$G:$G,0),12)+INDEX('[4]Page 5'!$B:$O,MATCH(4270,'[4]Page 5'!$G:$G,0),12)</f>
        <v>601230</v>
      </c>
      <c r="D15" s="47">
        <f>INDEX('[5]Page 5'!$B:$O,MATCH(4260,'[5]Page 5'!$G:$G,0),4)+INDEX('[5]Page 5'!$B:$O,MATCH(4267,'[5]Page 5'!$G:$G,0),4)+INDEX('[5]Page 5'!$B:$O,MATCH(4270,'[5]Page 5'!$G:$G,0),4)</f>
        <v>15676</v>
      </c>
      <c r="E15" s="13">
        <f>INDEX('[5]Page 5'!$B:$O,MATCH(4260,'[5]Page 5'!$G:$G,0),12)+INDEX('[5]Page 5'!$B:$O,MATCH(4267,'[5]Page 5'!$G:$G,0),12)+INDEX('[5]Page 5'!$B:$O,MATCH(4270,'[5]Page 5'!$G:$G,0),12)</f>
        <v>168675</v>
      </c>
      <c r="F15" s="47">
        <f>INDEX('[6]Page 5'!$B:$O,MATCH(4260,'[6]Page 5'!$G:$G,0),4)+INDEX('[6]Page 5'!$B:$O,MATCH(4267,'[6]Page 5'!$G:$G,0),4)+INDEX('[6]Page 5'!$B:$O,MATCH(4270,'[6]Page 5'!$G:$G,0),4)</f>
        <v>21697</v>
      </c>
      <c r="G15" s="13">
        <f>INDEX('[6]Page 5'!$B:$O,MATCH(4260,'[6]Page 5'!$G:$G,0),12)+INDEX('[6]Page 5'!$B:$O,MATCH(4267,'[6]Page 5'!$G:$G,0),12)+INDEX('[6]Page 5'!$B:$O,MATCH(4270,'[6]Page 5'!$G:$G,0),12)</f>
        <v>246659</v>
      </c>
      <c r="H15" s="47">
        <f>'[7]PAGE 2'!$H11</f>
        <v>7758</v>
      </c>
      <c r="I15" s="13">
        <f>'[7]PAGE 2'!$J11</f>
        <v>130686</v>
      </c>
      <c r="J15" s="47">
        <f>'[8]PAGE 2'!$H11</f>
        <v>6468</v>
      </c>
      <c r="K15" s="13">
        <f>'[8]PAGE 2'!$J11</f>
        <v>91887</v>
      </c>
      <c r="L15" s="47"/>
      <c r="M15" s="13"/>
      <c r="N15" s="47">
        <f>'[9]Page 5'!$D13+'[9]Page 5'!$M13</f>
        <v>23204</v>
      </c>
      <c r="O15" s="13">
        <f>'[9]Page 5'!$G13+'[9]Page 5'!$P13</f>
        <v>170134</v>
      </c>
      <c r="P15" s="47">
        <f>'[2]PAGE 4'!$C$29</f>
        <v>0</v>
      </c>
      <c r="Q15" s="13">
        <f>'[2]PAGE 4'!$K$29</f>
        <v>0</v>
      </c>
      <c r="R15" s="47">
        <f>[3]P4!$E$57</f>
        <v>14280</v>
      </c>
      <c r="S15" s="13">
        <f>[3]P4!$K$57</f>
        <v>145178</v>
      </c>
      <c r="T15" s="47"/>
      <c r="U15" s="13"/>
      <c r="V15" s="47">
        <f>SUM('[10]PAGE 4'!$E$50:$F$50,'[10]PAGE 4'!$E$66:$F$66)</f>
        <v>8094</v>
      </c>
      <c r="W15" s="13">
        <f>SUM('[10]PAGE 4'!$P$50:$Q$50,'[10]PAGE 4'!$P$66:$Q$66)</f>
        <v>47413</v>
      </c>
      <c r="X15" s="47">
        <f>'[11]Page 5'!$D13+'[11]Page 5'!$M13</f>
        <v>0</v>
      </c>
      <c r="Y15" s="13">
        <f>'[11]Page 5'!$G13+'[11]Page 5'!$P13</f>
        <v>0</v>
      </c>
      <c r="Z15" s="47">
        <f>'[12]Page 5'!$D13+'[12]Page 5'!$M13</f>
        <v>13607</v>
      </c>
      <c r="AA15" s="13">
        <f>'[12]Page 5'!$G13+'[12]Page 5'!$P13</f>
        <v>66447</v>
      </c>
      <c r="AB15" s="47">
        <f t="shared" si="0"/>
        <v>159699</v>
      </c>
      <c r="AC15" s="13">
        <f t="shared" si="1"/>
        <v>1668309</v>
      </c>
    </row>
    <row r="16" spans="1:29">
      <c r="A16" s="50" t="s">
        <v>226</v>
      </c>
      <c r="B16" s="47">
        <f>INDEX('[4]Page 5'!$B:$O,MATCH(4210,'[4]Page 5'!$G:$G,0),4)+INDEX('[4]Page 5'!$B:$O,MATCH(4217,'[4]Page 5'!$G:$G,0),4)+INDEX('[4]Page 5'!$B:$O,MATCH(4250,'[4]Page 5'!$G:$G,0),4)-INDEX('[4]Page 5'!$B:$O,MATCH(6320,'[4]Page 5'!$G:$G,0),4)-INDEX('[4]Page 5'!$B:$O,MATCH(6350,'[4]Page 5'!$G:$G,0),4)</f>
        <v>46246</v>
      </c>
      <c r="C16" s="13">
        <f>INDEX('[4]Page 5'!$B:$O,MATCH(4210,'[4]Page 5'!$G:$G,0),12)+INDEX('[4]Page 5'!$B:$O,MATCH(4217,'[4]Page 5'!$G:$G,0),12)+INDEX('[4]Page 5'!$B:$O,MATCH(4250,'[4]Page 5'!$G:$G,0),12)-INDEX('[4]Page 5'!$B:$O,MATCH(6320,'[4]Page 5'!$G:$G,0),12)-INDEX('[4]Page 5'!$B:$O,MATCH(6350,'[4]Page 5'!$G:$G,0),12)</f>
        <v>502043</v>
      </c>
      <c r="D16" s="47">
        <f>INDEX('[5]Page 5'!$B:$O,MATCH(4210,'[5]Page 5'!$G:$G,0),4)+INDEX('[5]Page 5'!$B:$O,MATCH(4217,'[5]Page 5'!$G:$G,0),4)+INDEX('[5]Page 5'!$B:$O,MATCH(4250,'[5]Page 5'!$G:$G,0),4)-INDEX('[5]Page 5'!$B:$O,MATCH(6320,'[5]Page 5'!$G:$G,0),4)-INDEX('[5]Page 5'!$B:$O,MATCH(6350,'[5]Page 5'!$G:$G,0),4)</f>
        <v>29817</v>
      </c>
      <c r="E16" s="13">
        <f>INDEX('[5]Page 5'!$B:$O,MATCH(4210,'[5]Page 5'!$G:$G,0),12)+INDEX('[5]Page 5'!$B:$O,MATCH(4217,'[5]Page 5'!$G:$G,0),12)+INDEX('[5]Page 5'!$B:$O,MATCH(4250,'[5]Page 5'!$G:$G,0),12)-INDEX('[5]Page 5'!$B:$O,MATCH(6320,'[5]Page 5'!$G:$G,0),12)-INDEX('[5]Page 5'!$B:$O,MATCH(6350,'[5]Page 5'!$G:$G,0),12)</f>
        <v>355788</v>
      </c>
      <c r="F16" s="47">
        <f>INDEX('[6]Page 5'!$B:$O,MATCH(4210,'[6]Page 5'!$G:$G,0),4)+INDEX('[6]Page 5'!$B:$O,MATCH(4217,'[6]Page 5'!$G:$G,0),4)+INDEX('[6]Page 5'!$B:$O,MATCH(4250,'[6]Page 5'!$G:$G,0),4)-INDEX('[6]Page 5'!$B:$O,MATCH(6320,'[6]Page 5'!$G:$G,0),4)-INDEX('[6]Page 5'!$B:$O,MATCH(6350,'[6]Page 5'!$G:$G,0),4)</f>
        <v>30450</v>
      </c>
      <c r="G16" s="13">
        <f>INDEX('[6]Page 5'!$B:$O,MATCH(4210,'[6]Page 5'!$G:$G,0),12)+INDEX('[6]Page 5'!$B:$O,MATCH(4217,'[6]Page 5'!$G:$G,0),12)+INDEX('[6]Page 5'!$B:$O,MATCH(4250,'[6]Page 5'!$G:$G,0),12)-INDEX('[6]Page 5'!$B:$O,MATCH(6320,'[6]Page 5'!$G:$G,0),12)-INDEX('[6]Page 5'!$B:$O,MATCH(6350,'[6]Page 5'!$G:$G,0),12)</f>
        <v>225804</v>
      </c>
      <c r="H16" s="47">
        <f>'[7]PAGE 2'!$H13</f>
        <v>0</v>
      </c>
      <c r="I16" s="13">
        <f>'[7]PAGE 2'!$J13</f>
        <v>0</v>
      </c>
      <c r="J16" s="47">
        <f>'[8]PAGE 2'!$H13</f>
        <v>0</v>
      </c>
      <c r="K16" s="13">
        <f>'[8]PAGE 2'!$J13</f>
        <v>0</v>
      </c>
      <c r="L16" s="47"/>
      <c r="M16" s="13"/>
      <c r="N16" s="47">
        <f>'[9]Page 5'!$D$15+'[9]Page 5'!$D$17+'[9]Page 5'!$D$20+'[9]Page 5'!$M15+'[9]Page 5'!$M17+'[9]Page 5'!$M20</f>
        <v>35690</v>
      </c>
      <c r="O16" s="13">
        <f>'[9]Page 5'!$G15+'[9]Page 5'!$G17+'[9]Page 5'!$G20+'[9]Page 5'!$P15+'[9]Page 5'!$P17+'[9]Page 5'!$P20</f>
        <v>280130</v>
      </c>
      <c r="P16" s="47">
        <f>'[2]PAGE 4'!$C$33+'[2]PAGE 4'!$C$34</f>
        <v>9104</v>
      </c>
      <c r="Q16" s="13">
        <f>'[2]PAGE 4'!$K$33+'[2]PAGE 4'!$K$34</f>
        <v>127102</v>
      </c>
      <c r="R16" s="47">
        <f>[3]P4!$E$65</f>
        <v>29638</v>
      </c>
      <c r="S16" s="13">
        <f>[3]P4!$K$65</f>
        <v>246661</v>
      </c>
      <c r="T16" s="47"/>
      <c r="U16" s="13"/>
      <c r="V16" s="47">
        <f>SUM('[10]PAGE 4'!$E$49:$F$49,'[10]PAGE 4'!$E$65:$F$65,'[10]PAGE 4'!$E$54:$F$54,'[10]PAGE 4'!$E$56:$F$56)</f>
        <v>4398</v>
      </c>
      <c r="W16" s="13">
        <f>SUM('[10]PAGE 4'!$P$49:$Q$49,'[10]PAGE 4'!$P$65:$Q$65,'[10]PAGE 4'!$P$54:$Q$54,'[10]PAGE 4'!$P$56:$Q$56)</f>
        <v>21274</v>
      </c>
      <c r="X16" s="47">
        <f>'[11]Page 5'!$D$15+'[11]Page 5'!$D$17+'[11]Page 5'!$D$20+'[11]Page 5'!$M15+'[11]Page 5'!$M17+'[11]Page 5'!$M20</f>
        <v>0</v>
      </c>
      <c r="Y16" s="13">
        <f>'[11]Page 5'!$G15+'[11]Page 5'!$G17+'[11]Page 5'!$G20+'[11]Page 5'!$P15+'[11]Page 5'!$P17+'[11]Page 5'!$P20</f>
        <v>0</v>
      </c>
      <c r="Z16" s="47">
        <f>'[12]Page 5'!$D$15+'[12]Page 5'!$D$17+'[12]Page 5'!$D$20+'[12]Page 5'!$M15+'[12]Page 5'!$M17+'[12]Page 5'!$M20</f>
        <v>7747</v>
      </c>
      <c r="AA16" s="13">
        <f>'[12]Page 5'!$G15+'[12]Page 5'!$G17+'[12]Page 5'!$G20+'[12]Page 5'!$P15+'[12]Page 5'!$P17+'[12]Page 5'!$P20</f>
        <v>36061</v>
      </c>
      <c r="AB16" s="47">
        <f t="shared" si="0"/>
        <v>193090</v>
      </c>
      <c r="AC16" s="13">
        <f t="shared" si="1"/>
        <v>1794863</v>
      </c>
    </row>
    <row r="17" spans="1:29">
      <c r="A17" s="49" t="s">
        <v>228</v>
      </c>
      <c r="B17" s="47">
        <f>-(INDEX('[4]Page 5'!$B:$O,MATCH(6340,'[4]Page 5'!$G:$G,0),4)+INDEX('[4]Page 5'!$B:$O,MATCH(6347,'[4]Page 5'!$G:$G,0),4)+INDEX('[4]Page 5'!$B:$O,MATCH(6345,'[4]Page 5'!$G:$G,0),4))</f>
        <v>-51416</v>
      </c>
      <c r="C17" s="13">
        <f>-(INDEX('[4]Page 5'!$B:$O,MATCH(6340,'[4]Page 5'!$G:$G,0),12)+INDEX('[4]Page 5'!$B:$O,MATCH(6347,'[4]Page 5'!$G:$G,0),12)+INDEX('[4]Page 5'!$B:$O,MATCH(6345,'[4]Page 5'!$G:$G,0),12))</f>
        <v>-560012</v>
      </c>
      <c r="D17" s="47">
        <f>-(INDEX('[5]Page 5'!$B:$O,MATCH(6340,'[5]Page 5'!$G:$G,0),4)+INDEX('[5]Page 5'!$B:$O,MATCH(6347,'[5]Page 5'!$G:$G,0),4)+INDEX('[5]Page 5'!$B:$O,MATCH(6345,'[5]Page 5'!$G:$G,0),4))</f>
        <v>-29899</v>
      </c>
      <c r="E17" s="13">
        <f>-(INDEX('[5]Page 5'!$B:$O,MATCH(6340,'[5]Page 5'!$G:$G,0),12)+INDEX('[5]Page 5'!$B:$O,MATCH(6347,'[5]Page 5'!$G:$G,0),12)+INDEX('[5]Page 5'!$B:$O,MATCH(6345,'[5]Page 5'!$G:$G,0),12))</f>
        <v>-181268</v>
      </c>
      <c r="F17" s="47">
        <f>-(INDEX('[6]Page 5'!$B:$O,MATCH(6340,'[6]Page 5'!$G:$G,0),4)+INDEX('[6]Page 5'!$B:$O,MATCH(6347,'[6]Page 5'!$G:$G,0),4)+INDEX('[6]Page 5'!$B:$O,MATCH(6345,'[6]Page 5'!$G:$G,0),4))</f>
        <v>-37064</v>
      </c>
      <c r="G17" s="13">
        <f>-(INDEX('[6]Page 5'!$B:$O,MATCH(6340,'[6]Page 5'!$G:$G,0),12)+INDEX('[6]Page 5'!$B:$O,MATCH(6347,'[6]Page 5'!$G:$G,0),12)+INDEX('[6]Page 5'!$B:$O,MATCH(6345,'[6]Page 5'!$G:$G,0),12))</f>
        <v>-393603</v>
      </c>
      <c r="H17" s="47">
        <f>'[7]PAGE 2'!$H12</f>
        <v>-8681</v>
      </c>
      <c r="I17" s="13">
        <f>'[7]PAGE 2'!$J12</f>
        <v>-177435</v>
      </c>
      <c r="J17" s="47">
        <f>'[8]PAGE 2'!$H12</f>
        <v>-5957</v>
      </c>
      <c r="K17" s="13">
        <f>'[8]PAGE 2'!$J12</f>
        <v>-97726</v>
      </c>
      <c r="L17" s="47"/>
      <c r="M17" s="118"/>
      <c r="N17" s="119">
        <f>'[9]Page 5'!$D$6-'[9]Page 5'!$D$5+'[9]Page 5'!$D$8-'[9]Page 5'!$D$7+'[9]Page 5'!$D$10-'[9]Page 5'!$D$9+'[9]Page 5'!$D$12-'[9]Page 5'!$D$11+'[9]Page 5'!$D$14-'[9]Page 5'!$D$13+'[9]Page 5'!$D$16-'[9]Page 5'!$D$15+'[9]Page 5'!$D$18-'[9]Page 5'!$D$17+'[9]Page 5'!$M$6-'[9]Page 5'!$M$5+'[9]Page 5'!$M$8-'[9]Page 5'!$M$7+'[9]Page 5'!$M$10-'[9]Page 5'!$M$9+'[9]Page 5'!$M$12-'[9]Page 5'!$M$11+'[9]Page 5'!$M$14-'[9]Page 5'!$M$13+'[9]Page 5'!$M$16-'[9]Page 5'!$M$15+'[9]Page 5'!$M$18-'[9]Page 5'!$M$17</f>
        <v>-20863</v>
      </c>
      <c r="O17" s="1">
        <f>'[9]Page 5'!$G$6-'[9]Page 5'!$G$5+'[9]Page 5'!$G$8-'[9]Page 5'!$G$7+'[9]Page 5'!$G$10-'[9]Page 5'!$G$9+'[9]Page 5'!$G$12-'[9]Page 5'!$G$11+'[9]Page 5'!$G$14-'[9]Page 5'!$G$13+'[9]Page 5'!$G$16-'[9]Page 5'!$G$15+'[9]Page 5'!$G$18-'[9]Page 5'!$G$17+'[9]Page 5'!$P$6-'[9]Page 5'!$P$5+'[9]Page 5'!$P$8-'[9]Page 5'!$P$7+'[9]Page 5'!$P$10-'[9]Page 5'!$P$9+'[9]Page 5'!$P$12-'[9]Page 5'!$P$11+'[9]Page 5'!$P$14-'[9]Page 5'!$P$13+'[9]Page 5'!$P$16-'[9]Page 5'!$P$15+'[9]Page 5'!$P$18-'[9]Page 5'!$P$17</f>
        <v>-221049</v>
      </c>
      <c r="P17" s="47">
        <f>'[2]PAGE 4'!$C$27+'[2]PAGE 4'!$C$30+'[2]PAGE 4'!$C$32</f>
        <v>-21310</v>
      </c>
      <c r="Q17" s="13">
        <f>'[2]PAGE 4'!$K$27+'[2]PAGE 4'!$K$30+'[2]PAGE 4'!$K$32</f>
        <v>-259719</v>
      </c>
      <c r="R17" s="47">
        <f>-([3]P4!$E$53+[3]P4!$E$63+[3]P4!$E$59)</f>
        <v>-1110</v>
      </c>
      <c r="S17" s="13">
        <f>-(IFERROR([3]P4!$K$53,0)+[3]P4!$K$63+[3]P4!$K$59)</f>
        <v>-64294</v>
      </c>
      <c r="T17" s="47"/>
      <c r="U17" s="13"/>
      <c r="V17" s="119">
        <f>SUM('[10]PAGE 4'!$E$55:$F$55,'[10]PAGE 4'!$E$69:$F$69)</f>
        <v>-1064</v>
      </c>
      <c r="W17" s="13">
        <f>SUM('[10]PAGE 4'!$P$55:$Q$55,'[10]PAGE 4'!$P$69:$Q$69)</f>
        <v>-13229</v>
      </c>
      <c r="X17" s="119">
        <f>'[11]Page 5'!$D$6-'[11]Page 5'!$D$5+'[11]Page 5'!$D$8-'[11]Page 5'!$D$7+'[11]Page 5'!$D$10-'[11]Page 5'!$D$9+'[11]Page 5'!$D$12-'[11]Page 5'!$D$11+'[11]Page 5'!$D$14-'[11]Page 5'!$D$13+'[11]Page 5'!$D$16-'[11]Page 5'!$D$15+'[11]Page 5'!$D$18-'[11]Page 5'!$D$17+'[11]Page 5'!$M$6-'[11]Page 5'!$M$5+'[11]Page 5'!$M$8-'[11]Page 5'!$M$7+'[11]Page 5'!$M$10-'[11]Page 5'!$M$9+'[11]Page 5'!$M$12-'[11]Page 5'!$M$11+'[11]Page 5'!$M$14-'[11]Page 5'!$M$13+'[11]Page 5'!$M$16-'[11]Page 5'!$M$15+'[11]Page 5'!$M$18-'[11]Page 5'!$M$17</f>
        <v>0</v>
      </c>
      <c r="Y17" s="1">
        <f>'[11]Page 5'!$G$6-'[11]Page 5'!$G$5+'[11]Page 5'!$G$8-'[11]Page 5'!$G$7+'[11]Page 5'!$G$10-'[11]Page 5'!$G$9+'[11]Page 5'!$G$12-'[11]Page 5'!$G$11+'[11]Page 5'!$G$14-'[11]Page 5'!$G$13+'[11]Page 5'!$G$16-'[11]Page 5'!$G$15+'[11]Page 5'!$G$18-'[11]Page 5'!$G$17+'[11]Page 5'!$P$6-'[11]Page 5'!$P$5+'[11]Page 5'!$P$8-'[11]Page 5'!$P$7+'[11]Page 5'!$P$10-'[11]Page 5'!$P$9+'[11]Page 5'!$P$12-'[11]Page 5'!$P$11+'[11]Page 5'!$P$14-'[11]Page 5'!$P$13+'[11]Page 5'!$P$16-'[11]Page 5'!$P$15+'[11]Page 5'!$P$18-'[11]Page 5'!$P$17</f>
        <v>0</v>
      </c>
      <c r="Z17" s="119">
        <f>'[12]Page 5'!$D$6-'[12]Page 5'!$D$5+'[12]Page 5'!$D$8-'[12]Page 5'!$D$7+'[12]Page 5'!$D$10-'[12]Page 5'!$D$9+'[12]Page 5'!$D$12-'[12]Page 5'!$D$11+'[12]Page 5'!$D$14-'[12]Page 5'!$D$13+'[12]Page 5'!$D$16-'[12]Page 5'!$D$15+'[12]Page 5'!$D$18-'[12]Page 5'!$D$17+'[12]Page 5'!$M$6-'[12]Page 5'!$M$5+'[12]Page 5'!$M$8-'[12]Page 5'!$M$7+'[12]Page 5'!$M$10-'[12]Page 5'!$M$9+'[12]Page 5'!$M$12-'[12]Page 5'!$M$11+'[12]Page 5'!$M$14-'[12]Page 5'!$M$13+'[12]Page 5'!$M$16-'[12]Page 5'!$M$15+'[12]Page 5'!$M$18-'[12]Page 5'!$M$17</f>
        <v>-3019</v>
      </c>
      <c r="AA17" s="1">
        <f>'[12]Page 5'!$G$6-'[12]Page 5'!$G$5+'[12]Page 5'!$G$8-'[12]Page 5'!$G$7+'[12]Page 5'!$G$10-'[12]Page 5'!$G$9+'[12]Page 5'!$G$12-'[12]Page 5'!$G$11+'[12]Page 5'!$G$14-'[12]Page 5'!$G$13+'[12]Page 5'!$G$16-'[12]Page 5'!$G$15+'[12]Page 5'!$G$18-'[12]Page 5'!$G$17+'[12]Page 5'!$P$6-'[12]Page 5'!$P$5+'[12]Page 5'!$P$8-'[12]Page 5'!$P$7+'[12]Page 5'!$P$10-'[12]Page 5'!$P$9+'[12]Page 5'!$P$12-'[12]Page 5'!$P$11+'[12]Page 5'!$P$14-'[12]Page 5'!$P$13+'[12]Page 5'!$P$16-'[12]Page 5'!$P$15+'[12]Page 5'!$P$18-'[12]Page 5'!$P$17</f>
        <v>-11397</v>
      </c>
      <c r="AB17" s="119">
        <f t="shared" si="0"/>
        <v>-180383</v>
      </c>
      <c r="AC17" s="13">
        <f t="shared" si="1"/>
        <v>-1979732</v>
      </c>
    </row>
    <row r="18" spans="1:29" s="123" customFormat="1">
      <c r="A18" s="122"/>
      <c r="B18" s="24"/>
      <c r="C18" s="25"/>
      <c r="D18" s="24"/>
      <c r="E18" s="25"/>
      <c r="F18" s="24"/>
      <c r="G18" s="25"/>
      <c r="H18" s="24"/>
      <c r="I18" s="25"/>
      <c r="J18" s="24"/>
      <c r="K18" s="25"/>
      <c r="L18" s="24"/>
      <c r="M18" s="25"/>
      <c r="N18" s="24"/>
      <c r="O18" s="25"/>
      <c r="P18" s="24"/>
      <c r="Q18" s="25"/>
      <c r="R18" s="24"/>
      <c r="S18" s="25"/>
      <c r="T18" s="24"/>
      <c r="U18" s="25"/>
      <c r="V18" s="24"/>
      <c r="W18" s="25"/>
      <c r="X18" s="24"/>
      <c r="Y18" s="25"/>
      <c r="Z18" s="24"/>
      <c r="AA18" s="25"/>
      <c r="AB18" s="24">
        <f t="shared" si="0"/>
        <v>0</v>
      </c>
      <c r="AC18" s="25">
        <f t="shared" si="1"/>
        <v>0</v>
      </c>
    </row>
    <row r="19" spans="1:29">
      <c r="A19" s="48" t="s">
        <v>219</v>
      </c>
      <c r="B19" s="16">
        <f t="shared" ref="B19:C19" si="8">SUM(B12:B17)</f>
        <v>302687</v>
      </c>
      <c r="C19" s="17">
        <f t="shared" si="8"/>
        <v>3314209</v>
      </c>
      <c r="D19" s="16">
        <f t="shared" ref="D19:E19" si="9">SUM(D12:D17)</f>
        <v>209576</v>
      </c>
      <c r="E19" s="17">
        <f t="shared" si="9"/>
        <v>2064286</v>
      </c>
      <c r="F19" s="16">
        <f t="shared" ref="F19:G19" si="10">SUM(F12:F17)</f>
        <v>330418</v>
      </c>
      <c r="G19" s="17">
        <f t="shared" si="10"/>
        <v>2669216</v>
      </c>
      <c r="H19" s="16">
        <f t="shared" ref="H19:K19" si="11">SUM(H12:H17)</f>
        <v>94215</v>
      </c>
      <c r="I19" s="17">
        <f t="shared" si="11"/>
        <v>1374561</v>
      </c>
      <c r="J19" s="16">
        <f t="shared" si="11"/>
        <v>98795</v>
      </c>
      <c r="K19" s="17">
        <f t="shared" si="11"/>
        <v>1064370</v>
      </c>
      <c r="L19" s="16"/>
      <c r="M19" s="17"/>
      <c r="N19" s="16">
        <f t="shared" ref="N19:Q19" si="12">SUM(N12:N17)</f>
        <v>260553</v>
      </c>
      <c r="O19" s="17">
        <f t="shared" si="12"/>
        <v>2010687</v>
      </c>
      <c r="P19" s="16">
        <f t="shared" si="12"/>
        <v>104815</v>
      </c>
      <c r="Q19" s="17">
        <f t="shared" si="12"/>
        <v>1203693</v>
      </c>
      <c r="R19" s="16">
        <f>SUM(R11:R17)</f>
        <v>146570</v>
      </c>
      <c r="S19" s="17">
        <f>SUM(S11:S17)</f>
        <v>1239620</v>
      </c>
      <c r="T19" s="16"/>
      <c r="U19" s="17"/>
      <c r="V19" s="16">
        <f>SUM(V11:V17)</f>
        <v>75275</v>
      </c>
      <c r="W19" s="17">
        <f>SUM(W11:W17)</f>
        <v>360708</v>
      </c>
      <c r="X19" s="16">
        <f t="shared" ref="X19:AA19" si="13">SUM(X12:X17)</f>
        <v>0</v>
      </c>
      <c r="Y19" s="17">
        <f t="shared" si="13"/>
        <v>0</v>
      </c>
      <c r="Z19" s="16">
        <f t="shared" si="13"/>
        <v>88575</v>
      </c>
      <c r="AA19" s="17">
        <f t="shared" si="13"/>
        <v>412240</v>
      </c>
      <c r="AB19" s="16">
        <f t="shared" si="0"/>
        <v>1711479</v>
      </c>
      <c r="AC19" s="17">
        <f t="shared" si="1"/>
        <v>15713590</v>
      </c>
    </row>
    <row r="20" spans="1:29">
      <c r="A20" s="4"/>
      <c r="B20" s="24"/>
      <c r="C20" s="25"/>
      <c r="D20" s="24"/>
      <c r="E20" s="25"/>
      <c r="F20" s="24"/>
      <c r="G20" s="25"/>
      <c r="H20" s="24"/>
      <c r="I20" s="25"/>
      <c r="J20" s="24"/>
      <c r="K20" s="25"/>
      <c r="L20" s="24"/>
      <c r="M20" s="25"/>
      <c r="N20" s="24"/>
      <c r="O20" s="25"/>
      <c r="P20" s="24"/>
      <c r="Q20" s="25"/>
      <c r="R20" s="24"/>
      <c r="S20" s="25"/>
      <c r="T20" s="24"/>
      <c r="U20" s="25"/>
      <c r="V20" s="24"/>
      <c r="W20" s="25"/>
      <c r="X20" s="24"/>
      <c r="Y20" s="25"/>
      <c r="Z20" s="24"/>
      <c r="AA20" s="25"/>
      <c r="AB20" s="24">
        <f t="shared" si="0"/>
        <v>0</v>
      </c>
      <c r="AC20" s="25">
        <f t="shared" si="1"/>
        <v>0</v>
      </c>
    </row>
    <row r="21" spans="1:29">
      <c r="A21" s="12" t="s">
        <v>1</v>
      </c>
      <c r="B21" s="20">
        <f t="shared" ref="B21:C21" si="14">B10+B19</f>
        <v>521453</v>
      </c>
      <c r="C21" s="21">
        <f t="shared" si="14"/>
        <v>5764767</v>
      </c>
      <c r="D21" s="20">
        <f t="shared" ref="D21:E21" si="15">D10+D19</f>
        <v>216553</v>
      </c>
      <c r="E21" s="21">
        <f t="shared" si="15"/>
        <v>2718467</v>
      </c>
      <c r="F21" s="20">
        <f t="shared" ref="F21:G21" si="16">F10+F19</f>
        <v>443732</v>
      </c>
      <c r="G21" s="21">
        <f t="shared" si="16"/>
        <v>3687972</v>
      </c>
      <c r="H21" s="20">
        <f t="shared" ref="H21:I21" si="17">H10+H19</f>
        <v>195992</v>
      </c>
      <c r="I21" s="21">
        <f t="shared" si="17"/>
        <v>2117330</v>
      </c>
      <c r="J21" s="20">
        <f>J10+J19</f>
        <v>173086</v>
      </c>
      <c r="K21" s="21">
        <f>K10+K19</f>
        <v>1813582</v>
      </c>
      <c r="L21" s="20"/>
      <c r="M21" s="21"/>
      <c r="N21" s="20">
        <f t="shared" ref="N21:Q21" si="18">N10+N19</f>
        <v>335371</v>
      </c>
      <c r="O21" s="21">
        <f t="shared" si="18"/>
        <v>3152671</v>
      </c>
      <c r="P21" s="20">
        <f t="shared" si="18"/>
        <v>242225</v>
      </c>
      <c r="Q21" s="21">
        <f t="shared" si="18"/>
        <v>2711263</v>
      </c>
      <c r="R21" s="20">
        <f t="shared" ref="R21:AA21" si="19">R10+R19</f>
        <v>240081</v>
      </c>
      <c r="S21" s="21">
        <f t="shared" si="19"/>
        <v>2291372</v>
      </c>
      <c r="T21" s="20">
        <f t="shared" si="19"/>
        <v>0</v>
      </c>
      <c r="U21" s="21">
        <f t="shared" si="19"/>
        <v>0</v>
      </c>
      <c r="V21" s="20">
        <f t="shared" si="19"/>
        <v>90767</v>
      </c>
      <c r="W21" s="21">
        <f t="shared" si="19"/>
        <v>544475</v>
      </c>
      <c r="X21" s="20">
        <f t="shared" si="19"/>
        <v>0</v>
      </c>
      <c r="Y21" s="21">
        <f t="shared" si="19"/>
        <v>0</v>
      </c>
      <c r="Z21" s="20">
        <f t="shared" si="19"/>
        <v>120509</v>
      </c>
      <c r="AA21" s="21">
        <f t="shared" si="19"/>
        <v>549859</v>
      </c>
      <c r="AB21" s="20">
        <f t="shared" si="0"/>
        <v>2579769</v>
      </c>
      <c r="AC21" s="21">
        <f t="shared" si="1"/>
        <v>25351758</v>
      </c>
    </row>
    <row r="22" spans="1:29">
      <c r="B22" s="47"/>
      <c r="C22" s="13"/>
      <c r="D22" s="47"/>
      <c r="E22" s="13"/>
      <c r="F22" s="47"/>
      <c r="G22" s="13"/>
      <c r="H22" s="47"/>
      <c r="I22" s="13"/>
      <c r="J22" s="47"/>
      <c r="K22" s="13"/>
      <c r="L22" s="47"/>
      <c r="M22" s="13"/>
      <c r="N22" s="47"/>
      <c r="O22" s="13"/>
      <c r="P22" s="47"/>
      <c r="Q22" s="13"/>
      <c r="R22" s="47"/>
      <c r="S22" s="13"/>
      <c r="T22" s="47"/>
      <c r="U22" s="13"/>
      <c r="V22" s="47"/>
      <c r="W22" s="13"/>
      <c r="X22" s="47"/>
      <c r="Y22" s="13"/>
      <c r="Z22" s="47"/>
      <c r="AA22" s="13"/>
      <c r="AB22" s="47">
        <f t="shared" si="0"/>
        <v>0</v>
      </c>
      <c r="AC22" s="13">
        <f t="shared" si="1"/>
        <v>0</v>
      </c>
    </row>
    <row r="23" spans="1:29">
      <c r="A23" s="5" t="s">
        <v>4</v>
      </c>
      <c r="B23" s="47">
        <f>INDEX('[4]Page 2'!$B:$DP,MATCH("0100",'[4]Page 2'!$M:$M,0),42)</f>
        <v>59490</v>
      </c>
      <c r="C23" s="13">
        <f>INDEX('[4]Page 2'!$B:$DP,MATCH("0100",'[4]Page 2'!$M:$M,0),58)</f>
        <v>706631</v>
      </c>
      <c r="D23" s="47">
        <f>INDEX('[5]Page 2'!$B:$DP,MATCH("0100",'[5]Page 2'!$M:$M,0),42)</f>
        <v>36097</v>
      </c>
      <c r="E23" s="13">
        <f>INDEX('[5]Page 2'!$B:$DP,MATCH("0100",'[5]Page 2'!$M:$M,0),58)</f>
        <v>426106</v>
      </c>
      <c r="F23" s="47">
        <f>INDEX('[6]Page 2'!$B:$DP,MATCH("0100",'[6]Page 2'!$M:$M,0),42)</f>
        <v>76296</v>
      </c>
      <c r="G23" s="13">
        <f>INDEX('[6]Page 2'!$B:$DP,MATCH("0100",'[6]Page 2'!$M:$M,0),58)</f>
        <v>627917</v>
      </c>
      <c r="H23" s="47">
        <f>IFERROR(VLOOKUP("Salespeople Compensation",'[7]PAGE 2'!$B:$W,7,FALSE),0)</f>
        <v>34885</v>
      </c>
      <c r="I23" s="13">
        <f>IFERROR(VLOOKUP("Salespeople Compensation",'[7]PAGE 2'!$B:$W,9,FALSE),0)</f>
        <v>320072</v>
      </c>
      <c r="J23" s="47">
        <f>IFERROR(VLOOKUP("Salespeople Compensation",'[8]PAGE 2'!$B:$W,7,FALSE),0)</f>
        <v>28928</v>
      </c>
      <c r="K23" s="13">
        <f>IFERROR(VLOOKUP("Salespeople Compensation",'[8]PAGE 2'!$B:$W,9,FALSE),0)</f>
        <v>263155</v>
      </c>
      <c r="L23" s="47"/>
      <c r="M23" s="13"/>
      <c r="N23" s="47">
        <f>(VLOOKUP("Sales Compensation",'[9]PAGE 2'!$B:$S,10,FALSE)+VLOOKUP("Sales Compensation - Scion only",'[9]PAGE 2'!$B:$S,10,FALSE))</f>
        <v>52002</v>
      </c>
      <c r="O23" s="13">
        <f>(VLOOKUP("Sales Compensation",'[9]PAGE 2'!$B:$S,12,FALSE)+VLOOKUP("Sales Compensation - Scion only",'[9]PAGE 2'!$B:$S,12,FALSE))</f>
        <v>463552</v>
      </c>
      <c r="P23" s="47">
        <f>'[2]PAGE 4'!$F$44</f>
        <v>26479</v>
      </c>
      <c r="Q23" s="13">
        <f>'[2]PAGE 4'!$R$44</f>
        <v>307479</v>
      </c>
      <c r="R23" s="47">
        <f>[3]P4!$F$87</f>
        <v>37980</v>
      </c>
      <c r="S23" s="13">
        <f>[3]P4!$P$87</f>
        <v>482684</v>
      </c>
      <c r="T23" s="47"/>
      <c r="U23" s="13"/>
      <c r="V23" s="47">
        <f>INDEX('[10]PAGE 2'!$1:$1048576,MATCH("Salespeople: Compensation and Incentive",'[10]PAGE 2'!$B:$B,0),16)</f>
        <v>33577</v>
      </c>
      <c r="W23" s="13">
        <f>INDEX('[10]PAGE 2'!$1:$1048576,MATCH("Salespeople: Compensation and Incentive",'[10]PAGE 2'!$B:$B,0),19)</f>
        <v>182170</v>
      </c>
      <c r="X23" s="47">
        <f>(VLOOKUP("Sales Compensation",'[11]PAGE 2'!$B:$S,10,FALSE)+VLOOKUP("Sales Compensation - Scion only",'[11]PAGE 2'!$B:$S,10,FALSE))</f>
        <v>0</v>
      </c>
      <c r="Y23" s="13">
        <f>(VLOOKUP("Sales Compensation",'[11]PAGE 2'!$B:$S,12,FALSE)+VLOOKUP("Sales Compensation - Scion only",'[11]PAGE 2'!$B:$S,12,FALSE))</f>
        <v>0</v>
      </c>
      <c r="Z23" s="47">
        <f>(VLOOKUP("Sales Compensation",'[12]PAGE 2'!$B:$S,10,FALSE)+VLOOKUP("Sales Compensation - Scion only",'[12]PAGE 2'!$B:$S,10,FALSE))</f>
        <v>6641</v>
      </c>
      <c r="AA23" s="13">
        <f>(VLOOKUP("Sales Compensation",'[12]PAGE 2'!$B:$S,12,FALSE)+VLOOKUP("Sales Compensation - Scion only",'[12]PAGE 2'!$B:$S,12,FALSE))</f>
        <v>87920</v>
      </c>
      <c r="AB23" s="47">
        <f t="shared" si="0"/>
        <v>392375</v>
      </c>
      <c r="AC23" s="13">
        <f t="shared" si="1"/>
        <v>3867686</v>
      </c>
    </row>
    <row r="24" spans="1:29">
      <c r="A24" s="5" t="s">
        <v>5</v>
      </c>
      <c r="B24" s="47">
        <f>INDEX('[4]Page 2'!$B:$DP,MATCH("0280",'[4]Page 2'!$M:$M,0),42)</f>
        <v>0</v>
      </c>
      <c r="C24" s="13">
        <f>INDEX('[4]Page 2'!$B:$DP,MATCH("0280",'[4]Page 2'!$M:$M,0),58)</f>
        <v>0</v>
      </c>
      <c r="D24" s="47">
        <f>INDEX('[5]Page 2'!$B:$DP,MATCH("0280",'[5]Page 2'!$M:$M,0),42)</f>
        <v>0</v>
      </c>
      <c r="E24" s="13">
        <f>INDEX('[5]Page 2'!$B:$DP,MATCH("0280",'[5]Page 2'!$M:$M,0),58)</f>
        <v>0</v>
      </c>
      <c r="F24" s="47">
        <f>INDEX('[6]Page 2'!$B:$DP,MATCH("0280",'[6]Page 2'!$M:$M,0),42)</f>
        <v>0</v>
      </c>
      <c r="G24" s="13">
        <f>INDEX('[6]Page 2'!$B:$DP,MATCH("0280",'[6]Page 2'!$M:$M,0),58)</f>
        <v>0</v>
      </c>
      <c r="H24" s="47">
        <f>IFERROR(VLOOKUP(0,'[7]PAGE 2'!$B:$W,7,FALSE),0)</f>
        <v>0</v>
      </c>
      <c r="I24" s="13">
        <f>IFERROR(VLOOKUP(0,'[7]PAGE 2'!$B:$W,9,FALSE),0)</f>
        <v>0</v>
      </c>
      <c r="J24" s="47">
        <f>IFERROR(VLOOKUP(0,'[8]PAGE 2'!$B:$W,7,FALSE),0)</f>
        <v>0</v>
      </c>
      <c r="K24" s="13">
        <f>IFERROR(VLOOKUP(0,'[8]PAGE 2'!$B:$W,9,FALSE),0)</f>
        <v>0</v>
      </c>
      <c r="L24" s="47"/>
      <c r="M24" s="13"/>
      <c r="N24" s="47"/>
      <c r="O24" s="13"/>
      <c r="P24" s="47">
        <f>'[2]PAGE 4'!$F52</f>
        <v>0</v>
      </c>
      <c r="Q24" s="13">
        <f>'[2]PAGE 4'!$R52</f>
        <v>0</v>
      </c>
      <c r="R24" s="1">
        <f>[3]P4!$F$103</f>
        <v>0</v>
      </c>
      <c r="S24" s="1">
        <f>[3]P4!$P$103</f>
        <v>0</v>
      </c>
      <c r="V24" s="47"/>
      <c r="X24" s="47"/>
      <c r="Y24" s="13"/>
      <c r="Z24" s="47"/>
      <c r="AA24" s="13"/>
      <c r="AB24" s="47">
        <f t="shared" si="0"/>
        <v>0</v>
      </c>
      <c r="AC24" s="1">
        <f t="shared" si="1"/>
        <v>0</v>
      </c>
    </row>
    <row r="25" spans="1:29">
      <c r="A25" s="5" t="s">
        <v>6</v>
      </c>
      <c r="B25" s="47">
        <f>INDEX('[4]Page 2'!$B:$DP,MATCH("0090",'[4]Page 2'!$M:$M,0),42)</f>
        <v>50878</v>
      </c>
      <c r="C25" s="13">
        <f>INDEX('[4]Page 2'!$B:$DP,MATCH("0090",'[4]Page 2'!$M:$M,0),58)</f>
        <v>599961</v>
      </c>
      <c r="D25" s="47">
        <f>INDEX('[5]Page 2'!$B:$DP,MATCH("0090",'[5]Page 2'!$M:$M,0),42)</f>
        <v>25202</v>
      </c>
      <c r="E25" s="13">
        <f>INDEX('[5]Page 2'!$B:$DP,MATCH("0090",'[5]Page 2'!$M:$M,0),58)</f>
        <v>239819</v>
      </c>
      <c r="F25" s="47">
        <f>INDEX('[6]Page 2'!$B:$DP,MATCH("0090",'[6]Page 2'!$M:$M,0),42)</f>
        <v>44193</v>
      </c>
      <c r="G25" s="13">
        <f>INDEX('[6]Page 2'!$B:$DP,MATCH("0090",'[6]Page 2'!$M:$M,0),58)</f>
        <v>458466</v>
      </c>
      <c r="H25" s="47">
        <f>IFERROR(VLOOKUP("Compensation F &amp; I / Service Contracts",'[7]PAGE 2'!$B:$W,7,FALSE),0)</f>
        <v>14734</v>
      </c>
      <c r="I25" s="13">
        <f>IFERROR(VLOOKUP("Compensation F &amp; I / Service Contracts",'[7]PAGE 2'!$B:$W,9,FALSE),0)</f>
        <v>167916</v>
      </c>
      <c r="J25" s="47">
        <f>IFERROR(VLOOKUP("Compensation F &amp; I / Service Contracts",'[8]PAGE 2'!$B:$W,7,FALSE),0)</f>
        <v>9866</v>
      </c>
      <c r="K25" s="13">
        <f>IFERROR(VLOOKUP("Compensation F &amp; I / Service Contracts",'[8]PAGE 2'!$B:$W,9,FALSE),0)</f>
        <v>122653</v>
      </c>
      <c r="L25" s="47"/>
      <c r="M25" s="13"/>
      <c r="N25" s="47">
        <f>VLOOKUP("Finance, Ins., &amp; Svc. Ctr. Commissions",'[9]PAGE 2'!$B:$S,10,FALSE)+VLOOKUP("Finc, Ins., &amp; Svc.Ctr.Com. - Scion only",'[9]PAGE 2'!$B:$S,10,FALSE)</f>
        <v>26890</v>
      </c>
      <c r="O25" s="13">
        <f>VLOOKUP("Finance, Ins., &amp; Svc. Ctr. Commissions",'[9]PAGE 2'!$B:$S,12,FALSE)+VLOOKUP("Finc, Ins., &amp; Svc.Ctr.Com. - Scion only",'[9]PAGE 2'!$B:$S,12,FALSE)</f>
        <v>271235</v>
      </c>
      <c r="P25" s="47">
        <f>'[2]PAGE 4'!$F46+'[2]PAGE 4'!$F55+'[2]PAGE 4'!$F62</f>
        <v>14323</v>
      </c>
      <c r="Q25" s="13">
        <f>'[2]PAGE 4'!$R46+'[2]PAGE 4'!$R55+'[2]PAGE 4'!$R62</f>
        <v>147393</v>
      </c>
      <c r="R25" s="47">
        <f>[3]P4!$F$109</f>
        <v>13091</v>
      </c>
      <c r="S25" s="13">
        <f>[3]P4!$P$109</f>
        <v>140557</v>
      </c>
      <c r="T25" s="47"/>
      <c r="V25" s="47">
        <f>+INDEX('[10]PAGE 2'!$1:$1048576,MATCH("F &amp;I MAnagers: Compensation and Incentive",'[10]PAGE 2'!$B:$B,0),16)</f>
        <v>6914</v>
      </c>
      <c r="W25" s="13">
        <f>+INDEX('[10]PAGE 2'!$1:$1048576,MATCH("F &amp;I MAnagers: Compensation and Incentive",'[10]PAGE 2'!$B:$B,0),19)</f>
        <v>35467</v>
      </c>
      <c r="X25" s="47">
        <f>VLOOKUP("Finance, Ins., &amp; Svc. Ctr. Commissions",'[11]PAGE 2'!$B:$S,10,FALSE)+VLOOKUP("Finc, Ins., &amp; Svc.Ctr.Com. - Scion only",'[11]PAGE 2'!$B:$S,10,FALSE)</f>
        <v>0</v>
      </c>
      <c r="Y25" s="13">
        <f>VLOOKUP("Finance, Ins., &amp; Svc. Ctr. Commissions",'[11]PAGE 2'!$B:$S,12,FALSE)+VLOOKUP("Finc, Ins., &amp; Svc.Ctr.Com. - Scion only",'[11]PAGE 2'!$B:$S,12,FALSE)</f>
        <v>0</v>
      </c>
      <c r="Z25" s="47">
        <f>VLOOKUP("Finance, Ins., &amp; Svc. Ctr. Commissions",'[12]PAGE 2'!$B:$S,10,FALSE)+VLOOKUP("Finc, Ins., &amp; Svc.Ctr.Com. - Scion only",'[12]PAGE 2'!$B:$S,10,FALSE)</f>
        <v>9764</v>
      </c>
      <c r="AA25" s="13">
        <f>VLOOKUP("Finance, Ins., &amp; Svc. Ctr. Commissions",'[12]PAGE 2'!$B:$S,12,FALSE)+VLOOKUP("Finc, Ins., &amp; Svc.Ctr.Com. - Scion only",'[12]PAGE 2'!$B:$S,12,FALSE)</f>
        <v>45711</v>
      </c>
      <c r="AB25" s="47">
        <f t="shared" si="0"/>
        <v>215855</v>
      </c>
      <c r="AC25" s="13">
        <f t="shared" si="1"/>
        <v>2229178</v>
      </c>
    </row>
    <row r="26" spans="1:29">
      <c r="A26" s="5" t="s">
        <v>7</v>
      </c>
      <c r="B26" s="47">
        <f>INDEX('[4]Page 2'!$B:$DP,MATCH("0110",'[4]Page 2'!$M:$M,0),42)</f>
        <v>-5201</v>
      </c>
      <c r="C26" s="13">
        <f>INDEX('[4]Page 2'!$B:$DP,MATCH("0110",'[4]Page 2'!$M:$M,0),58)</f>
        <v>-15547</v>
      </c>
      <c r="D26" s="47">
        <f>INDEX('[5]Page 2'!$B:$DP,MATCH("0110",'[5]Page 2'!$M:$M,0),42)</f>
        <v>426</v>
      </c>
      <c r="E26" s="13">
        <f>INDEX('[5]Page 2'!$B:$DP,MATCH("0110",'[5]Page 2'!$M:$M,0),58)</f>
        <v>32272</v>
      </c>
      <c r="F26" s="47">
        <f>INDEX('[6]Page 2'!$B:$DP,MATCH("0110",'[6]Page 2'!$M:$M,0),42)</f>
        <v>1171</v>
      </c>
      <c r="G26" s="13">
        <f>INDEX('[6]Page 2'!$B:$DP,MATCH("0110",'[6]Page 2'!$M:$M,0),58)</f>
        <v>13363</v>
      </c>
      <c r="H26" s="47">
        <f>IFERROR(VLOOKUP("Delivery Expense",'[7]PAGE 2'!$B:$W,7,FALSE),0)</f>
        <v>830</v>
      </c>
      <c r="I26" s="13">
        <f>IFERROR(VLOOKUP("Delivery Expense",'[7]PAGE 2'!$B:$W,9,FALSE),0)</f>
        <v>-57569</v>
      </c>
      <c r="J26" s="47">
        <f>IFERROR(VLOOKUP("Delivery Expense",'[8]PAGE 2'!$B:$W,7,FALSE),0)</f>
        <v>-4111</v>
      </c>
      <c r="K26" s="13">
        <f>IFERROR(VLOOKUP("Delivery Expense",'[8]PAGE 2'!$B:$W,9,FALSE),0)</f>
        <v>-50262</v>
      </c>
      <c r="L26" s="47"/>
      <c r="M26" s="13"/>
      <c r="N26" s="47">
        <f>VLOOKUP("Delivery Expenses",'[9]PAGE 2'!$B:$S,10,FALSE)</f>
        <v>1088</v>
      </c>
      <c r="O26" s="13">
        <f>VLOOKUP("Delivery Expenses",'[9]PAGE 2'!$B:$S,12,FALSE)</f>
        <v>12581</v>
      </c>
      <c r="P26" s="47">
        <f>'[2]PAGE 4'!$F47</f>
        <v>188</v>
      </c>
      <c r="Q26" s="13">
        <f>'[2]PAGE 4'!$R47</f>
        <v>3520</v>
      </c>
      <c r="R26" s="47">
        <f>[3]P4!$F$93</f>
        <v>3772</v>
      </c>
      <c r="S26" s="13">
        <f>[3]P4!$P$93</f>
        <v>37000</v>
      </c>
      <c r="T26" s="47"/>
      <c r="U26" s="13"/>
      <c r="V26" s="47">
        <f>+INDEX('[10]PAGE 2'!$1:$1048576,MATCH("Delivery Expense",'[10]PAGE 2'!$B:$B,0),16)</f>
        <v>1458</v>
      </c>
      <c r="W26" s="13">
        <f>+INDEX('[10]PAGE 2'!$1:$1048576,MATCH("Delivery Expense",'[10]PAGE 2'!$B:$B,0),19)</f>
        <v>19407</v>
      </c>
      <c r="X26" s="47">
        <f>VLOOKUP("Delivery Expenses",'[11]PAGE 2'!$B:$S,10,FALSE)</f>
        <v>0</v>
      </c>
      <c r="Y26" s="13">
        <f>VLOOKUP("Delivery Expenses",'[11]PAGE 2'!$B:$S,12,FALSE)</f>
        <v>0</v>
      </c>
      <c r="Z26" s="47">
        <f>VLOOKUP("Delivery Expenses",'[12]PAGE 2'!$B:$S,10,FALSE)</f>
        <v>-442</v>
      </c>
      <c r="AA26" s="13">
        <f>VLOOKUP("Delivery Expenses",'[12]PAGE 2'!$B:$S,12,FALSE)</f>
        <v>-4529</v>
      </c>
      <c r="AB26" s="47">
        <f t="shared" si="0"/>
        <v>-821</v>
      </c>
      <c r="AC26" s="13">
        <f t="shared" si="1"/>
        <v>-9764</v>
      </c>
    </row>
    <row r="27" spans="1:29">
      <c r="A27" s="5" t="s">
        <v>8</v>
      </c>
      <c r="B27" s="47">
        <f>INDEX('[4]Page 2'!$B:$DP,MATCH("0130",'[4]Page 2'!$M:$M,0),42)</f>
        <v>100</v>
      </c>
      <c r="C27" s="13">
        <f>INDEX('[4]Page 2'!$B:$DP,MATCH("0130",'[4]Page 2'!$M:$M,0),58)</f>
        <v>8299</v>
      </c>
      <c r="D27" s="47">
        <f>INDEX('[5]Page 2'!$B:$DP,MATCH("0130",'[5]Page 2'!$M:$M,0),42)</f>
        <v>85</v>
      </c>
      <c r="E27" s="13">
        <f>INDEX('[5]Page 2'!$B:$DP,MATCH("0130",'[5]Page 2'!$M:$M,0),58)</f>
        <v>4630</v>
      </c>
      <c r="F27" s="47">
        <f>INDEX('[6]Page 2'!$B:$DP,MATCH("0130",'[6]Page 2'!$M:$M,0),42)</f>
        <v>0</v>
      </c>
      <c r="G27" s="13">
        <f>INDEX('[6]Page 2'!$B:$DP,MATCH("0130",'[6]Page 2'!$M:$M,0),58)</f>
        <v>2989</v>
      </c>
      <c r="H27" s="47">
        <f>IFERROR(VLOOKUP("Policy Expense - Serv, Body, P &amp; A",'[7]PAGE 2'!$B:$W,7,FALSE)+VLOOKUP("Policy Expense - New &amp; Used",'[7]PAGE 2'!$B:$W,7,FALSE),0)</f>
        <v>440</v>
      </c>
      <c r="I27" s="13">
        <f>IFERROR(VLOOKUP("Policy Expense - Serv, Body, P &amp; A",'[7]PAGE 2'!$B:$W,9,FALSE)+VLOOKUP("Policy Expense - New &amp; Used",'[7]PAGE 2'!$B:$W,9,FALSE),0)</f>
        <v>672</v>
      </c>
      <c r="J27" s="47">
        <f>IFERROR(VLOOKUP("Policy Expense - Serv, Body, P &amp; A",'[8]PAGE 2'!$B:$W,7,FALSE)+VLOOKUP("Policy Expense - New &amp; Used",'[8]PAGE 2'!$B:$W,7,FALSE),0)</f>
        <v>0</v>
      </c>
      <c r="K27" s="13">
        <f>IFERROR(VLOOKUP("Policy Expense - Serv, Body, P &amp; A",'[8]PAGE 2'!$B:$W,9,FALSE)+VLOOKUP("Policy Expense - New &amp; Used",'[8]PAGE 2'!$B:$W,9,FALSE),0)</f>
        <v>0</v>
      </c>
      <c r="L27" s="47"/>
      <c r="M27" s="13"/>
      <c r="N27" s="47">
        <f>VLOOKUP("Policy &amp; Claims Adjustments  ",'[9]PAGE 2'!$B:$S,10,FALSE)</f>
        <v>0</v>
      </c>
      <c r="O27" s="13">
        <f>VLOOKUP("Policy &amp; Claims Adjustments  ",'[9]PAGE 2'!$B:$S,12,FALSE)</f>
        <v>0</v>
      </c>
      <c r="P27" s="47">
        <f>'[2]PAGE 4'!$F$49</f>
        <v>0</v>
      </c>
      <c r="Q27" s="13">
        <f>'[2]PAGE 4'!$R$49</f>
        <v>0</v>
      </c>
      <c r="R27" s="47">
        <f>SUM([3]P4!$F$97)</f>
        <v>0</v>
      </c>
      <c r="S27" s="13">
        <f>SUM([3]P4!$P$97)</f>
        <v>272</v>
      </c>
      <c r="T27" s="47"/>
      <c r="U27" s="13"/>
      <c r="V27" s="47">
        <f>+INDEX('[10]PAGE 2'!$1:$1048576,MATCH("Policy Work - Vehicles",'[10]PAGE 2'!$B:$B,0),16)+INDEX('[10]PAGE 2'!$1:$1048576,MATCH("Policy Work - service, parts &amp; body shop depts.",'[10]PAGE 2'!$B:$B,0),16)</f>
        <v>170</v>
      </c>
      <c r="W27" s="13">
        <f>+INDEX('[10]PAGE 2'!$1:$1048576,MATCH("Policy Work - Vehicles",'[10]PAGE 2'!$B:$B,0),19)+INDEX('[10]PAGE 2'!$1:$1048576,MATCH("Policy Work - service, parts &amp; body shop depts.",'[10]PAGE 2'!$B:$B,0),19)</f>
        <v>1107</v>
      </c>
      <c r="X27" s="47">
        <f>VLOOKUP("Policy &amp; Claims Adjustments  ",'[11]PAGE 2'!$B:$S,10,FALSE)</f>
        <v>0</v>
      </c>
      <c r="Y27" s="13">
        <f>VLOOKUP("Policy &amp; Claims Adjustments  ",'[11]PAGE 2'!$B:$S,12,FALSE)</f>
        <v>0</v>
      </c>
      <c r="Z27" s="47">
        <f>VLOOKUP("Policy &amp; Claims Adjustments  ",'[12]PAGE 2'!$B:$S,10,FALSE)</f>
        <v>210</v>
      </c>
      <c r="AA27" s="13">
        <f>VLOOKUP("Policy &amp; Claims Adjustments  ",'[12]PAGE 2'!$B:$S,12,FALSE)</f>
        <v>1368</v>
      </c>
      <c r="AB27" s="47">
        <f t="shared" si="0"/>
        <v>1005</v>
      </c>
      <c r="AC27" s="13">
        <f t="shared" si="1"/>
        <v>19337</v>
      </c>
    </row>
    <row r="28" spans="1:29">
      <c r="A28" s="5" t="s">
        <v>9</v>
      </c>
      <c r="B28" s="47"/>
      <c r="C28" s="13"/>
      <c r="D28" s="47"/>
      <c r="E28" s="13"/>
      <c r="F28" s="47"/>
      <c r="G28" s="13"/>
      <c r="H28" s="47"/>
      <c r="I28" s="13"/>
      <c r="J28" s="47"/>
      <c r="K28" s="13"/>
      <c r="L28" s="47"/>
      <c r="M28" s="13"/>
      <c r="N28" s="47"/>
      <c r="O28" s="13"/>
      <c r="P28" s="47">
        <f>'[2]PAGE 4'!$F60</f>
        <v>-479</v>
      </c>
      <c r="Q28" s="13">
        <f>'[2]PAGE 4'!$R60</f>
        <v>-5726</v>
      </c>
      <c r="R28" s="47"/>
      <c r="S28" s="13"/>
      <c r="T28" s="47"/>
      <c r="U28" s="13"/>
      <c r="V28" s="47">
        <f>+INDEX('[10]PAGE 2'!$1:$1048576,MATCH("Demonstrator Expense",'[10]PAGE 2'!$B:$B,0),16)</f>
        <v>0</v>
      </c>
      <c r="W28" s="13">
        <f>+INDEX('[10]PAGE 2'!$1:$1048576,MATCH("Demonstrator Expense",'[10]PAGE 2'!$B:$B,0),19)</f>
        <v>0</v>
      </c>
      <c r="X28" s="47"/>
      <c r="Y28" s="13"/>
      <c r="Z28" s="47"/>
      <c r="AA28" s="13"/>
      <c r="AB28" s="47">
        <f t="shared" si="0"/>
        <v>-479</v>
      </c>
      <c r="AC28" s="13">
        <f t="shared" si="1"/>
        <v>-5726</v>
      </c>
    </row>
    <row r="29" spans="1:29">
      <c r="A29" s="5" t="s">
        <v>214</v>
      </c>
      <c r="B29" s="47">
        <f>INDEX('[4]Page 2'!$B:$DP,MATCH("0140",'[4]Page 2'!$M:$M,0),42)</f>
        <v>21355</v>
      </c>
      <c r="C29" s="13">
        <f>INDEX('[4]Page 2'!$B:$DP,MATCH("0140",'[4]Page 2'!$M:$M,0),58)</f>
        <v>225998</v>
      </c>
      <c r="D29" s="47">
        <f>INDEX('[5]Page 2'!$B:$DP,MATCH("0140",'[5]Page 2'!$M:$M,0),42)</f>
        <v>32568</v>
      </c>
      <c r="E29" s="13">
        <f>INDEX('[5]Page 2'!$B:$DP,MATCH("0140",'[5]Page 2'!$M:$M,0),58)</f>
        <v>344500</v>
      </c>
      <c r="F29" s="47">
        <f>INDEX('[6]Page 2'!$B:$DP,MATCH("0140",'[6]Page 2'!$M:$M,0),42)</f>
        <v>17388</v>
      </c>
      <c r="G29" s="13">
        <f>INDEX('[6]Page 2'!$B:$DP,MATCH("0140",'[6]Page 2'!$M:$M,0),58)</f>
        <v>267158</v>
      </c>
      <c r="H29" s="47">
        <f>IFERROR(VLOOKUP("Demo Expense",'[7]PAGE 2'!$B:$W,7,FALSE),0)</f>
        <v>13103</v>
      </c>
      <c r="I29" s="13">
        <f>IFERROR(VLOOKUP("Demo Expense",'[7]PAGE 2'!$B:$W,9,FALSE),0)</f>
        <v>155599</v>
      </c>
      <c r="J29" s="47">
        <f>IFERROR(VLOOKUP("Demo Expense",'[8]PAGE 2'!$B:$W,7,FALSE),0)</f>
        <v>13479</v>
      </c>
      <c r="K29" s="13">
        <f>IFERROR(VLOOKUP("Demo Expense",'[8]PAGE 2'!$B:$W,9,FALSE),0)</f>
        <v>150757</v>
      </c>
      <c r="L29" s="47"/>
      <c r="M29" s="13"/>
      <c r="N29" s="47">
        <f>IFERROR(VLOOKUP("Advertising - General &amp; Institutional",'[9]PAGE 2'!$B:$S,10,FALSE),0)</f>
        <v>18663</v>
      </c>
      <c r="O29" s="13">
        <f>IFERROR(VLOOKUP("Advertising - General &amp; Institutional",'[9]PAGE 2'!$B:$S,12,FALSE),0)</f>
        <v>224915</v>
      </c>
      <c r="P29" s="47">
        <f>+'[2]PAGE 4'!$F$58</f>
        <v>16106</v>
      </c>
      <c r="Q29" s="13">
        <f>+'[2]PAGE 4'!$R$58</f>
        <v>187745</v>
      </c>
      <c r="R29" s="47"/>
      <c r="S29" s="13"/>
      <c r="T29" s="47"/>
      <c r="U29" s="13"/>
      <c r="V29" s="47">
        <f>+INDEX('[10]PAGE 2'!$1:$1048576,MATCH("advertising expense - hyundai internet only",'[10]PAGE 2'!$B:$B,0),16)</f>
        <v>21679</v>
      </c>
      <c r="W29" s="13">
        <f>+INDEX('[10]PAGE 2'!$1:$1048576,MATCH("advertising expense - hyundai internet only",'[10]PAGE 2'!$B:$B,0),19)</f>
        <v>53936</v>
      </c>
      <c r="X29" s="47">
        <f>IFERROR(VLOOKUP("Advertising - General &amp; Institutional",'[11]PAGE 2'!$B:$S,10,FALSE),0)</f>
        <v>0</v>
      </c>
      <c r="Y29" s="13">
        <f>IFERROR(VLOOKUP("Advertising - General &amp; Institutional",'[11]PAGE 2'!$B:$S,12,FALSE),0)</f>
        <v>0</v>
      </c>
      <c r="Z29" s="47">
        <f>IFERROR(VLOOKUP("Advertising - General &amp; Institutional",'[12]PAGE 2'!$B:$S,10,FALSE),0)</f>
        <v>-13430</v>
      </c>
      <c r="AA29" s="13">
        <f>IFERROR(VLOOKUP("Advertising - General &amp; Institutional",'[12]PAGE 2'!$B:$S,12,FALSE),0)</f>
        <v>-12835</v>
      </c>
      <c r="AB29" s="47">
        <f t="shared" si="0"/>
        <v>140911</v>
      </c>
      <c r="AC29" s="13">
        <f t="shared" si="1"/>
        <v>1597773</v>
      </c>
    </row>
    <row r="30" spans="1:29">
      <c r="A30" s="5" t="s">
        <v>10</v>
      </c>
      <c r="B30" s="47">
        <f>INDEX('[4]Page 2'!$B:$DP,MATCH("0150",'[4]Page 2'!$M:$M,0),42)</f>
        <v>69134</v>
      </c>
      <c r="C30" s="13">
        <f>INDEX('[4]Page 2'!$B:$DP,MATCH("0150",'[4]Page 2'!$M:$M,0),58)</f>
        <v>664325</v>
      </c>
      <c r="D30" s="47">
        <f>INDEX('[5]Page 2'!$B:$DP,MATCH("0150",'[5]Page 2'!$M:$M,0),42)</f>
        <v>6070</v>
      </c>
      <c r="E30" s="13">
        <f>INDEX('[5]Page 2'!$B:$DP,MATCH("0150",'[5]Page 2'!$M:$M,0),58)</f>
        <v>153138</v>
      </c>
      <c r="F30" s="47">
        <f>INDEX('[6]Page 2'!$B:$DP,MATCH("0150",'[6]Page 2'!$M:$M,0),42)</f>
        <v>36931</v>
      </c>
      <c r="G30" s="13">
        <f>INDEX('[6]Page 2'!$B:$DP,MATCH("0150",'[6]Page 2'!$M:$M,0),58)</f>
        <v>636564</v>
      </c>
      <c r="H30" s="47">
        <f>IFERROR(+VLOOKUP("Advertising - New &amp; Used",'[7]PAGE 2'!$B:$W,7,FALSE),0)</f>
        <v>15225</v>
      </c>
      <c r="I30" s="13">
        <f>IFERROR(+VLOOKUP("Advertising - New &amp; Used",'[7]PAGE 2'!$B:$W,9,FALSE),0)</f>
        <v>158071</v>
      </c>
      <c r="J30" s="47">
        <f>IFERROR(+VLOOKUP("Advertising - New &amp; Used",'[8]PAGE 2'!$B:$W,7,FALSE),0)</f>
        <v>5858</v>
      </c>
      <c r="K30" s="13">
        <f>IFERROR(+VLOOKUP("Advertising - New &amp; Used",'[8]PAGE 2'!$B:$W,9,FALSE),0)</f>
        <v>70075</v>
      </c>
      <c r="L30" s="47"/>
      <c r="M30" s="13"/>
      <c r="N30" s="47">
        <f>VLOOKUP("Advertising - Departmental",'[9]PAGE 2'!$B:$S,10,FALSE)</f>
        <v>13676</v>
      </c>
      <c r="O30" s="13">
        <f>VLOOKUP("Advertising - Departmental",'[9]PAGE 2'!$B:$S,12,FALSE)</f>
        <v>176094</v>
      </c>
      <c r="P30" s="47">
        <f>'[2]PAGE 4'!$F$56</f>
        <v>13784</v>
      </c>
      <c r="Q30" s="13">
        <f>'[2]PAGE 4'!$R$56</f>
        <v>169256</v>
      </c>
      <c r="R30" s="47">
        <f>[3]P4!$F$111</f>
        <v>33933</v>
      </c>
      <c r="S30" s="13">
        <f>[3]P4!$P$111</f>
        <v>361948</v>
      </c>
      <c r="T30" s="47"/>
      <c r="U30" s="13"/>
      <c r="V30" s="47">
        <f>+INDEX('[10]PAGE 2'!$1:$1048576,MATCH("advertising expense - hyundai print, tv, other",'[10]PAGE 2'!$B:$B,0),16)+INDEX('[10]PAGE 2'!$1:$1048576,MATCH("advertising - other franchise(s)",'[10]PAGE 2'!$B:$B,0),16)</f>
        <v>11047</v>
      </c>
      <c r="W30" s="13">
        <f>+INDEX('[10]PAGE 2'!$1:$1048576,MATCH("advertising expense - hyundai print, tv, other",'[10]PAGE 2'!$B:$B,0),19)+INDEX('[10]PAGE 2'!$1:$1048576,MATCH("advertising - other franchise(s)",'[10]PAGE 2'!$B:$B,0),19)</f>
        <v>85741</v>
      </c>
      <c r="X30" s="47">
        <f>VLOOKUP("Advertising - Departmental",'[11]PAGE 2'!$B:$S,10,FALSE)</f>
        <v>0</v>
      </c>
      <c r="Y30" s="13">
        <f>VLOOKUP("Advertising - Departmental",'[11]PAGE 2'!$B:$S,12,FALSE)</f>
        <v>0</v>
      </c>
      <c r="Z30" s="47">
        <f>VLOOKUP("Advertising - Departmental",'[12]PAGE 2'!$B:$S,10,FALSE)</f>
        <v>21507</v>
      </c>
      <c r="AA30" s="13">
        <f>VLOOKUP("Advertising - Departmental",'[12]PAGE 2'!$B:$S,12,FALSE)</f>
        <v>134666</v>
      </c>
      <c r="AB30" s="47">
        <f t="shared" si="0"/>
        <v>227165</v>
      </c>
      <c r="AC30" s="13">
        <f t="shared" si="1"/>
        <v>2609878</v>
      </c>
    </row>
    <row r="31" spans="1:29">
      <c r="A31" s="6" t="s">
        <v>52</v>
      </c>
      <c r="B31" s="47">
        <f>-INDEX('[4]Page 2'!$B:$DP,MATCH("0170",'[4]Page 2'!$M:$M,0),42)</f>
        <v>-28500</v>
      </c>
      <c r="C31" s="13">
        <f>-INDEX('[4]Page 2'!$B:$DP,MATCH("0170",'[4]Page 2'!$M:$M,0),58)</f>
        <v>-330999</v>
      </c>
      <c r="D31" s="47">
        <f>-INDEX('[5]Page 2'!$B:$DP,MATCH("0170",'[5]Page 2'!$M:$M,0),42)</f>
        <v>-16650</v>
      </c>
      <c r="E31" s="13">
        <f>-INDEX('[5]Page 2'!$B:$DP,MATCH("0170",'[5]Page 2'!$M:$M,0),58)</f>
        <v>-200373</v>
      </c>
      <c r="F31" s="47">
        <f>-INDEX('[6]Page 2'!$B:$DP,MATCH("0170",'[6]Page 2'!$M:$M,0),42)</f>
        <v>-23850</v>
      </c>
      <c r="G31" s="13">
        <f>-INDEX('[6]Page 2'!$B:$DP,MATCH("0170",'[6]Page 2'!$M:$M,0),58)</f>
        <v>-289920</v>
      </c>
      <c r="H31" s="47">
        <f>IFERROR(VLOOKUP(0,'[7]PAGE 2'!$B:$W,7,FALSE),0)</f>
        <v>0</v>
      </c>
      <c r="I31" s="13">
        <f>IFERROR(VLOOKUP(0,'[7]PAGE 2'!$B:$W,9,FALSE),0)</f>
        <v>0</v>
      </c>
      <c r="J31" s="47">
        <f>IFERROR(VLOOKUP(0,'[8]PAGE 2'!$B:$W,7,FALSE),0)</f>
        <v>0</v>
      </c>
      <c r="K31" s="13">
        <f>IFERROR(VLOOKUP(0,'[8]PAGE 2'!$B:$W,9,FALSE),0)</f>
        <v>0</v>
      </c>
      <c r="L31" s="47"/>
      <c r="M31" s="13"/>
      <c r="N31" s="47"/>
      <c r="O31" s="13"/>
      <c r="P31" s="47">
        <f>'[2]PAGE 4'!$F$57</f>
        <v>-16625</v>
      </c>
      <c r="Q31" s="13">
        <f>'[2]PAGE 4'!$R$57</f>
        <v>-394585</v>
      </c>
      <c r="R31" s="47">
        <f>-[3]P4!$F$113</f>
        <v>-21864</v>
      </c>
      <c r="S31" s="13">
        <f>-[3]P4!$P$113</f>
        <v>-357845</v>
      </c>
      <c r="T31" s="47"/>
      <c r="U31" s="13"/>
      <c r="V31" s="47">
        <f>+INDEX('[10]PAGE 2'!$1:$1048576,MATCH("less advertising support from hyundai",'[10]PAGE 2'!$B:$B,0),16)</f>
        <v>0</v>
      </c>
      <c r="W31" s="13">
        <f>+INDEX('[10]PAGE 2'!$1:$1048576,MATCH("less advertising support from hyundai",'[10]PAGE 2'!$B:$B,0),19)</f>
        <v>0</v>
      </c>
      <c r="X31" s="47"/>
      <c r="Y31" s="13"/>
      <c r="Z31" s="47"/>
      <c r="AA31" s="13"/>
      <c r="AB31" s="47">
        <f t="shared" si="0"/>
        <v>-107489</v>
      </c>
      <c r="AC31" s="13">
        <f t="shared" si="1"/>
        <v>-1573722</v>
      </c>
    </row>
    <row r="32" spans="1:29">
      <c r="A32" s="7" t="s">
        <v>11</v>
      </c>
      <c r="B32" s="47">
        <f>INDEX('[4]Page 2'!$B:$DP,MATCH("0160",'[4]Page 2'!$M:$M,0),42)</f>
        <v>39623</v>
      </c>
      <c r="C32" s="13">
        <f>INDEX('[4]Page 2'!$B:$DP,MATCH("0160",'[4]Page 2'!$M:$M,0),58)</f>
        <v>375406</v>
      </c>
      <c r="D32" s="47">
        <f>INDEX('[5]Page 2'!$B:$DP,MATCH("0160",'[5]Page 2'!$M:$M,0),42)</f>
        <v>35906</v>
      </c>
      <c r="E32" s="13">
        <f>INDEX('[5]Page 2'!$B:$DP,MATCH("0160",'[5]Page 2'!$M:$M,0),58)</f>
        <v>320812</v>
      </c>
      <c r="F32" s="47">
        <f>INDEX('[6]Page 2'!$B:$DP,MATCH("0160",'[6]Page 2'!$M:$M,0),42)</f>
        <v>40898</v>
      </c>
      <c r="G32" s="13">
        <f>INDEX('[6]Page 2'!$B:$DP,MATCH("0160",'[6]Page 2'!$M:$M,0),58)</f>
        <v>337223</v>
      </c>
      <c r="H32" s="47">
        <f>IFERROR(VLOOKUP("Floor Plan Interest",'[7]PAGE 2'!$B:$W,7,FALSE),0)</f>
        <v>-1911</v>
      </c>
      <c r="I32" s="13">
        <f>IFERROR(VLOOKUP("Floor Plan Interest",'[7]PAGE 2'!$B:$W,9,FALSE),0)</f>
        <v>-59256</v>
      </c>
      <c r="J32" s="47">
        <f>IFERROR(VLOOKUP("Floor Plan Interest",'[8]PAGE 2'!$B:$W,7,FALSE),0)</f>
        <v>-214</v>
      </c>
      <c r="K32" s="13">
        <f>IFERROR(VLOOKUP("Floor Plan Interest",'[8]PAGE 2'!$B:$W,9,FALSE),0)</f>
        <v>-49390</v>
      </c>
      <c r="L32" s="47"/>
      <c r="M32" s="13"/>
      <c r="N32" s="47">
        <f>VLOOKUP("Interest - Floor Plan",'[9]PAGE 2'!$B:$S,10,FALSE)</f>
        <v>-24931</v>
      </c>
      <c r="O32" s="13">
        <f>VLOOKUP("Interest - Floor Plan",'[9]PAGE 2'!$B:$S,12,FALSE)</f>
        <v>-424188</v>
      </c>
      <c r="P32" s="47">
        <f>'[2]PAGE 4'!$F$63</f>
        <v>59520</v>
      </c>
      <c r="Q32" s="13">
        <f>'[2]PAGE 4'!$R$63</f>
        <v>641629</v>
      </c>
      <c r="R32" s="47">
        <f>[3]P4!$F$125</f>
        <v>44621</v>
      </c>
      <c r="S32" s="13">
        <f>[3]P4!$P$125</f>
        <v>512058</v>
      </c>
      <c r="T32" s="47"/>
      <c r="U32" s="13"/>
      <c r="V32" s="47">
        <f>+INDEX('[10]PAGE 2'!$1:$1048576,MATCH("Interest - Floor Planning",'[10]PAGE 2'!$B:$B,0),16)</f>
        <v>3003</v>
      </c>
      <c r="W32" s="13">
        <f>+INDEX('[10]PAGE 2'!$1:$1048576,MATCH("Interest - Floor Planning",'[10]PAGE 2'!$B:$B,0),19)</f>
        <v>-1530</v>
      </c>
      <c r="X32" s="47">
        <f>VLOOKUP("Interest - Floor Plan",'[11]PAGE 2'!$B:$S,10,FALSE)</f>
        <v>0</v>
      </c>
      <c r="Y32" s="13">
        <f>VLOOKUP("Interest - Floor Plan",'[11]PAGE 2'!$B:$S,12,FALSE)</f>
        <v>0</v>
      </c>
      <c r="Z32" s="47">
        <f>VLOOKUP("Interest - Floor Plan",'[12]PAGE 2'!$B:$S,10,FALSE)</f>
        <v>-5665</v>
      </c>
      <c r="AA32" s="13">
        <f>VLOOKUP("Interest - Floor Plan",'[12]PAGE 2'!$B:$S,12,FALSE)</f>
        <v>-34076</v>
      </c>
      <c r="AB32" s="47">
        <f t="shared" si="0"/>
        <v>190850</v>
      </c>
      <c r="AC32" s="13">
        <f t="shared" si="1"/>
        <v>1618688</v>
      </c>
    </row>
    <row r="33" spans="1:29">
      <c r="A33" s="6" t="s">
        <v>53</v>
      </c>
      <c r="B33" s="47">
        <f>-INDEX('[4]Page 2'!$B:$DP,MATCH("0180",'[4]Page 2'!$M:$M,0),42)</f>
        <v>-72054</v>
      </c>
      <c r="C33" s="13">
        <f>-INDEX('[4]Page 2'!$B:$DP,MATCH("0180",'[4]Page 2'!$M:$M,0),58)</f>
        <v>-746298</v>
      </c>
      <c r="D33" s="47">
        <f>-INDEX('[5]Page 2'!$B:$DP,MATCH("0180",'[5]Page 2'!$M:$M,0),42)</f>
        <v>-53095</v>
      </c>
      <c r="E33" s="13">
        <f>-INDEX('[5]Page 2'!$B:$DP,MATCH("0180",'[5]Page 2'!$M:$M,0),58)</f>
        <v>-554607</v>
      </c>
      <c r="F33" s="47">
        <f>-INDEX('[6]Page 2'!$B:$DP,MATCH("0180",'[6]Page 2'!$M:$M,0),42)</f>
        <v>-140925</v>
      </c>
      <c r="G33" s="13">
        <f>-INDEX('[6]Page 2'!$B:$DP,MATCH("0180",'[6]Page 2'!$M:$M,0),58)</f>
        <v>-851188</v>
      </c>
      <c r="H33" s="47">
        <f>IFERROR(VLOOKUP(0,'[7]PAGE 2'!$B:$W,7,FALSE),0)</f>
        <v>0</v>
      </c>
      <c r="I33" s="13">
        <f>IFERROR(VLOOKUP(0,'[7]PAGE 2'!$B:$W,9,FALSE),0)</f>
        <v>0</v>
      </c>
      <c r="J33" s="47">
        <f>IFERROR(VLOOKUP(0,'[8]PAGE 2'!$B:$W,7,FALSE),0)</f>
        <v>0</v>
      </c>
      <c r="K33" s="13">
        <f>IFERROR(VLOOKUP(0,'[8]PAGE 2'!$B:$W,9,FALSE),0)</f>
        <v>0</v>
      </c>
      <c r="L33" s="47"/>
      <c r="M33" s="13"/>
      <c r="N33" s="47"/>
      <c r="O33" s="13"/>
      <c r="P33" s="47">
        <f>'[2]PAGE 4'!$F$64</f>
        <v>-45468</v>
      </c>
      <c r="Q33" s="13">
        <f>'[2]PAGE 4'!$R$64</f>
        <v>-653861</v>
      </c>
      <c r="R33" s="47">
        <f>-[3]P4!$F$127</f>
        <v>-46369</v>
      </c>
      <c r="S33" s="13">
        <f>-[3]P4!$P$127</f>
        <v>-517735</v>
      </c>
      <c r="T33" s="47"/>
      <c r="U33" s="13"/>
      <c r="V33" s="47"/>
      <c r="W33" s="13"/>
      <c r="X33" s="47"/>
      <c r="Y33" s="13"/>
      <c r="Z33" s="47"/>
      <c r="AA33" s="13"/>
      <c r="AB33" s="47">
        <f t="shared" si="0"/>
        <v>-357911</v>
      </c>
      <c r="AC33" s="13">
        <f t="shared" si="1"/>
        <v>-3323689</v>
      </c>
    </row>
    <row r="34" spans="1:29">
      <c r="A34" s="5" t="s">
        <v>12</v>
      </c>
      <c r="B34" s="47">
        <f>-INDEX('[4]Page 2'!$B:$DP,MATCH("0190",'[4]Page 2'!$M:$M,0),42)</f>
        <v>0</v>
      </c>
      <c r="C34" s="13">
        <f>-INDEX('[4]Page 2'!$B:$DP,MATCH("0190",'[4]Page 2'!$M:$M,0),58)</f>
        <v>0</v>
      </c>
      <c r="D34" s="47">
        <f>-INDEX('[5]Page 2'!$B:$DP,MATCH("0190",'[5]Page 2'!$M:$M,0),42)</f>
        <v>0</v>
      </c>
      <c r="E34" s="13">
        <f>-INDEX('[5]Page 2'!$B:$DP,MATCH("0190",'[5]Page 2'!$M:$M,0),58)</f>
        <v>0</v>
      </c>
      <c r="F34" s="47">
        <f>-INDEX('[6]Page 2'!$B:$DP,MATCH("0190",'[6]Page 2'!$M:$M,0),42)</f>
        <v>0</v>
      </c>
      <c r="G34" s="13">
        <f>-INDEX('[6]Page 2'!$B:$DP,MATCH("0190",'[6]Page 2'!$M:$M,0),58)</f>
        <v>0</v>
      </c>
      <c r="H34" s="47">
        <f>IFERROR(VLOOKUP(0,'[7]PAGE 2'!$B:$W,7,FALSE),0)</f>
        <v>0</v>
      </c>
      <c r="I34" s="13">
        <f>IFERROR(VLOOKUP(0,'[7]PAGE 2'!$B:$W,9,FALSE),0)</f>
        <v>0</v>
      </c>
      <c r="J34" s="47">
        <f>IFERROR(VLOOKUP(0,'[8]PAGE 2'!$B:$W,7,FALSE),0)</f>
        <v>0</v>
      </c>
      <c r="K34" s="13">
        <f>IFERROR(VLOOKUP(0,'[8]PAGE 2'!$B:$W,9,FALSE),0)</f>
        <v>0</v>
      </c>
      <c r="L34" s="47"/>
      <c r="M34" s="13"/>
      <c r="N34" s="47">
        <f>VLOOKUP("Inventory Maintenance",'[9]PAGE 2'!$B:$S,10,FALSE)</f>
        <v>0</v>
      </c>
      <c r="O34" s="13">
        <f>VLOOKUP("Inventory Maintenance",'[9]PAGE 2'!$B:$S,12,FALSE)</f>
        <v>489</v>
      </c>
      <c r="P34" s="47"/>
      <c r="Q34" s="13"/>
      <c r="R34" s="47"/>
      <c r="S34" s="13"/>
      <c r="T34" s="47"/>
      <c r="U34" s="13"/>
      <c r="V34" s="47">
        <f>+INDEX('[10]PAGE 2'!$1:$1048576,MATCH("Used Vehicle Maintenance Expense",'[10]PAGE 2'!$B:$B,0),16)</f>
        <v>0</v>
      </c>
      <c r="W34" s="13">
        <f>+INDEX('[10]PAGE 2'!$1:$1048576,MATCH("Used Vehicle Maintenance Expense",'[10]PAGE 2'!$B:$B,0),19)</f>
        <v>0</v>
      </c>
      <c r="X34" s="47">
        <f>VLOOKUP("Inventory Maintenance",'[11]PAGE 2'!$B:$S,10,FALSE)</f>
        <v>0</v>
      </c>
      <c r="Y34" s="13">
        <f>VLOOKUP("Inventory Maintenance",'[11]PAGE 2'!$B:$S,12,FALSE)</f>
        <v>0</v>
      </c>
      <c r="Z34" s="47">
        <f>VLOOKUP("Inventory Maintenance",'[12]PAGE 2'!$B:$S,10,FALSE)</f>
        <v>0</v>
      </c>
      <c r="AA34" s="13">
        <f>VLOOKUP("Inventory Maintenance",'[12]PAGE 2'!$B:$S,12,FALSE)</f>
        <v>0</v>
      </c>
      <c r="AB34" s="47">
        <f t="shared" si="0"/>
        <v>0</v>
      </c>
      <c r="AC34" s="13">
        <f t="shared" si="1"/>
        <v>489</v>
      </c>
    </row>
    <row r="35" spans="1:29">
      <c r="A35" s="11" t="s">
        <v>54</v>
      </c>
      <c r="B35" s="16">
        <f t="shared" ref="B35:C35" si="20">SUM(B23:B34)</f>
        <v>134825</v>
      </c>
      <c r="C35" s="17">
        <f t="shared" si="20"/>
        <v>1487776</v>
      </c>
      <c r="D35" s="16">
        <f t="shared" ref="D35:E35" si="21">SUM(D23:D34)</f>
        <v>66609</v>
      </c>
      <c r="E35" s="17">
        <f t="shared" si="21"/>
        <v>766297</v>
      </c>
      <c r="F35" s="16">
        <f t="shared" ref="F35:G35" si="22">SUM(F23:F34)</f>
        <v>52102</v>
      </c>
      <c r="G35" s="17">
        <f t="shared" si="22"/>
        <v>1202572</v>
      </c>
      <c r="H35" s="16">
        <f t="shared" ref="H35:K35" si="23">SUM(H23:H34)</f>
        <v>77306</v>
      </c>
      <c r="I35" s="17">
        <f t="shared" si="23"/>
        <v>685505</v>
      </c>
      <c r="J35" s="16">
        <f t="shared" si="23"/>
        <v>53806</v>
      </c>
      <c r="K35" s="17">
        <f t="shared" si="23"/>
        <v>506988</v>
      </c>
      <c r="L35" s="16"/>
      <c r="M35" s="17"/>
      <c r="N35" s="16">
        <f>SUM(N23:N30)-N31+N32-N33+N34</f>
        <v>87388</v>
      </c>
      <c r="O35" s="17">
        <f>SUM(O23:O30)-O31+O32-O33+O34</f>
        <v>724678</v>
      </c>
      <c r="P35" s="16">
        <f t="shared" ref="P35:R35" si="24">SUM(P22:P34)</f>
        <v>67828</v>
      </c>
      <c r="Q35" s="17">
        <f t="shared" si="24"/>
        <v>402850</v>
      </c>
      <c r="R35" s="16">
        <f t="shared" si="24"/>
        <v>65164</v>
      </c>
      <c r="S35" s="17">
        <f t="shared" ref="S35" si="25">SUM(S22:S34)</f>
        <v>658939</v>
      </c>
      <c r="T35" s="16">
        <f t="shared" ref="T35:V35" si="26">SUM(T22:T34)</f>
        <v>0</v>
      </c>
      <c r="U35" s="17">
        <f t="shared" si="26"/>
        <v>0</v>
      </c>
      <c r="V35" s="16">
        <f t="shared" si="26"/>
        <v>77848</v>
      </c>
      <c r="W35" s="17">
        <f t="shared" ref="W35" si="27">SUM(W22:W34)</f>
        <v>376298</v>
      </c>
      <c r="X35" s="16">
        <f>SUM(X23:X30)-X31+X32-X33+X34</f>
        <v>0</v>
      </c>
      <c r="Y35" s="17">
        <f>SUM(Y23:Y30)-Y31+Y32-Y33+Y34</f>
        <v>0</v>
      </c>
      <c r="Z35" s="16">
        <f>SUM(Z23:Z30)-Z31+Z32-Z33+Z34</f>
        <v>18585</v>
      </c>
      <c r="AA35" s="17">
        <f>SUM(AA23:AA30)-AA31+AA32-AA33+AA34</f>
        <v>218225</v>
      </c>
      <c r="AB35" s="16">
        <f t="shared" si="0"/>
        <v>701461</v>
      </c>
      <c r="AC35" s="17">
        <f t="shared" si="1"/>
        <v>7030128</v>
      </c>
    </row>
    <row r="36" spans="1:29">
      <c r="A36" s="4"/>
      <c r="B36" s="22"/>
      <c r="C36" s="23"/>
      <c r="D36" s="22"/>
      <c r="E36" s="23"/>
      <c r="F36" s="22"/>
      <c r="G36" s="23"/>
      <c r="H36" s="22"/>
      <c r="I36" s="23"/>
      <c r="J36" s="22"/>
      <c r="K36" s="23"/>
      <c r="L36" s="22"/>
      <c r="M36" s="23"/>
      <c r="N36" s="22"/>
      <c r="O36" s="23"/>
      <c r="P36" s="22"/>
      <c r="Q36" s="23"/>
      <c r="R36" s="22"/>
      <c r="S36" s="23"/>
      <c r="T36" s="22"/>
      <c r="U36" s="23"/>
      <c r="V36" s="22"/>
      <c r="W36" s="23"/>
      <c r="X36" s="22"/>
      <c r="Y36" s="23"/>
      <c r="Z36" s="22"/>
      <c r="AA36" s="23"/>
      <c r="AB36" s="22">
        <f t="shared" si="0"/>
        <v>0</v>
      </c>
      <c r="AC36" s="23">
        <f t="shared" si="1"/>
        <v>0</v>
      </c>
    </row>
    <row r="37" spans="1:29">
      <c r="A37" s="5" t="s">
        <v>13</v>
      </c>
      <c r="B37" s="47">
        <f>INDEX('[4]Page 2'!$B:$DP,MATCH("0200",'[4]Page 2'!$M:$M,0),42)</f>
        <v>16188</v>
      </c>
      <c r="C37" s="13">
        <f>INDEX('[4]Page 2'!$B:$DP,MATCH("0200",'[4]Page 2'!$M:$M,0),58)</f>
        <v>187635</v>
      </c>
      <c r="D37" s="47">
        <f>INDEX('[5]Page 2'!$B:$DP,MATCH("0200",'[5]Page 2'!$M:$M,0),42)</f>
        <v>21000</v>
      </c>
      <c r="E37" s="13">
        <f>INDEX('[5]Page 2'!$B:$DP,MATCH("0200",'[5]Page 2'!$M:$M,0),58)</f>
        <v>219478</v>
      </c>
      <c r="F37" s="47">
        <f>INDEX('[6]Page 2'!$B:$DP,MATCH("0200",'[6]Page 2'!$M:$M,0),42)</f>
        <v>17291</v>
      </c>
      <c r="G37" s="13">
        <f>INDEX('[6]Page 2'!$B:$DP,MATCH("0200",'[6]Page 2'!$M:$M,0),58)</f>
        <v>175867</v>
      </c>
      <c r="H37" s="47">
        <f>IFERROR(VLOOKUP("Compensation Owners",'[7]PAGE 2'!$B:$W,7,FALSE),0)</f>
        <v>10116</v>
      </c>
      <c r="I37" s="13">
        <f>IFERROR(VLOOKUP("Compensation Owners",'[7]PAGE 2'!$B:$W,9,FALSE),0)</f>
        <v>124181</v>
      </c>
      <c r="J37" s="47">
        <f>IFERROR(VLOOKUP("Compensation Owners",'[8]PAGE 2'!$B:$W,7,FALSE),0)</f>
        <v>8680</v>
      </c>
      <c r="K37" s="13">
        <f>IFERROR(VLOOKUP("Compensation Owners",'[8]PAGE 2'!$B:$W,9,FALSE),0)</f>
        <v>103268</v>
      </c>
      <c r="L37" s="47"/>
      <c r="M37" s="13"/>
      <c r="N37" s="47">
        <f>IFERROR(VLOOKUP("Owners Salaries",'[9]PAGE 2'!$B:$S,10,FALSE),0)</f>
        <v>16551</v>
      </c>
      <c r="O37" s="13">
        <f>IFERROR(VLOOKUP("Owners Salaries",'[9]PAGE 2'!$B:$S,12,FALSE),0)</f>
        <v>168206</v>
      </c>
      <c r="P37" s="47">
        <f>'[2]PAGE 2'!$AQ$15</f>
        <v>9026</v>
      </c>
      <c r="Q37" s="13">
        <f>'[2]PAGE 2'!$AQ$16</f>
        <v>115164</v>
      </c>
      <c r="R37" s="47">
        <f>[3]P2!$AF$29</f>
        <v>8234</v>
      </c>
      <c r="S37" s="13">
        <f>[3]P2!$AF$31</f>
        <v>108108</v>
      </c>
      <c r="T37" s="47"/>
      <c r="U37" s="13"/>
      <c r="V37" s="47">
        <f>+INDEX('[10]PAGE 2'!$1:$1048576,MATCH("Salaries - Owners/General Managers",'[10]PAGE 2'!$B:$B,0),16)</f>
        <v>0</v>
      </c>
      <c r="W37" s="13">
        <f>+INDEX('[10]PAGE 2'!$1:$1048576,MATCH("Salaries - Owners/General Managers",'[10]PAGE 2'!$B:$B,0),19)</f>
        <v>12220</v>
      </c>
      <c r="X37" s="47">
        <f>IFERROR(VLOOKUP("Owners Salaries",'[11]PAGE 2'!$B:$S,10,FALSE),0)</f>
        <v>0</v>
      </c>
      <c r="Y37" s="13">
        <f>IFERROR(VLOOKUP("Owners Salaries",'[11]PAGE 2'!$B:$S,12,FALSE),0)</f>
        <v>0</v>
      </c>
      <c r="Z37" s="47">
        <f>IFERROR(VLOOKUP("Owners Salaries",'[12]PAGE 2'!$B:$S,10,FALSE),0)</f>
        <v>7000</v>
      </c>
      <c r="AA37" s="13">
        <f>IFERROR(VLOOKUP("Owners Salaries",'[12]PAGE 2'!$B:$S,12,FALSE),0)</f>
        <v>28788</v>
      </c>
      <c r="AB37" s="47">
        <f t="shared" si="0"/>
        <v>114086</v>
      </c>
      <c r="AC37" s="13">
        <f t="shared" si="1"/>
        <v>1242915</v>
      </c>
    </row>
    <row r="38" spans="1:29">
      <c r="A38" s="5" t="s">
        <v>14</v>
      </c>
      <c r="B38" s="47">
        <f>INDEX('[4]Page 2'!$B:$DP,MATCH("0210",'[4]Page 2'!$M:$M,0),42)</f>
        <v>117260</v>
      </c>
      <c r="C38" s="13">
        <f>INDEX('[4]Page 2'!$B:$DP,MATCH("0210",'[4]Page 2'!$M:$M,0),58)</f>
        <v>1289078</v>
      </c>
      <c r="D38" s="47">
        <f>INDEX('[5]Page 2'!$B:$DP,MATCH("0210",'[5]Page 2'!$M:$M,0),42)</f>
        <v>42650</v>
      </c>
      <c r="E38" s="13">
        <f>INDEX('[5]Page 2'!$B:$DP,MATCH("0210",'[5]Page 2'!$M:$M,0),58)</f>
        <v>404608</v>
      </c>
      <c r="F38" s="47">
        <f>INDEX('[6]Page 2'!$B:$DP,MATCH("0210",'[6]Page 2'!$M:$M,0),42)</f>
        <v>69312</v>
      </c>
      <c r="G38" s="13">
        <f>INDEX('[6]Page 2'!$B:$DP,MATCH("0210",'[6]Page 2'!$M:$M,0),58)</f>
        <v>848738</v>
      </c>
      <c r="H38" s="47">
        <f>IFERROR(VLOOKUP("Compensation Supervisors",'[7]PAGE 2'!$B:$W,7,FALSE),0)</f>
        <v>17008</v>
      </c>
      <c r="I38" s="13">
        <f>IFERROR(VLOOKUP("Compensation Supervisors",'[7]PAGE 2'!$B:$W,9,FALSE),0)</f>
        <v>173745</v>
      </c>
      <c r="J38" s="47">
        <f>IFERROR(VLOOKUP("Compensation Supervisors",'[8]PAGE 2'!$B:$W,7,FALSE),0)</f>
        <v>23270</v>
      </c>
      <c r="K38" s="13">
        <f>IFERROR(VLOOKUP("Compensation Supervisors",'[8]PAGE 2'!$B:$W,9,FALSE),0)</f>
        <v>226473</v>
      </c>
      <c r="L38" s="47"/>
      <c r="M38" s="13"/>
      <c r="N38" s="47">
        <f>VLOOKUP("Supervision Compensation",'[9]PAGE 2'!$B:$S,10,FALSE)+VLOOKUP("Supervision Compensation - Scion only",'[9]PAGE 2'!$B:$S,10,FALSE)</f>
        <v>41962</v>
      </c>
      <c r="O38" s="13">
        <f>VLOOKUP("Supervision Compensation",'[9]PAGE 2'!$B:$S,12,FALSE)+VLOOKUP("Supervision Compensation - Scion only",'[9]PAGE 2'!$B:$S,12,FALSE)</f>
        <v>422929</v>
      </c>
      <c r="P38" s="47">
        <f>'[2]PAGE 4'!$F$53+'[2]PAGE 4'!$F$45+$Q$3*('[2]PAGE 6'!$O$5)</f>
        <v>25271</v>
      </c>
      <c r="Q38" s="13">
        <f>'[2]PAGE 4'!$R$53+'[2]PAGE 4'!$R$45+'[2]PAGE 6'!$AU$5</f>
        <v>345487</v>
      </c>
      <c r="R38" s="47">
        <f>SUM([3]P4!$F$105:$K$106)+SUM([3]P6!$AS$9:$AW$10)*S3</f>
        <v>38003</v>
      </c>
      <c r="S38" s="1">
        <f>SUM([3]P4!$P$105)+SUM([3]P6!$AS$9)</f>
        <v>346904</v>
      </c>
      <c r="T38" s="47"/>
      <c r="U38" s="13"/>
      <c r="V38" s="47">
        <f>+INDEX('[10]PAGE 2'!$1:$1048576,MATCH("Salaries - Supervision",'[10]PAGE 2'!$B:$B,0),16)</f>
        <v>18500</v>
      </c>
      <c r="W38" s="13">
        <f>+INDEX('[10]PAGE 2'!$1:$1048576,MATCH("Salaries - Supervision",'[10]PAGE 2'!$B:$B,0),19)</f>
        <v>128603</v>
      </c>
      <c r="X38" s="47">
        <f>VLOOKUP("Supervision Compensation",'[11]PAGE 2'!$B:$S,10,FALSE)+VLOOKUP("Supervision Compensation - Scion only",'[11]PAGE 2'!$B:$S,10,FALSE)</f>
        <v>0</v>
      </c>
      <c r="Y38" s="13">
        <f>VLOOKUP("Supervision Compensation",'[11]PAGE 2'!$B:$S,12,FALSE)+VLOOKUP("Supervision Compensation - Scion only",'[11]PAGE 2'!$B:$S,12,FALSE)</f>
        <v>0</v>
      </c>
      <c r="Z38" s="47">
        <f>VLOOKUP("Supervision Compensation",'[12]PAGE 2'!$B:$S,10,FALSE)+VLOOKUP("Supervision Compensation - Scion only",'[12]PAGE 2'!$B:$S,10,FALSE)</f>
        <v>36142</v>
      </c>
      <c r="AA38" s="13">
        <f>VLOOKUP("Supervision Compensation",'[12]PAGE 2'!$B:$S,12,FALSE)+VLOOKUP("Supervision Compensation - Scion only",'[12]PAGE 2'!$B:$S,12,FALSE)</f>
        <v>96192</v>
      </c>
      <c r="AB38" s="47">
        <f t="shared" si="0"/>
        <v>429378</v>
      </c>
      <c r="AC38" s="13">
        <f t="shared" si="1"/>
        <v>4282757</v>
      </c>
    </row>
    <row r="39" spans="1:29">
      <c r="A39" s="5" t="s">
        <v>15</v>
      </c>
      <c r="B39" s="47">
        <f>INDEX('[4]Page 2'!$B:$DP,MATCH("0220",'[4]Page 2'!$M:$M,0),42)</f>
        <v>8133</v>
      </c>
      <c r="C39" s="13">
        <f>INDEX('[4]Page 2'!$B:$DP,MATCH("0220",'[4]Page 2'!$M:$M,0),58)</f>
        <v>62812</v>
      </c>
      <c r="D39" s="47">
        <f>INDEX('[5]Page 2'!$B:$DP,MATCH("0220",'[5]Page 2'!$M:$M,0),42)</f>
        <v>10692</v>
      </c>
      <c r="E39" s="13">
        <f>INDEX('[5]Page 2'!$B:$DP,MATCH("0220",'[5]Page 2'!$M:$M,0),58)</f>
        <v>106883</v>
      </c>
      <c r="F39" s="47">
        <f>INDEX('[6]Page 2'!$B:$DP,MATCH("0220",'[6]Page 2'!$M:$M,0),42)</f>
        <v>10066</v>
      </c>
      <c r="G39" s="13">
        <f>INDEX('[6]Page 2'!$B:$DP,MATCH("0220",'[6]Page 2'!$M:$M,0),58)</f>
        <v>115166</v>
      </c>
      <c r="H39" s="47">
        <f>IFERROR(VLOOKUP("Compensation Clerical",'[7]PAGE 2'!$B:$W,7,FALSE),0)</f>
        <v>5863</v>
      </c>
      <c r="I39" s="13">
        <f>IFERROR(VLOOKUP("Compensation Clerical",'[7]PAGE 2'!$B:$W,9,FALSE),0)</f>
        <v>62882</v>
      </c>
      <c r="J39" s="47">
        <f>IFERROR(VLOOKUP("Compensation Clerical",'[8]PAGE 2'!$B:$W,7,FALSE),0)</f>
        <v>4969</v>
      </c>
      <c r="K39" s="13">
        <f>IFERROR(VLOOKUP("Compensation Clerical",'[8]PAGE 2'!$B:$W,9,FALSE),0)</f>
        <v>43178</v>
      </c>
      <c r="L39" s="47"/>
      <c r="M39" s="13"/>
      <c r="N39" s="47">
        <f>IFERROR(VLOOKUP("Clerical Salaries",'[9]PAGE 2'!$B:$S,10,FALSE),0)</f>
        <v>0</v>
      </c>
      <c r="O39" s="13">
        <f>IFERROR(VLOOKUP("Clerical Salaries",'[9]PAGE 2'!$B:$S,12,FALSE),0)</f>
        <v>9639</v>
      </c>
      <c r="P39" s="47">
        <f>$Q$3*'[2]PAGE 6'!$O$6</f>
        <v>6196.6958523372095</v>
      </c>
      <c r="Q39" s="13">
        <f>'[2]PAGE 6'!$AU$6</f>
        <v>72625</v>
      </c>
      <c r="R39" s="47">
        <f>[3]P6!$M$11*S3</f>
        <v>8354.6520254126026</v>
      </c>
      <c r="S39" s="13">
        <f>[3]P6!$AS$11</f>
        <v>75454</v>
      </c>
      <c r="T39" s="47"/>
      <c r="U39" s="13"/>
      <c r="V39" s="47">
        <f>+INDEX('[10]PAGE 2'!$1:$1048576,MATCH("Salaries - clerical",'[10]PAGE 2'!$B:$B,0),16)</f>
        <v>24317</v>
      </c>
      <c r="W39" s="13">
        <f>+INDEX('[10]PAGE 2'!$1:$1048576,MATCH("Salaries - clerical",'[10]PAGE 2'!$B:$B,0),19)</f>
        <v>132217</v>
      </c>
      <c r="X39" s="47">
        <f>IFERROR(VLOOKUP("Clerical Salaries",'[11]PAGE 2'!$B:$S,10,FALSE),0)</f>
        <v>0</v>
      </c>
      <c r="Y39" s="13">
        <f>IFERROR(VLOOKUP("Clerical Salaries",'[11]PAGE 2'!$B:$S,12,FALSE),0)</f>
        <v>0</v>
      </c>
      <c r="Z39" s="47">
        <f>IFERROR(VLOOKUP("Clerical Salaries",'[12]PAGE 2'!$B:$S,10,FALSE),0)</f>
        <v>4109</v>
      </c>
      <c r="AA39" s="13">
        <f>IFERROR(VLOOKUP("Clerical Salaries",'[12]PAGE 2'!$B:$S,12,FALSE),0)</f>
        <v>13745</v>
      </c>
      <c r="AB39" s="47">
        <f t="shared" si="0"/>
        <v>82700.347877749809</v>
      </c>
      <c r="AC39" s="13">
        <f t="shared" si="1"/>
        <v>694601</v>
      </c>
    </row>
    <row r="40" spans="1:29">
      <c r="A40" s="5" t="s">
        <v>16</v>
      </c>
      <c r="B40" s="47">
        <f>INDEX('[4]Page 2'!$B:$DP,MATCH("0230",'[4]Page 2'!$M:$M,0),42)</f>
        <v>5493</v>
      </c>
      <c r="C40" s="13">
        <f>INDEX('[4]Page 2'!$B:$DP,MATCH("0230",'[4]Page 2'!$M:$M,0),58)</f>
        <v>45125</v>
      </c>
      <c r="D40" s="47">
        <f>INDEX('[5]Page 2'!$B:$DP,MATCH("0230",'[5]Page 2'!$M:$M,0),42)</f>
        <v>11333</v>
      </c>
      <c r="E40" s="13">
        <f>INDEX('[5]Page 2'!$B:$DP,MATCH("0230",'[5]Page 2'!$M:$M,0),58)</f>
        <v>178746</v>
      </c>
      <c r="F40" s="47">
        <f>INDEX('[6]Page 2'!$B:$DP,MATCH("0230",'[6]Page 2'!$M:$M,0),42)</f>
        <v>18508</v>
      </c>
      <c r="G40" s="13">
        <f>INDEX('[6]Page 2'!$B:$DP,MATCH("0230",'[6]Page 2'!$M:$M,0),58)</f>
        <v>136248</v>
      </c>
      <c r="H40" s="47">
        <f>IFERROR(VLOOKUP("Other Salaries &amp; Wages",'[7]PAGE 2'!$B:$W,7,FALSE),0)</f>
        <v>14776</v>
      </c>
      <c r="I40" s="13">
        <f>IFERROR(VLOOKUP("Other Salaries &amp; Wages",'[7]PAGE 2'!$B:$W,9,FALSE),0)</f>
        <v>168874</v>
      </c>
      <c r="J40" s="47">
        <f>IFERROR(VLOOKUP("Other Salaries &amp; Wages",'[8]PAGE 2'!$B:$W,7,FALSE),0)</f>
        <v>4643</v>
      </c>
      <c r="K40" s="13">
        <f>IFERROR(VLOOKUP("Other Salaries &amp; Wages",'[8]PAGE 2'!$B:$W,9,FALSE),0)</f>
        <v>45963</v>
      </c>
      <c r="L40" s="47"/>
      <c r="M40" s="13"/>
      <c r="N40" s="47">
        <f>IFERROR(VLOOKUP("Salaries &amp; Wages",'[9]PAGE 2'!$B:$S,10,FALSE)+VLOOKUP("Salaries &amp; Wages - Admin. &amp; General",'[9]PAGE 2'!$B:$S,10,FALSE),0)</f>
        <v>28746</v>
      </c>
      <c r="O40" s="13">
        <f>IFERROR(VLOOKUP("Salaries &amp; Wages",'[9]PAGE 2'!$B:$S,12,FALSE)+VLOOKUP("Salaries &amp; Wages - Admin. &amp; General",'[9]PAGE 2'!$B:$S,12,FALSE),0)</f>
        <v>243884</v>
      </c>
      <c r="P40" s="47">
        <f>'[2]PAGE 4'!$F$54</f>
        <v>2936</v>
      </c>
      <c r="Q40" s="13">
        <f>'[2]PAGE 4'!$R$54</f>
        <v>46305</v>
      </c>
      <c r="R40" s="47">
        <f>[3]P4!$F$107</f>
        <v>2338</v>
      </c>
      <c r="S40" s="13">
        <f>[3]P4!$P$107</f>
        <v>38343</v>
      </c>
      <c r="T40" s="47"/>
      <c r="U40" s="13"/>
      <c r="V40" s="47">
        <f>+INDEX('[10]PAGE 2'!$1:$1048576,MATCH("Other salaries and wages",'[10]PAGE 2'!$B:$B,0),16)</f>
        <v>486</v>
      </c>
      <c r="W40" s="13">
        <f>+INDEX('[10]PAGE 2'!$1:$1048576,MATCH("Other salaries and wages",'[10]PAGE 2'!$B:$B,0),19)</f>
        <v>3251</v>
      </c>
      <c r="X40" s="47">
        <f>IFERROR(VLOOKUP("Salaries &amp; Wages",'[11]PAGE 2'!$B:$S,10,FALSE)+VLOOKUP("Salaries &amp; Wages - Admin. &amp; General",'[11]PAGE 2'!$B:$S,10,FALSE),0)</f>
        <v>0</v>
      </c>
      <c r="Y40" s="13">
        <f>IFERROR(VLOOKUP("Salaries &amp; Wages",'[11]PAGE 2'!$B:$S,12,FALSE)+VLOOKUP("Salaries &amp; Wages - Admin. &amp; General",'[11]PAGE 2'!$B:$S,12,FALSE),0)</f>
        <v>0</v>
      </c>
      <c r="Z40" s="47">
        <f>IFERROR(VLOOKUP("Salaries &amp; Wages",'[12]PAGE 2'!$B:$S,10,FALSE)+VLOOKUP("Salaries &amp; Wages - Admin. &amp; General",'[12]PAGE 2'!$B:$S,10,FALSE),0)</f>
        <v>16501</v>
      </c>
      <c r="AA40" s="13">
        <f>IFERROR(VLOOKUP("Salaries &amp; Wages",'[12]PAGE 2'!$B:$S,12,FALSE)+VLOOKUP("Salaries &amp; Wages - Admin. &amp; General",'[12]PAGE 2'!$B:$S,12,FALSE),0)</f>
        <v>47157</v>
      </c>
      <c r="AB40" s="47">
        <f t="shared" si="0"/>
        <v>105760</v>
      </c>
      <c r="AC40" s="13">
        <f t="shared" si="1"/>
        <v>953896</v>
      </c>
    </row>
    <row r="41" spans="1:29">
      <c r="A41" s="5" t="s">
        <v>17</v>
      </c>
      <c r="B41" s="47">
        <f>INDEX('[4]Page 2'!$B:$DP,MATCH("0240",'[4]Page 2'!$M:$M,0),42)</f>
        <v>0</v>
      </c>
      <c r="C41" s="13">
        <f>INDEX('[4]Page 2'!$B:$DP,MATCH("0240",'[4]Page 2'!$M:$M,0),58)</f>
        <v>0</v>
      </c>
      <c r="D41" s="47">
        <f>INDEX('[5]Page 2'!$B:$DP,MATCH("0240",'[5]Page 2'!$M:$M,0),42)</f>
        <v>0</v>
      </c>
      <c r="E41" s="13">
        <f>INDEX('[5]Page 2'!$B:$DP,MATCH("0240",'[5]Page 2'!$M:$M,0),58)</f>
        <v>0</v>
      </c>
      <c r="F41" s="47">
        <f>INDEX('[6]Page 2'!$B:$DP,MATCH("0240",'[6]Page 2'!$M:$M,0),42)</f>
        <v>0</v>
      </c>
      <c r="G41" s="13">
        <f>INDEX('[6]Page 2'!$B:$DP,MATCH("0240",'[6]Page 2'!$M:$M,0),58)</f>
        <v>0</v>
      </c>
      <c r="H41" s="47">
        <f>IFERROR(VLOOKUP("Absentee Wages - Productive",'[7]PAGE 2'!$B:$W,7,FALSE),0)</f>
        <v>-174</v>
      </c>
      <c r="I41" s="13">
        <f>IFERROR(VLOOKUP("Absentee Wages - Productive",'[7]PAGE 2'!$B:$W,9,FALSE),0)</f>
        <v>14071</v>
      </c>
      <c r="J41" s="47">
        <f>IFERROR(VLOOKUP("Absentee Wages - Productive",'[8]PAGE 2'!$B:$W,7,FALSE),0)</f>
        <v>-1003</v>
      </c>
      <c r="K41" s="13">
        <f>IFERROR(VLOOKUP("Absentee Wages - Productive",'[8]PAGE 2'!$B:$W,9,FALSE),0)</f>
        <v>5997</v>
      </c>
      <c r="L41" s="47"/>
      <c r="M41" s="13"/>
      <c r="N41" s="47">
        <f>IFERROR(VLOOKUP("Vacation &amp; Time Off Pay",'[9]PAGE 2'!$B:$S,10,FALSE),0)</f>
        <v>2100</v>
      </c>
      <c r="O41" s="13">
        <f>IFERROR(VLOOKUP("Vacation &amp; Time Off Pay",'[9]PAGE 2'!$B:$S,12,FALSE),0)</f>
        <v>18375</v>
      </c>
      <c r="P41" s="47"/>
      <c r="Q41" s="13"/>
      <c r="R41" s="47"/>
      <c r="S41" s="13"/>
      <c r="T41" s="47"/>
      <c r="U41" s="13"/>
      <c r="V41" s="47">
        <f>+INDEX('[10]PAGE 2'!$1:$1048576,MATCH("Leave - vacation, sick &amp; holiday compensation",'[10]PAGE 2'!$B:$B,0),16)</f>
        <v>1320</v>
      </c>
      <c r="W41" s="13">
        <f>+INDEX('[10]PAGE 2'!$1:$1048576,MATCH("Leave - vacation, sick &amp; holiday compensation",'[10]PAGE 2'!$B:$B,0),19)</f>
        <v>5551</v>
      </c>
      <c r="X41" s="47">
        <f>IFERROR(VLOOKUP("Vacation &amp; Time Off Pay",'[11]PAGE 2'!$B:$S,10,FALSE),0)</f>
        <v>0</v>
      </c>
      <c r="Y41" s="13">
        <f>IFERROR(VLOOKUP("Vacation &amp; Time Off Pay",'[11]PAGE 2'!$B:$S,12,FALSE),0)</f>
        <v>0</v>
      </c>
      <c r="Z41" s="47">
        <f>IFERROR(VLOOKUP("Vacation &amp; Time Off Pay",'[12]PAGE 2'!$B:$S,10,FALSE),0)</f>
        <v>1348</v>
      </c>
      <c r="AA41" s="13">
        <f>IFERROR(VLOOKUP("Vacation &amp; Time Off Pay",'[12]PAGE 2'!$B:$S,12,FALSE),0)</f>
        <v>1749</v>
      </c>
      <c r="AB41" s="47">
        <f t="shared" si="0"/>
        <v>3591</v>
      </c>
      <c r="AC41" s="13">
        <f t="shared" si="1"/>
        <v>45743</v>
      </c>
    </row>
    <row r="42" spans="1:29">
      <c r="A42" s="5" t="s">
        <v>18</v>
      </c>
      <c r="B42" s="47">
        <f>INDEX('[4]Page 2'!$B:$DP,MATCH("0250",'[4]Page 2'!$M:$M,0),42)</f>
        <v>12136</v>
      </c>
      <c r="C42" s="13">
        <f>INDEX('[4]Page 2'!$B:$DP,MATCH("0250",'[4]Page 2'!$M:$M,0),58)</f>
        <v>277646</v>
      </c>
      <c r="D42" s="47">
        <f>INDEX('[5]Page 2'!$B:$DP,MATCH("0250",'[5]Page 2'!$M:$M,0),42)</f>
        <v>7107</v>
      </c>
      <c r="E42" s="13">
        <f>INDEX('[5]Page 2'!$B:$DP,MATCH("0250",'[5]Page 2'!$M:$M,0),58)</f>
        <v>106170</v>
      </c>
      <c r="F42" s="47">
        <f>INDEX('[6]Page 2'!$B:$DP,MATCH("0250",'[6]Page 2'!$M:$M,0),42)</f>
        <v>11280</v>
      </c>
      <c r="G42" s="13">
        <f>INDEX('[6]Page 2'!$B:$DP,MATCH("0250",'[6]Page 2'!$M:$M,0),58)</f>
        <v>177479</v>
      </c>
      <c r="H42" s="47">
        <f>IFERROR(VLOOKUP("Payroll Taxes",'[7]PAGE 2'!$B:$W,7,FALSE),0)</f>
        <v>5842</v>
      </c>
      <c r="I42" s="13">
        <f>IFERROR(VLOOKUP("Payroll Taxes",'[7]PAGE 2'!$B:$W,9,FALSE),0)</f>
        <v>81168</v>
      </c>
      <c r="J42" s="47">
        <f>IFERROR(VLOOKUP("Payroll Taxes",'[8]PAGE 2'!$B:$W,7,FALSE),0)</f>
        <v>5824</v>
      </c>
      <c r="K42" s="13">
        <f>IFERROR(VLOOKUP("Payroll Taxes",'[8]PAGE 2'!$B:$W,9,FALSE),0)</f>
        <v>69846</v>
      </c>
      <c r="L42" s="47"/>
      <c r="M42" s="13"/>
      <c r="N42" s="47">
        <f>IFERROR(VLOOKUP("Payroll Taxes",'[9]PAGE 2'!$B:$S,10,FALSE),0)</f>
        <v>8826</v>
      </c>
      <c r="O42" s="13">
        <f>IFERROR(VLOOKUP("Payroll Taxes",'[9]PAGE 2'!$B:$S,12,FALSE),0)</f>
        <v>116333</v>
      </c>
      <c r="P42" s="47">
        <f>$Q$3*'[2]PAGE 6'!$O$8</f>
        <v>6919.4379349478595</v>
      </c>
      <c r="Q42" s="13">
        <f>'[2]PAGE 6'!$AU$8</f>
        <v>83610</v>
      </c>
      <c r="R42" s="47">
        <f>[3]P6!$M$15*S3</f>
        <v>7852.0594972811732</v>
      </c>
      <c r="S42" s="13">
        <f>[3]P6!$AS$15</f>
        <v>110702</v>
      </c>
      <c r="T42" s="47"/>
      <c r="U42" s="13"/>
      <c r="V42" s="47">
        <f>+INDEX('[10]PAGE 2'!$1:$1048576,MATCH("taxes payroll",'[10]PAGE 2'!$B:$B,0),16)</f>
        <v>8829</v>
      </c>
      <c r="W42" s="13">
        <f>+INDEX('[10]PAGE 2'!$1:$1048576,MATCH("taxes payroll",'[10]PAGE 2'!$B:$B,0),19)</f>
        <v>50625</v>
      </c>
      <c r="X42" s="47">
        <f>IFERROR(VLOOKUP("Payroll Taxes",'[11]PAGE 2'!$B:$S,10,FALSE),0)</f>
        <v>0</v>
      </c>
      <c r="Y42" s="13">
        <f>IFERROR(VLOOKUP("Payroll Taxes",'[11]PAGE 2'!$B:$S,12,FALSE),0)</f>
        <v>0</v>
      </c>
      <c r="Z42" s="47">
        <f>IFERROR(VLOOKUP("Payroll Taxes",'[12]PAGE 2'!$B:$S,10,FALSE),0)</f>
        <v>7806</v>
      </c>
      <c r="AA42" s="13">
        <f>IFERROR(VLOOKUP("Payroll Taxes",'[12]PAGE 2'!$B:$S,12,FALSE),0)</f>
        <v>24257</v>
      </c>
      <c r="AB42" s="47">
        <f t="shared" si="0"/>
        <v>82421.497432229036</v>
      </c>
      <c r="AC42" s="13">
        <f t="shared" si="1"/>
        <v>1097836</v>
      </c>
    </row>
    <row r="43" spans="1:29">
      <c r="A43" s="5" t="s">
        <v>19</v>
      </c>
      <c r="B43" s="47">
        <f>INDEX('[4]Page 2'!$B:$DP,MATCH("0260",'[4]Page 2'!$M:$M,0),42)</f>
        <v>11464</v>
      </c>
      <c r="C43" s="13">
        <f>INDEX('[4]Page 2'!$B:$DP,MATCH("0260",'[4]Page 2'!$M:$M,0),58)</f>
        <v>119383</v>
      </c>
      <c r="D43" s="47">
        <f>INDEX('[5]Page 2'!$B:$DP,MATCH("0260",'[5]Page 2'!$M:$M,0),42)</f>
        <v>8958</v>
      </c>
      <c r="E43" s="13">
        <f>INDEX('[5]Page 2'!$B:$DP,MATCH("0260",'[5]Page 2'!$M:$M,0),58)</f>
        <v>77553</v>
      </c>
      <c r="F43" s="47">
        <f>INDEX('[6]Page 2'!$B:$DP,MATCH("0260",'[6]Page 2'!$M:$M,0),42)</f>
        <v>14249</v>
      </c>
      <c r="G43" s="13">
        <f>INDEX('[6]Page 2'!$B:$DP,MATCH("0260",'[6]Page 2'!$M:$M,0),58)</f>
        <v>152813</v>
      </c>
      <c r="H43" s="47">
        <f>IFERROR(VLOOKUP("Employee Benefits/Pension/401K/Workers' Comp",'[7]PAGE 2'!$B:$W,7,FALSE),0)</f>
        <v>14616</v>
      </c>
      <c r="I43" s="13">
        <f>IFERROR(VLOOKUP("Employee Benefits/Pension/401K/Workers' Comp",'[7]PAGE 2'!$B:$W,9,FALSE),0)</f>
        <v>113985</v>
      </c>
      <c r="J43" s="47">
        <f>IFERROR(VLOOKUP("Employee Benefits/Pension/401K/Workers' Comp",'[8]PAGE 2'!$B:$W,7,FALSE),0)</f>
        <v>6130</v>
      </c>
      <c r="K43" s="13">
        <f>IFERROR(VLOOKUP("Employee Benefits/Pension/401K/Workers' Comp",'[8]PAGE 2'!$B:$W,9,FALSE),0)</f>
        <v>53146</v>
      </c>
      <c r="L43" s="47"/>
      <c r="M43" s="13"/>
      <c r="N43" s="47">
        <f>IFERROR(VLOOKUP("Employee Benefits",'[9]PAGE 2'!$B:$S,10,FALSE),0)</f>
        <v>11309</v>
      </c>
      <c r="O43" s="13">
        <f>IFERROR(VLOOKUP("Employee Benefits",'[9]PAGE 2'!$B:$S,12,FALSE),0)</f>
        <v>102430</v>
      </c>
      <c r="P43" s="47">
        <f>$Q$3*'[2]PAGE 6'!$O$7</f>
        <v>7393.9251193764585</v>
      </c>
      <c r="Q43" s="13">
        <f>'[2]PAGE 6'!$AU$7</f>
        <v>74131</v>
      </c>
      <c r="R43" s="47">
        <f>[3]P6!$M$13*S3</f>
        <v>7248.4864611995026</v>
      </c>
      <c r="S43" s="13">
        <f>[3]P6!$AS$13</f>
        <v>78118</v>
      </c>
      <c r="T43" s="47"/>
      <c r="U43" s="13"/>
      <c r="V43" s="47">
        <f>+INDEX('[10]PAGE 2'!$1:$1048576,MATCH("employee benefits",'[10]PAGE 2'!$B:$B,0),16)</f>
        <v>2915</v>
      </c>
      <c r="W43" s="13">
        <f>+INDEX('[10]PAGE 2'!$1:$1048576,MATCH("employee benefits",'[10]PAGE 2'!$B:$B,0),19)</f>
        <v>9259</v>
      </c>
      <c r="X43" s="47">
        <f>IFERROR(VLOOKUP("Employee Benefits",'[11]PAGE 2'!$B:$S,10,FALSE),0)</f>
        <v>0</v>
      </c>
      <c r="Y43" s="13">
        <f>IFERROR(VLOOKUP("Employee Benefits",'[11]PAGE 2'!$B:$S,12,FALSE),0)</f>
        <v>0</v>
      </c>
      <c r="Z43" s="47">
        <f>IFERROR(VLOOKUP("Employee Benefits",'[12]PAGE 2'!$B:$S,10,FALSE),0)</f>
        <v>9432</v>
      </c>
      <c r="AA43" s="13">
        <f>IFERROR(VLOOKUP("Employee Benefits",'[12]PAGE 2'!$B:$S,12,FALSE),0)</f>
        <v>22266</v>
      </c>
      <c r="AB43" s="47">
        <f t="shared" si="0"/>
        <v>93715.411580575965</v>
      </c>
      <c r="AC43" s="13">
        <f t="shared" si="1"/>
        <v>803084</v>
      </c>
    </row>
    <row r="44" spans="1:29">
      <c r="A44" s="5" t="s">
        <v>20</v>
      </c>
      <c r="B44" s="47"/>
      <c r="C44" s="13"/>
      <c r="D44" s="47"/>
      <c r="E44" s="13"/>
      <c r="F44" s="47"/>
      <c r="G44" s="13"/>
      <c r="H44" s="47"/>
      <c r="I44" s="13"/>
      <c r="J44" s="47"/>
      <c r="K44" s="13"/>
      <c r="L44" s="47"/>
      <c r="M44" s="13"/>
      <c r="N44" s="47">
        <f>IFERROR(VLOOKUP("Pension Fund/Profit Sharing",'[9]PAGE 2'!$B:$S,10,FALSE),0)</f>
        <v>483</v>
      </c>
      <c r="O44" s="13">
        <f>IFERROR(VLOOKUP("Pension Fund/Profit Sharing",'[9]PAGE 2'!$B:$S,12,FALSE),0)</f>
        <v>6701</v>
      </c>
      <c r="P44" s="47">
        <f>$Q$3*'[2]PAGE 6'!$O$9</f>
        <v>710.06239695081479</v>
      </c>
      <c r="Q44" s="13">
        <f>'[2]PAGE 6'!$AU$9</f>
        <v>7962</v>
      </c>
      <c r="R44" s="47">
        <f>[3]P6!$M$17*S3</f>
        <v>877.14441219523235</v>
      </c>
      <c r="S44" s="13">
        <f>[3]P6!$AS$17</f>
        <v>11732</v>
      </c>
      <c r="T44" s="47"/>
      <c r="U44" s="13"/>
      <c r="V44" s="47">
        <f>+INDEX('[10]PAGE 2'!$1:$1048576,MATCH("pension &amp; profit sharing",'[10]PAGE 2'!$B:$B,0),16)</f>
        <v>113</v>
      </c>
      <c r="W44" s="13">
        <f>+INDEX('[10]PAGE 2'!$1:$1048576,MATCH("pension &amp; profit sharing",'[10]PAGE 2'!$B:$B,0),19)</f>
        <v>1136</v>
      </c>
      <c r="X44" s="47">
        <f>IFERROR(VLOOKUP("Pension Fund/Profit Sharing",'[11]PAGE 2'!$B:$S,10,FALSE),0)</f>
        <v>0</v>
      </c>
      <c r="Y44" s="13">
        <f>IFERROR(VLOOKUP("Pension Fund/Profit Sharing",'[11]PAGE 2'!$B:$S,12,FALSE),0)</f>
        <v>0</v>
      </c>
      <c r="Z44" s="47">
        <f>IFERROR(VLOOKUP("Pension Fund/Profit Sharing",'[12]PAGE 2'!$B:$S,10,FALSE),0)</f>
        <v>0</v>
      </c>
      <c r="AA44" s="13">
        <f>IFERROR(VLOOKUP("Pension Fund/Profit Sharing",'[12]PAGE 2'!$B:$S,12,FALSE),0)</f>
        <v>0</v>
      </c>
      <c r="AB44" s="47">
        <f t="shared" si="0"/>
        <v>2183.2068091460469</v>
      </c>
      <c r="AC44" s="13">
        <f t="shared" si="1"/>
        <v>27531</v>
      </c>
    </row>
    <row r="45" spans="1:29">
      <c r="A45" s="4" t="s">
        <v>55</v>
      </c>
      <c r="B45" s="24">
        <f t="shared" ref="B45:C45" si="28">SUM(B37:B44)</f>
        <v>170674</v>
      </c>
      <c r="C45" s="25">
        <f t="shared" si="28"/>
        <v>1981679</v>
      </c>
      <c r="D45" s="24">
        <f t="shared" ref="D45:E45" si="29">SUM(D37:D44)</f>
        <v>101740</v>
      </c>
      <c r="E45" s="25">
        <f t="shared" si="29"/>
        <v>1093438</v>
      </c>
      <c r="F45" s="24">
        <f t="shared" ref="F45:G45" si="30">SUM(F37:F44)</f>
        <v>140706</v>
      </c>
      <c r="G45" s="25">
        <f t="shared" si="30"/>
        <v>1606311</v>
      </c>
      <c r="H45" s="24">
        <f t="shared" ref="H45:O45" si="31">SUM(H37:H44)</f>
        <v>68047</v>
      </c>
      <c r="I45" s="25">
        <f t="shared" si="31"/>
        <v>738906</v>
      </c>
      <c r="J45" s="24">
        <f t="shared" si="31"/>
        <v>52513</v>
      </c>
      <c r="K45" s="25">
        <f t="shared" si="31"/>
        <v>547871</v>
      </c>
      <c r="L45" s="24"/>
      <c r="M45" s="25"/>
      <c r="N45" s="24">
        <f t="shared" si="31"/>
        <v>109977</v>
      </c>
      <c r="O45" s="25">
        <f t="shared" si="31"/>
        <v>1088497</v>
      </c>
      <c r="P45" s="24">
        <f t="shared" ref="P45:R45" si="32">SUM(P36:P44)</f>
        <v>58453.121303612344</v>
      </c>
      <c r="Q45" s="25">
        <f t="shared" si="32"/>
        <v>745284</v>
      </c>
      <c r="R45" s="24">
        <f t="shared" si="32"/>
        <v>72907.342396088512</v>
      </c>
      <c r="S45" s="25">
        <f t="shared" ref="S45" si="33">SUM(S36:S44)</f>
        <v>769361</v>
      </c>
      <c r="T45" s="24">
        <f t="shared" ref="T45:V45" si="34">SUM(T36:T44)</f>
        <v>0</v>
      </c>
      <c r="U45" s="25">
        <f t="shared" si="34"/>
        <v>0</v>
      </c>
      <c r="V45" s="24">
        <f t="shared" si="34"/>
        <v>56480</v>
      </c>
      <c r="W45" s="25">
        <f t="shared" ref="W45" si="35">SUM(W36:W44)</f>
        <v>342862</v>
      </c>
      <c r="X45" s="24">
        <f t="shared" ref="X45:AA45" si="36">SUM(X37:X44)</f>
        <v>0</v>
      </c>
      <c r="Y45" s="25">
        <f t="shared" si="36"/>
        <v>0</v>
      </c>
      <c r="Z45" s="24">
        <f t="shared" si="36"/>
        <v>82338</v>
      </c>
      <c r="AA45" s="25">
        <f t="shared" si="36"/>
        <v>234154</v>
      </c>
      <c r="AB45" s="24">
        <f t="shared" si="0"/>
        <v>913835.46369970089</v>
      </c>
      <c r="AC45" s="25">
        <f t="shared" si="1"/>
        <v>9148363</v>
      </c>
    </row>
    <row r="46" spans="1:29">
      <c r="A46" s="5" t="s">
        <v>21</v>
      </c>
      <c r="B46" s="47">
        <f>INDEX('[4]Page 2'!$B:$DP,MATCH("0310",'[4]Page 2'!$M:$M,0),42)</f>
        <v>613</v>
      </c>
      <c r="C46" s="13">
        <f>INDEX('[4]Page 2'!$B:$DP,MATCH("0310",'[4]Page 2'!$M:$M,0),58)</f>
        <v>4914</v>
      </c>
      <c r="D46" s="47">
        <f>INDEX('[5]Page 2'!$B:$DP,MATCH("0310",'[5]Page 2'!$M:$M,0),42)</f>
        <v>95</v>
      </c>
      <c r="E46" s="13">
        <f>INDEX('[5]Page 2'!$B:$DP,MATCH("0310",'[5]Page 2'!$M:$M,0),58)</f>
        <v>3779</v>
      </c>
      <c r="F46" s="47">
        <f>INDEX('[6]Page 2'!$B:$DP,MATCH("0310",'[6]Page 2'!$M:$M,0),42)</f>
        <v>330</v>
      </c>
      <c r="G46" s="13">
        <f>INDEX('[6]Page 2'!$B:$DP,MATCH("0310",'[6]Page 2'!$M:$M,0),58)</f>
        <v>5661</v>
      </c>
      <c r="H46" s="47">
        <f>IFERROR(VLOOKUP("Company Vehicle Expense",'[7]PAGE 2'!$B:$W,7,FALSE),0)</f>
        <v>12</v>
      </c>
      <c r="I46" s="13">
        <f>IFERROR(VLOOKUP("Company Vehicle Expense",'[7]PAGE 2'!$B:$W,9,FALSE),0)</f>
        <v>498</v>
      </c>
      <c r="J46" s="47">
        <f>IFERROR(VLOOKUP("Company Vehicle Expense",'[8]PAGE 2'!$B:$W,7,FALSE),0)</f>
        <v>47</v>
      </c>
      <c r="K46" s="13">
        <f>IFERROR(VLOOKUP("Company Vehicle Expense",'[8]PAGE 2'!$B:$W,9,FALSE),0)</f>
        <v>918</v>
      </c>
      <c r="L46" s="47"/>
      <c r="M46" s="13"/>
      <c r="N46" s="47">
        <f>VLOOKUP("Demos &amp; Company Vehicles - Dept'l",'[9]PAGE 2'!$B:$S,10,FALSE)+VLOOKUP("Company Vehicles - Administration",'[9]PAGE 2'!$B:$S,10,FALSE)</f>
        <v>30</v>
      </c>
      <c r="O46" s="13">
        <f>VLOOKUP("Demos &amp; Company Vehicles - Dept'l",'[9]PAGE 2'!$B:$S,12,FALSE)+VLOOKUP("Company Vehicles - Administration",'[9]PAGE 2'!$B:$S,12,FALSE)</f>
        <v>716</v>
      </c>
      <c r="P46" s="47">
        <f>'[2]PAGE 4'!$F$61</f>
        <v>0</v>
      </c>
      <c r="Q46" s="13">
        <f>'[2]PAGE 4'!$R$61</f>
        <v>0</v>
      </c>
      <c r="R46" s="47">
        <f>SUM([3]P4!$F$119)</f>
        <v>1457</v>
      </c>
      <c r="S46" s="13">
        <f>SUM([3]P4!$P$119)</f>
        <v>2457</v>
      </c>
      <c r="T46" s="47"/>
      <c r="U46" s="13"/>
      <c r="V46" s="47">
        <f>+INDEX('[10]PAGE 2'!$1:$1048576,MATCH("company vehicle expense",'[10]PAGE 2'!$B:$B,0),16)</f>
        <v>0</v>
      </c>
      <c r="W46" s="13">
        <f>+INDEX('[10]PAGE 2'!$1:$1048576,MATCH("company vehicle expense",'[10]PAGE 2'!$B:$B,0),19)</f>
        <v>1516</v>
      </c>
      <c r="X46" s="47">
        <f>VLOOKUP("Demos &amp; Company Vehicles - Dept'l",'[11]PAGE 2'!$B:$S,10,FALSE)+VLOOKUP("Company Vehicles - Administration",'[11]PAGE 2'!$B:$S,10,FALSE)</f>
        <v>0</v>
      </c>
      <c r="Y46" s="13">
        <f>VLOOKUP("Demos &amp; Company Vehicles - Dept'l",'[11]PAGE 2'!$B:$S,12,FALSE)+VLOOKUP("Company Vehicles - Administration",'[11]PAGE 2'!$B:$S,12,FALSE)</f>
        <v>0</v>
      </c>
      <c r="Z46" s="47">
        <f>VLOOKUP("Demos &amp; Company Vehicles - Dept'l",'[12]PAGE 2'!$B:$S,10,FALSE)+VLOOKUP("Company Vehicles - Administration",'[12]PAGE 2'!$B:$S,10,FALSE)</f>
        <v>11359</v>
      </c>
      <c r="AA46" s="13">
        <f>VLOOKUP("Demos &amp; Company Vehicles - Dept'l",'[12]PAGE 2'!$B:$S,12,FALSE)+VLOOKUP("Company Vehicles - Administration",'[12]PAGE 2'!$B:$S,12,FALSE)</f>
        <v>17240</v>
      </c>
      <c r="AB46" s="47">
        <f t="shared" si="0"/>
        <v>13943</v>
      </c>
      <c r="AC46" s="13">
        <f t="shared" si="1"/>
        <v>37699</v>
      </c>
    </row>
    <row r="47" spans="1:29">
      <c r="A47" s="5" t="s">
        <v>22</v>
      </c>
      <c r="B47" s="47">
        <f>INDEX('[4]Page 2'!$B:$DP,MATCH("0320",'[4]Page 2'!$M:$M,0),42)</f>
        <v>0</v>
      </c>
      <c r="C47" s="13">
        <f>INDEX('[4]Page 2'!$B:$DP,MATCH("0320",'[4]Page 2'!$M:$M,0),58)</f>
        <v>0</v>
      </c>
      <c r="D47" s="47">
        <f>INDEX('[5]Page 2'!$B:$DP,MATCH("0320",'[5]Page 2'!$M:$M,0),42)</f>
        <v>0</v>
      </c>
      <c r="E47" s="13">
        <f>INDEX('[5]Page 2'!$B:$DP,MATCH("0320",'[5]Page 2'!$M:$M,0),58)</f>
        <v>0</v>
      </c>
      <c r="F47" s="47">
        <f>INDEX('[6]Page 2'!$B:$DP,MATCH("0320",'[6]Page 2'!$M:$M,0),42)</f>
        <v>0</v>
      </c>
      <c r="G47" s="13">
        <f>INDEX('[6]Page 2'!$B:$DP,MATCH("0320",'[6]Page 2'!$M:$M,0),58)</f>
        <v>0</v>
      </c>
      <c r="H47" s="47">
        <f>IFERROR(VLOOKUP("Other Supplies &amp; Tools",'[7]PAGE 2'!$B:$W,7,FALSE),0)</f>
        <v>3101</v>
      </c>
      <c r="I47" s="13">
        <f>IFERROR(VLOOKUP("Other Supplies &amp; Tools",'[7]PAGE 2'!$B:$W,9,FALSE),0)</f>
        <v>34852</v>
      </c>
      <c r="J47" s="47">
        <f>IFERROR(VLOOKUP("Other Supplies &amp; Tools",'[8]PAGE 2'!$B:$W,7,FALSE),0)</f>
        <v>638</v>
      </c>
      <c r="K47" s="13">
        <f>IFERROR(VLOOKUP("Other Supplies &amp; Tools",'[8]PAGE 2'!$B:$W,9,FALSE),0)</f>
        <v>10624</v>
      </c>
      <c r="L47" s="47"/>
      <c r="M47" s="13"/>
      <c r="N47" s="47">
        <f>VLOOKUP("Supplies &amp; Small Tools",'[9]PAGE 2'!$B:$S,10,FALSE)</f>
        <v>1413</v>
      </c>
      <c r="O47" s="13">
        <f>VLOOKUP("Supplies &amp; Small Tools",'[9]PAGE 2'!$B:$S,12,FALSE)</f>
        <v>22810</v>
      </c>
      <c r="P47" s="47"/>
      <c r="Q47" s="13"/>
      <c r="R47" s="47"/>
      <c r="S47" s="13"/>
      <c r="T47" s="47"/>
      <c r="U47" s="13"/>
      <c r="V47" s="47">
        <f>+INDEX('[10]PAGE 2'!$1:$1048576,MATCH("small tools &amp; other supplies",'[10]PAGE 2'!$B:$B,0),16)</f>
        <v>1630</v>
      </c>
      <c r="W47" s="13">
        <f>+INDEX('[10]PAGE 2'!$1:$1048576,MATCH("small tools &amp; other supplies",'[10]PAGE 2'!$B:$B,0),19)</f>
        <v>23433</v>
      </c>
      <c r="X47" s="47">
        <f>VLOOKUP("Supplies &amp; Small Tools",'[11]PAGE 2'!$B:$S,10,FALSE)</f>
        <v>0</v>
      </c>
      <c r="Y47" s="13">
        <f>VLOOKUP("Supplies &amp; Small Tools",'[11]PAGE 2'!$B:$S,12,FALSE)</f>
        <v>0</v>
      </c>
      <c r="Z47" s="47">
        <f>VLOOKUP("Supplies &amp; Small Tools",'[12]PAGE 2'!$B:$S,10,FALSE)</f>
        <v>869</v>
      </c>
      <c r="AA47" s="13">
        <f>VLOOKUP("Supplies &amp; Small Tools",'[12]PAGE 2'!$B:$S,12,FALSE)</f>
        <v>9292</v>
      </c>
      <c r="AB47" s="47">
        <f t="shared" si="0"/>
        <v>7651</v>
      </c>
      <c r="AC47" s="13">
        <f t="shared" si="1"/>
        <v>101011</v>
      </c>
    </row>
    <row r="48" spans="1:29">
      <c r="A48" s="5" t="s">
        <v>23</v>
      </c>
      <c r="B48" s="47">
        <f>INDEX('[4]Page 2'!$B:$DP,MATCH("0340",'[4]Page 2'!$M:$M,0),42)</f>
        <v>0</v>
      </c>
      <c r="C48" s="13">
        <f>INDEX('[4]Page 2'!$B:$DP,MATCH("0340",'[4]Page 2'!$M:$M,0),58)</f>
        <v>0</v>
      </c>
      <c r="D48" s="47">
        <f>INDEX('[5]Page 2'!$B:$DP,MATCH("0340",'[5]Page 2'!$M:$M,0),42)</f>
        <v>0</v>
      </c>
      <c r="E48" s="13">
        <f>INDEX('[5]Page 2'!$B:$DP,MATCH("0340",'[5]Page 2'!$M:$M,0),58)</f>
        <v>0</v>
      </c>
      <c r="F48" s="47">
        <f>INDEX('[6]Page 2'!$B:$DP,MATCH("0340",'[6]Page 2'!$M:$M,0),42)</f>
        <v>0</v>
      </c>
      <c r="G48" s="13">
        <f>INDEX('[6]Page 2'!$B:$DP,MATCH("0340",'[6]Page 2'!$M:$M,0),58)</f>
        <v>0</v>
      </c>
      <c r="H48" s="47">
        <f>IFERROR(VLOOKUP("Postage/Express Mail/Freight",'[7]PAGE 2'!$B:$W,7,FALSE),0)</f>
        <v>2042</v>
      </c>
      <c r="I48" s="13">
        <f>IFERROR(VLOOKUP("Postage/Express Mail/Freight",'[7]PAGE 2'!$B:$W,9,FALSE),0)</f>
        <v>24191</v>
      </c>
      <c r="J48" s="47">
        <f>IFERROR(VLOOKUP("Postage/Express Mail/Freight",'[8]PAGE 2'!$B:$W,7,FALSE),0)</f>
        <v>1276</v>
      </c>
      <c r="K48" s="13">
        <f>IFERROR(VLOOKUP("Postage/Express Mail/Freight",'[8]PAGE 2'!$B:$W,9,FALSE),0)</f>
        <v>17630</v>
      </c>
      <c r="L48" s="47"/>
      <c r="M48" s="13"/>
      <c r="N48" s="47">
        <f>IFERROR(VLOOKUP("Freight",'[9]PAGE 2'!$B:$S,10,FALSE),0)</f>
        <v>0</v>
      </c>
      <c r="O48" s="13">
        <f>IFERROR(VLOOKUP("Freight",'[9]PAGE 2'!$B:$S,12,FALSE),0)</f>
        <v>0</v>
      </c>
      <c r="P48" s="47"/>
      <c r="Q48" s="13"/>
      <c r="R48" s="47"/>
      <c r="S48" s="13"/>
      <c r="T48" s="47"/>
      <c r="U48" s="13"/>
      <c r="V48" s="47">
        <f>+INDEX('[10]PAGE 2'!$1:$1048576,MATCH("freight, express and cartage - parts department",'[10]PAGE 2'!$B:$B,0),16)</f>
        <v>0</v>
      </c>
      <c r="W48" s="13">
        <f>+INDEX('[10]PAGE 2'!$1:$1048576,MATCH("freight, express and cartage - parts department",'[10]PAGE 2'!$B:$B,0),19)</f>
        <v>0</v>
      </c>
      <c r="X48" s="47">
        <f>IFERROR(VLOOKUP("Freight",'[11]PAGE 2'!$B:$S,10,FALSE),0)</f>
        <v>0</v>
      </c>
      <c r="Y48" s="13">
        <f>IFERROR(VLOOKUP("Freight",'[11]PAGE 2'!$B:$S,12,FALSE),0)</f>
        <v>0</v>
      </c>
      <c r="Z48" s="47">
        <f>IFERROR(VLOOKUP("Freight",'[12]PAGE 2'!$B:$S,10,FALSE),0)</f>
        <v>0</v>
      </c>
      <c r="AA48" s="13">
        <f>IFERROR(VLOOKUP("Freight",'[12]PAGE 2'!$B:$S,12,FALSE),0)</f>
        <v>0</v>
      </c>
      <c r="AB48" s="47">
        <f t="shared" si="0"/>
        <v>3318</v>
      </c>
      <c r="AC48" s="13">
        <f t="shared" si="1"/>
        <v>41821</v>
      </c>
    </row>
    <row r="49" spans="1:29">
      <c r="A49" s="5" t="s">
        <v>24</v>
      </c>
      <c r="B49" s="47">
        <f>INDEX('[4]Page 2'!$B:$DP,MATCH("0350",'[4]Page 2'!$M:$M,0),42)</f>
        <v>1855</v>
      </c>
      <c r="C49" s="13">
        <f>INDEX('[4]Page 2'!$B:$DP,MATCH("0350",'[4]Page 2'!$M:$M,0),58)</f>
        <v>2333</v>
      </c>
      <c r="D49" s="47">
        <f>INDEX('[5]Page 2'!$B:$DP,MATCH("0350",'[5]Page 2'!$M:$M,0),42)</f>
        <v>4467</v>
      </c>
      <c r="E49" s="13">
        <f>INDEX('[5]Page 2'!$B:$DP,MATCH("0350",'[5]Page 2'!$M:$M,0),58)</f>
        <v>37792</v>
      </c>
      <c r="F49" s="47">
        <f>INDEX('[6]Page 2'!$B:$DP,MATCH("0350",'[6]Page 2'!$M:$M,0),42)</f>
        <v>1224</v>
      </c>
      <c r="G49" s="13">
        <f>INDEX('[6]Page 2'!$B:$DP,MATCH("0350",'[6]Page 2'!$M:$M,0),58)</f>
        <v>1224</v>
      </c>
      <c r="H49" s="47">
        <f>IFERROR(VLOOKUP("Adv. - Serv, Body, P &amp; A",'[7]PAGE 2'!$B:$W,7,FALSE),0)</f>
        <v>0</v>
      </c>
      <c r="I49" s="13">
        <f>IFERROR(VLOOKUP("Adv. - Serv, Body, P &amp; A",'[7]PAGE 2'!$B:$W,9,FALSE),0)</f>
        <v>0</v>
      </c>
      <c r="J49" s="47">
        <f>IFERROR(VLOOKUP("Adv. - Serv, Body, P &amp; A",'[8]PAGE 2'!$B:$W,7,FALSE),0)</f>
        <v>0</v>
      </c>
      <c r="K49" s="13">
        <f>IFERROR(VLOOKUP("Adv. - Serv, Body, P &amp; A",'[8]PAGE 2'!$B:$W,9,FALSE),0)</f>
        <v>0</v>
      </c>
      <c r="L49" s="47"/>
      <c r="M49" s="13"/>
      <c r="N49" s="47"/>
      <c r="O49" s="13"/>
      <c r="P49" s="47">
        <f>$Q$3*'[2]PAGE 6'!$O$10</f>
        <v>0</v>
      </c>
      <c r="Q49" s="13">
        <f>'[2]PAGE 6'!$AU$10</f>
        <v>5285</v>
      </c>
      <c r="R49" s="47">
        <f>IFERROR([3]P6!$M$19*S3,0)</f>
        <v>0</v>
      </c>
      <c r="S49" s="13"/>
      <c r="T49" s="47"/>
      <c r="U49" s="13"/>
      <c r="V49" s="47"/>
      <c r="W49" s="13"/>
      <c r="X49" s="47"/>
      <c r="Y49" s="13"/>
      <c r="Z49" s="47"/>
      <c r="AA49" s="13"/>
      <c r="AB49" s="47">
        <f t="shared" si="0"/>
        <v>7546</v>
      </c>
      <c r="AC49" s="13">
        <f t="shared" si="1"/>
        <v>46634</v>
      </c>
    </row>
    <row r="50" spans="1:29">
      <c r="A50" s="5" t="s">
        <v>25</v>
      </c>
      <c r="B50" s="47">
        <f>INDEX('[4]Page 2'!$B:$DP,MATCH("0360",'[4]Page 2'!$M:$M,0),42)</f>
        <v>2417</v>
      </c>
      <c r="C50" s="13">
        <f>INDEX('[4]Page 2'!$B:$DP,MATCH("0360",'[4]Page 2'!$M:$M,0),58)</f>
        <v>28831</v>
      </c>
      <c r="D50" s="47">
        <f>INDEX('[5]Page 2'!$B:$DP,MATCH("0360",'[5]Page 2'!$M:$M,0),42)</f>
        <v>2405</v>
      </c>
      <c r="E50" s="13">
        <f>INDEX('[5]Page 2'!$B:$DP,MATCH("0360",'[5]Page 2'!$M:$M,0),58)</f>
        <v>19158</v>
      </c>
      <c r="F50" s="47">
        <f>INDEX('[6]Page 2'!$B:$DP,MATCH("0360",'[6]Page 2'!$M:$M,0),42)</f>
        <v>2539</v>
      </c>
      <c r="G50" s="13">
        <f>INDEX('[6]Page 2'!$B:$DP,MATCH("0360",'[6]Page 2'!$M:$M,0),58)</f>
        <v>24939</v>
      </c>
      <c r="H50" s="47">
        <f>IFERROR(VLOOKUP("Office Supplies &amp; Stationery",'[7]PAGE 2'!$B:$W,7,FALSE),0)</f>
        <v>1713</v>
      </c>
      <c r="I50" s="13">
        <f>IFERROR(VLOOKUP("Office Supplies &amp; Stationery",'[7]PAGE 2'!$B:$W,9,FALSE),0)</f>
        <v>8308</v>
      </c>
      <c r="J50" s="47">
        <f>IFERROR(VLOOKUP("Office Supplies &amp; Stationery",'[8]PAGE 2'!$B:$W,7,FALSE),0)</f>
        <v>700</v>
      </c>
      <c r="K50" s="13">
        <f>IFERROR(VLOOKUP("Office Supplies &amp; Stationery",'[8]PAGE 2'!$B:$W,9,FALSE),0)</f>
        <v>4776</v>
      </c>
      <c r="L50" s="47"/>
      <c r="M50" s="13"/>
      <c r="N50" s="47">
        <f>IFERROR(VLOOKUP("Stationery &amp; Office Supplies",'[9]PAGE 2'!$B:$S,10,FALSE),0)</f>
        <v>1543</v>
      </c>
      <c r="O50" s="13">
        <f>IFERROR(VLOOKUP("Stationery &amp; Office Supplies",'[9]PAGE 2'!$B:$S,12,FALSE),0)</f>
        <v>9707</v>
      </c>
      <c r="P50" s="47">
        <f>$Q$3*'[2]PAGE 6'!$O$16</f>
        <v>1401.1052654118755</v>
      </c>
      <c r="Q50" s="13">
        <f>'[2]PAGE 6'!$AU$16</f>
        <v>20318</v>
      </c>
      <c r="R50" s="47">
        <f>[3]P6!$M$31*S3</f>
        <v>1198.8960306641382</v>
      </c>
      <c r="S50" s="13">
        <f>[3]P6!$AS$31</f>
        <v>24321</v>
      </c>
      <c r="T50" s="47"/>
      <c r="U50" s="13"/>
      <c r="V50" s="47">
        <f>+INDEX('[10]PAGE 2'!$1:$1048576,MATCH("stationery, office supplies &amp; postage",'[10]PAGE 2'!$B:$B,0),16)</f>
        <v>1371</v>
      </c>
      <c r="W50" s="13">
        <f>+INDEX('[10]PAGE 2'!$1:$1048576,MATCH("stationery, office supplies &amp; postage",'[10]PAGE 2'!$B:$B,0),19)</f>
        <v>7856</v>
      </c>
      <c r="X50" s="47">
        <f>IFERROR(VLOOKUP("Stationery &amp; Office Supplies",'[11]PAGE 2'!$B:$S,10,FALSE),0)</f>
        <v>0</v>
      </c>
      <c r="Y50" s="13">
        <f>IFERROR(VLOOKUP("Stationery &amp; Office Supplies",'[11]PAGE 2'!$B:$S,12,FALSE),0)</f>
        <v>0</v>
      </c>
      <c r="Z50" s="47">
        <f>IFERROR(VLOOKUP("Stationery &amp; Office Supplies",'[12]PAGE 2'!$B:$S,10,FALSE),0)</f>
        <v>835</v>
      </c>
      <c r="AA50" s="13">
        <f>IFERROR(VLOOKUP("Stationery &amp; Office Supplies",'[12]PAGE 2'!$B:$S,12,FALSE),0)</f>
        <v>3460</v>
      </c>
      <c r="AB50" s="47">
        <f t="shared" si="0"/>
        <v>16123.001296076014</v>
      </c>
      <c r="AC50" s="13">
        <f t="shared" si="1"/>
        <v>151674</v>
      </c>
    </row>
    <row r="51" spans="1:29">
      <c r="A51" s="5" t="s">
        <v>26</v>
      </c>
      <c r="B51" s="47">
        <f>INDEX('[4]Page 2'!$B:$DP,MATCH("0370",'[4]Page 2'!$M:$M,0),42)</f>
        <v>-571</v>
      </c>
      <c r="C51" s="13">
        <f>INDEX('[4]Page 2'!$B:$DP,MATCH("0370",'[4]Page 2'!$M:$M,0),58)</f>
        <v>17284</v>
      </c>
      <c r="D51" s="47">
        <f>INDEX('[5]Page 2'!$B:$DP,MATCH("0370",'[5]Page 2'!$M:$M,0),42)</f>
        <v>1106</v>
      </c>
      <c r="E51" s="13">
        <f>INDEX('[5]Page 2'!$B:$DP,MATCH("0370",'[5]Page 2'!$M:$M,0),58)</f>
        <v>19752</v>
      </c>
      <c r="F51" s="47">
        <f>INDEX('[6]Page 2'!$B:$DP,MATCH("0370",'[6]Page 2'!$M:$M,0),42)</f>
        <v>647</v>
      </c>
      <c r="G51" s="13">
        <f>INDEX('[6]Page 2'!$B:$DP,MATCH("0370",'[6]Page 2'!$M:$M,0),58)</f>
        <v>31135</v>
      </c>
      <c r="H51" s="47">
        <f>IFERROR(VLOOKUP("Laundry &amp; Uniforms",'[7]PAGE 2'!$B:$W,7,FALSE),0)</f>
        <v>0</v>
      </c>
      <c r="I51" s="13">
        <f>IFERROR(VLOOKUP("Laundry &amp; Uniforms",'[7]PAGE 2'!$B:$W,9,FALSE),0)</f>
        <v>584</v>
      </c>
      <c r="J51" s="47">
        <f>IFERROR(VLOOKUP("Laundry &amp; Uniforms",'[8]PAGE 2'!$B:$W,7,FALSE),0)</f>
        <v>0</v>
      </c>
      <c r="K51" s="13">
        <f>IFERROR(VLOOKUP("Laundry &amp; Uniforms",'[8]PAGE 2'!$B:$W,9,FALSE),0)</f>
        <v>0</v>
      </c>
      <c r="L51" s="47"/>
      <c r="M51" s="13"/>
      <c r="N51" s="47">
        <f>VLOOKUP("Laundry &amp; Uniforms",'[9]PAGE 2'!$B:$S,10,FALSE)</f>
        <v>-31</v>
      </c>
      <c r="O51" s="13">
        <f>VLOOKUP("Laundry &amp; Uniforms",'[9]PAGE 2'!$B:$S,12,FALSE)</f>
        <v>4108</v>
      </c>
      <c r="P51" s="47"/>
      <c r="Q51" s="13"/>
      <c r="R51" s="47"/>
      <c r="S51" s="13"/>
      <c r="T51" s="47"/>
      <c r="U51" s="13"/>
      <c r="V51" s="47">
        <f>+INDEX('[10]PAGE 2'!$1:$1048576,MATCH("laundry &amp; uniforms",'[10]PAGE 2'!$B:$B,0),16)</f>
        <v>231</v>
      </c>
      <c r="W51" s="13">
        <f>+INDEX('[10]PAGE 2'!$1:$1048576,MATCH("laundry &amp; uniforms",'[10]PAGE 2'!$B:$B,0),19)</f>
        <v>3639</v>
      </c>
      <c r="X51" s="47">
        <f>VLOOKUP("Laundry &amp; Uniforms",'[11]PAGE 2'!$B:$S,10,FALSE)</f>
        <v>0</v>
      </c>
      <c r="Y51" s="13">
        <f>VLOOKUP("Laundry &amp; Uniforms",'[11]PAGE 2'!$B:$S,12,FALSE)</f>
        <v>0</v>
      </c>
      <c r="Z51" s="47">
        <f>VLOOKUP("Laundry &amp; Uniforms",'[12]PAGE 2'!$B:$S,10,FALSE)</f>
        <v>-73</v>
      </c>
      <c r="AA51" s="13">
        <f>VLOOKUP("Laundry &amp; Uniforms",'[12]PAGE 2'!$B:$S,12,FALSE)</f>
        <v>1136</v>
      </c>
      <c r="AB51" s="47">
        <f t="shared" si="0"/>
        <v>1309</v>
      </c>
      <c r="AC51" s="13">
        <f t="shared" si="1"/>
        <v>77638</v>
      </c>
    </row>
    <row r="52" spans="1:29">
      <c r="A52" s="5" t="s">
        <v>27</v>
      </c>
      <c r="B52" s="47">
        <f>INDEX('[4]Page 2'!$B:$DP,MATCH("0380",'[4]Page 2'!$M:$M,0),42)</f>
        <v>10570</v>
      </c>
      <c r="C52" s="13">
        <f>INDEX('[4]Page 2'!$B:$DP,MATCH("0380",'[4]Page 2'!$M:$M,0),58)</f>
        <v>101398</v>
      </c>
      <c r="D52" s="47">
        <f>INDEX('[5]Page 2'!$B:$DP,MATCH("0380",'[5]Page 2'!$M:$M,0),42)</f>
        <v>13738</v>
      </c>
      <c r="E52" s="13">
        <f>INDEX('[5]Page 2'!$B:$DP,MATCH("0380",'[5]Page 2'!$M:$M,0),58)</f>
        <v>145822</v>
      </c>
      <c r="F52" s="47">
        <f>INDEX('[6]Page 2'!$B:$DP,MATCH("0380",'[6]Page 2'!$M:$M,0),42)</f>
        <v>11120</v>
      </c>
      <c r="G52" s="13">
        <f>INDEX('[6]Page 2'!$B:$DP,MATCH("0380",'[6]Page 2'!$M:$M,0),58)</f>
        <v>135031</v>
      </c>
      <c r="H52" s="47">
        <f>IFERROR(VLOOKUP("Outside Services",'[7]PAGE 2'!$B:$W,7,FALSE),0)</f>
        <v>23580</v>
      </c>
      <c r="I52" s="13">
        <f>IFERROR(VLOOKUP("Outside Services",'[7]PAGE 2'!$B:$W,9,FALSE),0)</f>
        <v>115325</v>
      </c>
      <c r="J52" s="47">
        <f>IFERROR(VLOOKUP("Outside Services",'[8]PAGE 2'!$B:$W,7,FALSE),0)</f>
        <v>7499</v>
      </c>
      <c r="K52" s="13">
        <f>IFERROR(VLOOKUP("Outside Services",'[8]PAGE 2'!$B:$W,9,FALSE),0)</f>
        <v>118234</v>
      </c>
      <c r="L52" s="47"/>
      <c r="M52" s="13"/>
      <c r="N52" s="47">
        <f>VLOOKUP("Outside Services - Departmental",'[9]PAGE 2'!$B:$S,10,FALSE)+VLOOKUP("Outside Services - Gen. &amp; Inst.",'[9]PAGE 2'!$B:$S,10,FALSE)</f>
        <v>8425</v>
      </c>
      <c r="O52" s="13">
        <f>VLOOKUP("Outside Services - Departmental",'[9]PAGE 2'!$B:$S,12,FALSE)+VLOOKUP("Outside Services - Gen. &amp; Inst.",'[9]PAGE 2'!$B:$S,12,FALSE)</f>
        <v>151589</v>
      </c>
      <c r="P52" s="47">
        <f>$Q$3*'[2]PAGE 6'!$O$17</f>
        <v>-1868.2515791953062</v>
      </c>
      <c r="Q52" s="13">
        <f>'[2]PAGE 6'!$AU$17</f>
        <v>74884</v>
      </c>
      <c r="R52" s="47">
        <f>[3]P6!$M$33*S3</f>
        <v>12722.553996750486</v>
      </c>
      <c r="S52" s="13">
        <f>[3]P6!$AS$33</f>
        <v>181010</v>
      </c>
      <c r="T52" s="47"/>
      <c r="U52" s="13"/>
      <c r="V52" s="47">
        <f>+INDEX('[10]PAGE 2'!$1:$1048576,MATCH("outside services",'[10]PAGE 2'!$B:$B,0),16)</f>
        <v>0</v>
      </c>
      <c r="W52" s="13">
        <f>+INDEX('[10]PAGE 2'!$1:$1048576,MATCH("outside services",'[10]PAGE 2'!$B:$B,0),19)</f>
        <v>4000</v>
      </c>
      <c r="X52" s="47">
        <f>VLOOKUP("Outside Services - Departmental",'[11]PAGE 2'!$B:$S,10,FALSE)+VLOOKUP("Outside Services - Gen. &amp; Inst.",'[11]PAGE 2'!$B:$S,10,FALSE)</f>
        <v>0</v>
      </c>
      <c r="Y52" s="13">
        <f>VLOOKUP("Outside Services - Departmental",'[11]PAGE 2'!$B:$S,12,FALSE)+VLOOKUP("Outside Services - Gen. &amp; Inst.",'[11]PAGE 2'!$B:$S,12,FALSE)</f>
        <v>0</v>
      </c>
      <c r="Z52" s="47">
        <f>VLOOKUP("Outside Services - Departmental",'[12]PAGE 2'!$B:$S,10,FALSE)+VLOOKUP("Outside Services - Gen. &amp; Inst.",'[12]PAGE 2'!$B:$S,10,FALSE)</f>
        <v>3304</v>
      </c>
      <c r="AA52" s="13">
        <f>VLOOKUP("Outside Services - Departmental",'[12]PAGE 2'!$B:$S,12,FALSE)+VLOOKUP("Outside Services - Gen. &amp; Inst.",'[12]PAGE 2'!$B:$S,12,FALSE)</f>
        <v>15067</v>
      </c>
      <c r="AB52" s="47">
        <f t="shared" si="0"/>
        <v>89090.302417555184</v>
      </c>
      <c r="AC52" s="13">
        <f t="shared" si="1"/>
        <v>1042360</v>
      </c>
    </row>
    <row r="53" spans="1:29">
      <c r="A53" s="5" t="s">
        <v>28</v>
      </c>
      <c r="B53" s="47">
        <f>INDEX('[4]Page 2'!$B:$DP,MATCH("0390",'[4]Page 2'!$M:$M,0),42)</f>
        <v>1122</v>
      </c>
      <c r="C53" s="13">
        <f>INDEX('[4]Page 2'!$B:$DP,MATCH("0390",'[4]Page 2'!$M:$M,0),58)</f>
        <v>11121</v>
      </c>
      <c r="D53" s="47">
        <f>INDEX('[5]Page 2'!$B:$DP,MATCH("0390",'[5]Page 2'!$M:$M,0),42)</f>
        <v>2138</v>
      </c>
      <c r="E53" s="13">
        <f>INDEX('[5]Page 2'!$B:$DP,MATCH("0390",'[5]Page 2'!$M:$M,0),58)</f>
        <v>23380</v>
      </c>
      <c r="F53" s="47">
        <f>INDEX('[6]Page 2'!$B:$DP,MATCH("0390",'[6]Page 2'!$M:$M,0),42)</f>
        <v>3593</v>
      </c>
      <c r="G53" s="13">
        <f>INDEX('[6]Page 2'!$B:$DP,MATCH("0390",'[6]Page 2'!$M:$M,0),58)</f>
        <v>18171</v>
      </c>
      <c r="H53" s="47">
        <f>IFERROR(VLOOKUP("Travel &amp; Entertainment",'[7]PAGE 2'!$B:$W,7,FALSE),0)</f>
        <v>0</v>
      </c>
      <c r="I53" s="13">
        <f>IFERROR(VLOOKUP("Travel &amp; Entertainment",'[7]PAGE 2'!$B:$W,9,FALSE),0)</f>
        <v>107</v>
      </c>
      <c r="J53" s="47">
        <f>IFERROR(VLOOKUP("Travel &amp; Entertainment",'[8]PAGE 2'!$B:$W,7,FALSE),0)</f>
        <v>0</v>
      </c>
      <c r="K53" s="13">
        <f>IFERROR(VLOOKUP("Travel &amp; Entertainment",'[8]PAGE 2'!$B:$W,9,FALSE),0)</f>
        <v>7</v>
      </c>
      <c r="L53" s="47"/>
      <c r="M53" s="13"/>
      <c r="N53" s="47">
        <f>IFERROR(VLOOKUP("Travel &amp; Entertainment",'[9]PAGE 2'!$B:$S,10,FALSE),0)</f>
        <v>0</v>
      </c>
      <c r="O53" s="13">
        <f>IFERROR(VLOOKUP("Travel &amp; Entertainment",'[9]PAGE 2'!$B:$S,12,FALSE),0)</f>
        <v>10</v>
      </c>
      <c r="P53" s="47">
        <f>$Q$3*'[2]PAGE 6'!$O$24</f>
        <v>443.78899809425923</v>
      </c>
      <c r="Q53" s="13">
        <f>'[2]PAGE 6'!$AU$24</f>
        <v>8993</v>
      </c>
      <c r="R53" s="47">
        <f>[3]P6!$M$47*S3</f>
        <v>757.35380962680892</v>
      </c>
      <c r="S53" s="13">
        <f>[3]P6!$AS$47</f>
        <v>9488</v>
      </c>
      <c r="T53" s="47"/>
      <c r="U53" s="13"/>
      <c r="V53" s="47">
        <f>+INDEX('[10]PAGE 2'!$1:$1048576,MATCH("travel and entertainment",'[10]PAGE 2'!$B:$B,0),16)</f>
        <v>263</v>
      </c>
      <c r="W53" s="13">
        <f>+INDEX('[10]PAGE 2'!$1:$1048576,MATCH("travel and entertainment",'[10]PAGE 2'!$B:$B,0),19)</f>
        <v>1436</v>
      </c>
      <c r="X53" s="47">
        <f>IFERROR(VLOOKUP("Travel &amp; Entertainment",'[11]PAGE 2'!$B:$S,10,FALSE),0)</f>
        <v>0</v>
      </c>
      <c r="Y53" s="13">
        <f>IFERROR(VLOOKUP("Travel &amp; Entertainment",'[11]PAGE 2'!$B:$S,12,FALSE),0)</f>
        <v>0</v>
      </c>
      <c r="Z53" s="47">
        <f>IFERROR(VLOOKUP("Travel &amp; Entertainment",'[12]PAGE 2'!$B:$S,10,FALSE),0)</f>
        <v>479</v>
      </c>
      <c r="AA53" s="13">
        <f>IFERROR(VLOOKUP("Travel &amp; Entertainment",'[12]PAGE 2'!$B:$S,12,FALSE),0)</f>
        <v>1930</v>
      </c>
      <c r="AB53" s="47">
        <f t="shared" si="0"/>
        <v>8796.1428077210676</v>
      </c>
      <c r="AC53" s="13">
        <f t="shared" si="1"/>
        <v>74643</v>
      </c>
    </row>
    <row r="54" spans="1:29">
      <c r="A54" s="5" t="s">
        <v>29</v>
      </c>
      <c r="B54" s="47">
        <f>INDEX('[4]Page 2'!$B:$DP,MATCH("0400",'[4]Page 2'!$M:$M,0),42)</f>
        <v>1090</v>
      </c>
      <c r="C54" s="13">
        <f>INDEX('[4]Page 2'!$B:$DP,MATCH("0400",'[4]Page 2'!$M:$M,0),58)</f>
        <v>16760</v>
      </c>
      <c r="D54" s="47">
        <f>INDEX('[5]Page 2'!$B:$DP,MATCH("0400",'[5]Page 2'!$M:$M,0),42)</f>
        <v>1598</v>
      </c>
      <c r="E54" s="13">
        <f>INDEX('[5]Page 2'!$B:$DP,MATCH("0400",'[5]Page 2'!$M:$M,0),58)</f>
        <v>20020</v>
      </c>
      <c r="F54" s="47">
        <f>INDEX('[6]Page 2'!$B:$DP,MATCH("0400",'[6]Page 2'!$M:$M,0),42)</f>
        <v>0</v>
      </c>
      <c r="G54" s="13">
        <f>INDEX('[6]Page 2'!$B:$DP,MATCH("0400",'[6]Page 2'!$M:$M,0),58)</f>
        <v>17661</v>
      </c>
      <c r="H54" s="47">
        <f>IFERROR(VLOOKUP("Legal &amp; Auditing",'[7]PAGE 2'!$B:$W,7,FALSE),0)</f>
        <v>-1391</v>
      </c>
      <c r="I54" s="13">
        <f>IFERROR(VLOOKUP("Legal &amp; Auditing",'[7]PAGE 2'!$B:$W,9,FALSE),0)</f>
        <v>16872</v>
      </c>
      <c r="J54" s="47">
        <f>IFERROR(VLOOKUP("Legal &amp; Auditing",'[8]PAGE 2'!$B:$W,7,FALSE),0)</f>
        <v>3953</v>
      </c>
      <c r="K54" s="13">
        <f>IFERROR(VLOOKUP("Legal &amp; Auditing",'[8]PAGE 2'!$B:$W,9,FALSE),0)</f>
        <v>19642</v>
      </c>
      <c r="L54" s="47"/>
      <c r="M54" s="13"/>
      <c r="N54" s="47">
        <f>IFERROR(VLOOKUP("Legal &amp; Auditing",'[9]PAGE 2'!$B:$S,10,FALSE),0)</f>
        <v>-2112</v>
      </c>
      <c r="O54" s="13">
        <f>IFERROR(VLOOKUP("Legal &amp; Auditing",'[9]PAGE 2'!$B:$S,12,FALSE),0)</f>
        <v>16788</v>
      </c>
      <c r="P54" s="47"/>
      <c r="Q54" s="13"/>
      <c r="R54" s="47"/>
      <c r="S54" s="13"/>
      <c r="T54" s="47"/>
      <c r="U54" s="13"/>
      <c r="V54" s="47">
        <f>+INDEX('[10]PAGE 2'!$1:$1048576,MATCH("legal, accounting and auditing expense",'[10]PAGE 2'!$B:$B,0),16)</f>
        <v>5211</v>
      </c>
      <c r="W54" s="13">
        <f>+INDEX('[10]PAGE 2'!$1:$1048576,MATCH("legal, accounting and auditing expense",'[10]PAGE 2'!$B:$B,0),19)</f>
        <v>18794</v>
      </c>
      <c r="X54" s="47">
        <f>IFERROR(VLOOKUP("Legal &amp; Auditing",'[11]PAGE 2'!$B:$S,10,FALSE),0)</f>
        <v>0</v>
      </c>
      <c r="Y54" s="13">
        <f>IFERROR(VLOOKUP("Legal &amp; Auditing",'[11]PAGE 2'!$B:$S,12,FALSE),0)</f>
        <v>0</v>
      </c>
      <c r="Z54" s="47">
        <f>IFERROR(VLOOKUP("Legal &amp; Auditing",'[12]PAGE 2'!$B:$S,10,FALSE),0)</f>
        <v>-1497</v>
      </c>
      <c r="AA54" s="13">
        <f>IFERROR(VLOOKUP("Legal &amp; Auditing",'[12]PAGE 2'!$B:$S,12,FALSE),0)</f>
        <v>3796</v>
      </c>
      <c r="AB54" s="47">
        <f t="shared" si="0"/>
        <v>6852</v>
      </c>
      <c r="AC54" s="13">
        <f t="shared" si="1"/>
        <v>130333</v>
      </c>
    </row>
    <row r="55" spans="1:29">
      <c r="A55" s="5" t="s">
        <v>30</v>
      </c>
      <c r="B55" s="47">
        <f>INDEX('[4]Page 2'!$B:$DP,MATCH("0410",'[4]Page 2'!$M:$M,0),42)</f>
        <v>11727</v>
      </c>
      <c r="C55" s="13">
        <f>INDEX('[4]Page 2'!$B:$DP,MATCH("0410",'[4]Page 2'!$M:$M,0),58)</f>
        <v>147454</v>
      </c>
      <c r="D55" s="47">
        <f>INDEX('[5]Page 2'!$B:$DP,MATCH("0410",'[5]Page 2'!$M:$M,0),42)</f>
        <v>5172</v>
      </c>
      <c r="E55" s="13">
        <f>INDEX('[5]Page 2'!$B:$DP,MATCH("0410",'[5]Page 2'!$M:$M,0),58)</f>
        <v>66427</v>
      </c>
      <c r="F55" s="47">
        <f>INDEX('[6]Page 2'!$B:$DP,MATCH("0410",'[6]Page 2'!$M:$M,0),42)</f>
        <v>8347</v>
      </c>
      <c r="G55" s="13">
        <f>INDEX('[6]Page 2'!$B:$DP,MATCH("0410",'[6]Page 2'!$M:$M,0),58)</f>
        <v>85695</v>
      </c>
      <c r="H55" s="47">
        <f>IFERROR(VLOOKUP("Telephone",'[7]PAGE 2'!$B:$W,7,FALSE),0)</f>
        <v>276</v>
      </c>
      <c r="I55" s="13">
        <f>IFERROR(VLOOKUP("Telephone",'[7]PAGE 2'!$B:$W,9,FALSE),0)</f>
        <v>3548</v>
      </c>
      <c r="J55" s="47">
        <f>IFERROR(VLOOKUP("Telephone",'[8]PAGE 2'!$B:$W,7,FALSE),0)</f>
        <v>379</v>
      </c>
      <c r="K55" s="13">
        <f>IFERROR(VLOOKUP("Telephone",'[8]PAGE 2'!$B:$W,9,FALSE),0)</f>
        <v>6128</v>
      </c>
      <c r="L55" s="47"/>
      <c r="M55" s="13"/>
      <c r="N55" s="47">
        <f>IFERROR(VLOOKUP("Telephone  ",'[9]PAGE 2'!$B:$S,10,FALSE),0)</f>
        <v>512</v>
      </c>
      <c r="O55" s="13">
        <f>IFERROR(VLOOKUP("Telephone  ",'[9]PAGE 2'!$B:$S,12,FALSE),0)</f>
        <v>4576</v>
      </c>
      <c r="P55" s="47">
        <f>$Q$3*'[2]PAGE 6'!$O$13</f>
        <v>1663.3745530074302</v>
      </c>
      <c r="Q55" s="13">
        <f>'[2]PAGE 6'!$AU$13</f>
        <v>20321</v>
      </c>
      <c r="R55" s="47">
        <f>[3]P6!$M$25*S3</f>
        <v>167.31084160383099</v>
      </c>
      <c r="S55" s="13">
        <f>[3]P6!$AS$25</f>
        <v>5415</v>
      </c>
      <c r="T55" s="47"/>
      <c r="U55" s="13"/>
      <c r="V55" s="47">
        <f>+INDEX('[10]PAGE 2'!$1:$1048576,MATCH("Telephone ",'[10]PAGE 2'!$B:$B,0),16)</f>
        <v>466</v>
      </c>
      <c r="W55" s="13">
        <f>+INDEX('[10]PAGE 2'!$1:$1048576,MATCH("Telephone ",'[10]PAGE 2'!$B:$B,0),19)</f>
        <v>2374</v>
      </c>
      <c r="X55" s="47">
        <f>IFERROR(VLOOKUP("Telephone  ",'[11]PAGE 2'!$B:$S,10,FALSE),0)</f>
        <v>0</v>
      </c>
      <c r="Y55" s="13">
        <f>IFERROR(VLOOKUP("Telephone  ",'[11]PAGE 2'!$B:$S,12,FALSE),0)</f>
        <v>0</v>
      </c>
      <c r="Z55" s="47">
        <f>IFERROR(VLOOKUP("Telephone  ",'[12]PAGE 2'!$B:$S,10,FALSE),0)</f>
        <v>488</v>
      </c>
      <c r="AA55" s="13">
        <f>IFERROR(VLOOKUP("Telephone  ",'[12]PAGE 2'!$B:$S,12,FALSE),0)</f>
        <v>3145</v>
      </c>
      <c r="AB55" s="47">
        <f t="shared" si="0"/>
        <v>29197.685394611261</v>
      </c>
      <c r="AC55" s="13">
        <f t="shared" si="1"/>
        <v>345083</v>
      </c>
    </row>
    <row r="56" spans="1:29">
      <c r="A56" s="5" t="s">
        <v>31</v>
      </c>
      <c r="B56" s="47">
        <f>INDEX('[4]Page 2'!$B:$DP,MATCH("0420",'[4]Page 2'!$M:$M,0),42)</f>
        <v>865</v>
      </c>
      <c r="C56" s="13">
        <f>INDEX('[4]Page 2'!$B:$DP,MATCH("0420",'[4]Page 2'!$M:$M,0),58)</f>
        <v>7031</v>
      </c>
      <c r="D56" s="47">
        <f>INDEX('[5]Page 2'!$B:$DP,MATCH("0420",'[5]Page 2'!$M:$M,0),42)</f>
        <v>3934</v>
      </c>
      <c r="E56" s="13">
        <f>INDEX('[5]Page 2'!$B:$DP,MATCH("0420",'[5]Page 2'!$M:$M,0),58)</f>
        <v>13550</v>
      </c>
      <c r="F56" s="47">
        <f>INDEX('[6]Page 2'!$B:$DP,MATCH("0420",'[6]Page 2'!$M:$M,0),42)</f>
        <v>1815</v>
      </c>
      <c r="G56" s="13">
        <f>INDEX('[6]Page 2'!$B:$DP,MATCH("0420",'[6]Page 2'!$M:$M,0),58)</f>
        <v>22970</v>
      </c>
      <c r="H56" s="47">
        <f>IFERROR(VLOOKUP("Training",'[7]PAGE 2'!$B:$W,7,FALSE),0)</f>
        <v>534</v>
      </c>
      <c r="I56" s="13">
        <f>IFERROR(VLOOKUP("Training",'[7]PAGE 2'!$B:$W,9,FALSE),0)</f>
        <v>22050</v>
      </c>
      <c r="J56" s="47">
        <f>IFERROR(VLOOKUP("Training",'[8]PAGE 2'!$B:$W,7,FALSE),0)</f>
        <v>471</v>
      </c>
      <c r="K56" s="13">
        <f>IFERROR(VLOOKUP("Training",'[8]PAGE 2'!$B:$W,9,FALSE),0)</f>
        <v>23904</v>
      </c>
      <c r="L56" s="47"/>
      <c r="M56" s="13"/>
      <c r="N56" s="47">
        <f>VLOOKUP("Personnel Training",'[9]PAGE 2'!$B:$S,10,FALSE)</f>
        <v>1996</v>
      </c>
      <c r="O56" s="13">
        <f>VLOOKUP("Personnel Training",'[9]PAGE 2'!$B:$S,12,FALSE)</f>
        <v>33205</v>
      </c>
      <c r="P56" s="47">
        <f>'[2]PAGE 4'!$F$59</f>
        <v>988</v>
      </c>
      <c r="Q56" s="13">
        <f>'[2]PAGE 4'!$R$59</f>
        <v>21241</v>
      </c>
      <c r="R56" s="131">
        <f>SUM([3]P4!$F$117:$K$118)</f>
        <v>0</v>
      </c>
      <c r="S56" s="13">
        <f>SUM([3]P4!$P$117:$V$118)</f>
        <v>2036</v>
      </c>
      <c r="T56" s="47"/>
      <c r="U56" s="13"/>
      <c r="V56" s="47">
        <f>+INDEX('[10]PAGE 2'!$1:$1048576,MATCH("Training",'[10]PAGE 2'!$B:$B,0),16)</f>
        <v>65</v>
      </c>
      <c r="W56" s="13">
        <f>+INDEX('[10]PAGE 2'!$1:$1048576,MATCH("Training",'[10]PAGE 2'!$B:$B,0),19)</f>
        <v>3327</v>
      </c>
      <c r="X56" s="47">
        <f>VLOOKUP("Personnel Training",'[11]PAGE 2'!$B:$S,10,FALSE)</f>
        <v>0</v>
      </c>
      <c r="Y56" s="13">
        <f>VLOOKUP("Personnel Training",'[11]PAGE 2'!$B:$S,12,FALSE)</f>
        <v>0</v>
      </c>
      <c r="Z56" s="47">
        <f>VLOOKUP("Personnel Training",'[12]PAGE 2'!$B:$S,10,FALSE)</f>
        <v>874</v>
      </c>
      <c r="AA56" s="13">
        <f>VLOOKUP("Personnel Training",'[12]PAGE 2'!$B:$S,12,FALSE)</f>
        <v>1750</v>
      </c>
      <c r="AB56" s="47">
        <f t="shared" si="0"/>
        <v>11542</v>
      </c>
      <c r="AC56" s="13">
        <f t="shared" si="1"/>
        <v>151064</v>
      </c>
    </row>
    <row r="57" spans="1:29">
      <c r="A57" s="5" t="s">
        <v>32</v>
      </c>
      <c r="B57" s="47">
        <f>INDEX('[4]Page 2'!$B:$DP,MATCH("0430",'[4]Page 2'!$M:$M,0),42)</f>
        <v>0</v>
      </c>
      <c r="C57" s="13">
        <f>INDEX('[4]Page 2'!$B:$DP,MATCH("0430",'[4]Page 2'!$M:$M,0),58)</f>
        <v>0</v>
      </c>
      <c r="D57" s="47">
        <f>INDEX('[5]Page 2'!$B:$DP,MATCH("0430",'[5]Page 2'!$M:$M,0),42)</f>
        <v>0</v>
      </c>
      <c r="E57" s="13">
        <f>INDEX('[5]Page 2'!$B:$DP,MATCH("0430",'[5]Page 2'!$M:$M,0),58)</f>
        <v>2095</v>
      </c>
      <c r="F57" s="47">
        <f>INDEX('[6]Page 2'!$B:$DP,MATCH("0430",'[6]Page 2'!$M:$M,0),42)</f>
        <v>0</v>
      </c>
      <c r="G57" s="13">
        <f>INDEX('[6]Page 2'!$B:$DP,MATCH("0430",'[6]Page 2'!$M:$M,0),58)</f>
        <v>0</v>
      </c>
      <c r="H57" s="47">
        <f>IFERROR(VLOOKUP("Bad Debts",'[7]PAGE 2'!$B:$W,7,FALSE),0)</f>
        <v>-1998</v>
      </c>
      <c r="I57" s="13">
        <f>IFERROR(VLOOKUP("Bad Debts",'[7]PAGE 2'!$B:$W,9,FALSE),0)</f>
        <v>0</v>
      </c>
      <c r="J57" s="47">
        <f>IFERROR(VLOOKUP("Bad Debts",'[8]PAGE 2'!$B:$W,7,FALSE),0)</f>
        <v>-100</v>
      </c>
      <c r="K57" s="13">
        <f>IFERROR(VLOOKUP("Bad Debts",'[8]PAGE 2'!$B:$W,9,FALSE),0)</f>
        <v>0</v>
      </c>
      <c r="L57" s="47"/>
      <c r="M57" s="13"/>
      <c r="N57" s="47"/>
      <c r="O57" s="13"/>
      <c r="P57" s="47">
        <f>'[2]PAGE 6'!$O$19*$Q$3</f>
        <v>-149.1531444722811</v>
      </c>
      <c r="Q57" s="13">
        <f>'[2]PAGE 6'!$Z$19*$Q$3</f>
        <v>0</v>
      </c>
      <c r="R57" s="47">
        <f>IFERROR([3]P6!$M$37*S3,0)</f>
        <v>0</v>
      </c>
      <c r="S57" s="13">
        <f>IFERROR([3]P6!$AS$37,0)</f>
        <v>0</v>
      </c>
      <c r="T57" s="47"/>
      <c r="U57" s="13"/>
      <c r="V57" s="47">
        <f>+INDEX('[10]PAGE 2'!$1:$1048576,MATCH("adjustments for doubtful accounts",'[10]PAGE 2'!$B:$B,0),16)+INDEX('[10]PAGE 2'!$1:$1048576,MATCH("bad debts recovered",'[10]PAGE 2'!$B:$B,0),16)</f>
        <v>0</v>
      </c>
      <c r="W57" s="13">
        <f>+INDEX('[10]PAGE 2'!$1:$1048576,MATCH("adjustments for doubtful accounts",'[10]PAGE 2'!$B:$B,0),19)+INDEX('[10]PAGE 2'!$1:$1048576,MATCH("bad debts recovered",'[10]PAGE 2'!$B:$B,0),19)</f>
        <v>0</v>
      </c>
      <c r="X57" s="47"/>
      <c r="Y57" s="13"/>
      <c r="Z57" s="47"/>
      <c r="AA57" s="13"/>
      <c r="AB57" s="47">
        <f t="shared" si="0"/>
        <v>-2247.1531444722809</v>
      </c>
      <c r="AC57" s="13">
        <f t="shared" si="1"/>
        <v>2095</v>
      </c>
    </row>
    <row r="58" spans="1:29">
      <c r="A58" s="7" t="s">
        <v>33</v>
      </c>
      <c r="B58" s="47">
        <f>INDEX('[4]Page 2'!$B:$DP,MATCH("0440",'[4]Page 2'!$M:$M,0),42)</f>
        <v>1844</v>
      </c>
      <c r="C58" s="13">
        <f>INDEX('[4]Page 2'!$B:$DP,MATCH("0440",'[4]Page 2'!$M:$M,0),58)</f>
        <v>24548</v>
      </c>
      <c r="D58" s="47">
        <f>INDEX('[5]Page 2'!$B:$DP,MATCH("0440",'[5]Page 2'!$M:$M,0),42)</f>
        <v>2657</v>
      </c>
      <c r="E58" s="13">
        <f>INDEX('[5]Page 2'!$B:$DP,MATCH("0440",'[5]Page 2'!$M:$M,0),58)</f>
        <v>23057</v>
      </c>
      <c r="F58" s="47">
        <f>INDEX('[6]Page 2'!$B:$DP,MATCH("0440",'[6]Page 2'!$M:$M,0),42)</f>
        <v>2369</v>
      </c>
      <c r="G58" s="13">
        <f>INDEX('[6]Page 2'!$B:$DP,MATCH("0440",'[6]Page 2'!$M:$M,0),58)</f>
        <v>21698</v>
      </c>
      <c r="H58" s="47">
        <f>IFERROR(VLOOKUP("mISCELLANEOUS",'[7]PAGE 2'!$B:$W,7,FALSE),0)</f>
        <v>604</v>
      </c>
      <c r="I58" s="13">
        <f>IFERROR(VLOOKUP("mISCELLANEOUS",'[7]PAGE 2'!$B:$W,9,FALSE),0)</f>
        <v>1208</v>
      </c>
      <c r="J58" s="47">
        <f>IFERROR(VLOOKUP("mISCELLANEOUS",'[8]PAGE 2'!$B:$W,7,FALSE),0)</f>
        <v>0</v>
      </c>
      <c r="K58" s="13">
        <f>IFERROR(VLOOKUP("mISCELLANEOUS",'[8]PAGE 2'!$B:$W,9,FALSE),0)</f>
        <v>0</v>
      </c>
      <c r="L58" s="47"/>
      <c r="M58" s="13"/>
      <c r="N58" s="47">
        <f>IFERROR(VLOOKUP("Miscellaneous Expenses",'[9]PAGE 2'!$B:$S,10,FALSE)+VLOOKUP("Postage",'[9]PAGE 2'!$B:$S,10,FALSE),0)</f>
        <v>2207</v>
      </c>
      <c r="O58" s="13">
        <f>IFERROR(VLOOKUP("Miscellaneous Expenses",'[9]PAGE 2'!$B:$S,12,FALSE)+VLOOKUP("Postage",'[9]PAGE 2'!$B:$S,12,FALSE),0)</f>
        <v>25790</v>
      </c>
      <c r="P58" s="47">
        <f>$Q$3*'[2]PAGE 6'!$O$25</f>
        <v>3855.6254684053874</v>
      </c>
      <c r="Q58" s="13">
        <f>'[2]PAGE 6'!$AU$25</f>
        <v>43211</v>
      </c>
      <c r="R58" s="47"/>
      <c r="S58" s="13"/>
      <c r="T58" s="47"/>
      <c r="U58" s="13"/>
      <c r="V58" s="47">
        <f>+INDEX('[10]PAGE 2'!$1:$1048576,MATCH(" miscellaneous",'[10]PAGE 2'!$B:$B,0),16)</f>
        <v>196</v>
      </c>
      <c r="W58" s="13">
        <f>+INDEX('[10]PAGE 2'!$1:$1048576,MATCH(" miscellaneous",'[10]PAGE 2'!$B:$B,0),19)</f>
        <v>6617</v>
      </c>
      <c r="X58" s="47">
        <f>IFERROR(VLOOKUP("Miscellaneous Expenses",'[11]PAGE 2'!$B:$S,10,FALSE)+VLOOKUP("Postage",'[11]PAGE 2'!$B:$S,10,FALSE),0)</f>
        <v>0</v>
      </c>
      <c r="Y58" s="13">
        <f>IFERROR(VLOOKUP("Miscellaneous Expenses",'[11]PAGE 2'!$B:$S,12,FALSE)+VLOOKUP("Postage",'[11]PAGE 2'!$B:$S,12,FALSE),0)</f>
        <v>0</v>
      </c>
      <c r="Z58" s="47">
        <f>IFERROR(VLOOKUP("Miscellaneous Expenses",'[12]PAGE 2'!$B:$S,10,FALSE)+VLOOKUP("Postage",'[12]PAGE 2'!$B:$S,10,FALSE),0)</f>
        <v>676</v>
      </c>
      <c r="AA58" s="13">
        <f>IFERROR(VLOOKUP("Miscellaneous Expenses",'[12]PAGE 2'!$B:$S,12,FALSE)+VLOOKUP("Postage",'[12]PAGE 2'!$B:$S,12,FALSE),0)</f>
        <v>2097</v>
      </c>
      <c r="AB58" s="47">
        <f t="shared" si="0"/>
        <v>14408.625468405387</v>
      </c>
      <c r="AC58" s="13">
        <f t="shared" si="1"/>
        <v>148226</v>
      </c>
    </row>
    <row r="59" spans="1:29">
      <c r="A59" s="5" t="s">
        <v>34</v>
      </c>
      <c r="B59" s="47"/>
      <c r="C59" s="13"/>
      <c r="D59" s="47"/>
      <c r="E59" s="13"/>
      <c r="F59" s="47"/>
      <c r="G59" s="13"/>
      <c r="H59" s="47">
        <f>IFERROR(VLOOKUP("Data Processing Services",'[7]PAGE 2'!$B:$W,7,FALSE),0)</f>
        <v>7066</v>
      </c>
      <c r="I59" s="13">
        <f>IFERROR(VLOOKUP("Data Processing Services",'[7]PAGE 2'!$B:$W,9,FALSE),0)</f>
        <v>57398</v>
      </c>
      <c r="J59" s="47">
        <f>IFERROR(VLOOKUP("Data Processing Services",'[8]PAGE 2'!$B:$W,7,FALSE),0)</f>
        <v>3834</v>
      </c>
      <c r="K59" s="13">
        <f>IFERROR(VLOOKUP("Data Processing Services",'[8]PAGE 2'!$B:$W,9,FALSE),0)</f>
        <v>57455</v>
      </c>
      <c r="L59" s="47"/>
      <c r="M59" s="13"/>
      <c r="N59" s="47">
        <f>IFERROR(VLOOKUP("Data Processing Services",'[9]PAGE 2'!$B:$S,10,FALSE),0)</f>
        <v>8581</v>
      </c>
      <c r="O59" s="13">
        <f>IFERROR(VLOOKUP("Data Processing Services",'[9]PAGE 2'!$B:$S,12,FALSE),0)</f>
        <v>84876</v>
      </c>
      <c r="P59" s="47">
        <f>$Q$3*'[2]PAGE 6'!$O$18</f>
        <v>7899.4441660778139</v>
      </c>
      <c r="Q59" s="13">
        <f>'[2]PAGE 6'!$AU$18</f>
        <v>89567</v>
      </c>
      <c r="R59" s="47">
        <f>[3]P6!$M$35*S3</f>
        <v>4759.2839400600606</v>
      </c>
      <c r="S59" s="13">
        <f>[3]P6!$AS$35</f>
        <v>52051</v>
      </c>
      <c r="T59" s="47"/>
      <c r="U59" s="13"/>
      <c r="V59" s="47">
        <f>+INDEX('[10]PAGE 2'!$1:$1048576,MATCH("data processing",'[10]PAGE 2'!$B:$B,0),16)</f>
        <v>7702</v>
      </c>
      <c r="W59" s="13">
        <f>+INDEX('[10]PAGE 2'!$1:$1048576,MATCH("data processing",'[10]PAGE 2'!$B:$B,0),19)</f>
        <v>33553</v>
      </c>
      <c r="X59" s="47">
        <f>IFERROR(VLOOKUP("Data Processing Services",'[11]PAGE 2'!$B:$S,10,FALSE),0)</f>
        <v>0</v>
      </c>
      <c r="Y59" s="13">
        <f>IFERROR(VLOOKUP("Data Processing Services",'[11]PAGE 2'!$B:$S,12,FALSE),0)</f>
        <v>0</v>
      </c>
      <c r="Z59" s="47">
        <f>IFERROR(VLOOKUP("Data Processing Services",'[12]PAGE 2'!$B:$S,10,FALSE),0)</f>
        <v>-5338</v>
      </c>
      <c r="AA59" s="13">
        <f>IFERROR(VLOOKUP("Data Processing Services",'[12]PAGE 2'!$B:$S,12,FALSE),0)</f>
        <v>16518</v>
      </c>
      <c r="AB59" s="47">
        <f t="shared" si="0"/>
        <v>34503.728106137874</v>
      </c>
      <c r="AC59" s="13">
        <f t="shared" si="1"/>
        <v>391418</v>
      </c>
    </row>
    <row r="60" spans="1:29">
      <c r="A60" s="5" t="s">
        <v>35</v>
      </c>
      <c r="B60" s="47"/>
      <c r="C60" s="13"/>
      <c r="D60" s="47"/>
      <c r="E60" s="13"/>
      <c r="F60" s="47"/>
      <c r="G60" s="13"/>
      <c r="H60" s="47">
        <f>IFERROR(VLOOKUP("Contributions",'[7]PAGE 2'!$B:$W,7,FALSE),0)</f>
        <v>204</v>
      </c>
      <c r="I60" s="13">
        <f>IFERROR(VLOOKUP("Contributions",'[7]PAGE 2'!$B:$W,9,FALSE),0)</f>
        <v>7087</v>
      </c>
      <c r="J60" s="47">
        <f>IFERROR(VLOOKUP("Contributions",'[8]PAGE 2'!$B:$W,7,FALSE),0)</f>
        <v>0</v>
      </c>
      <c r="K60" s="13">
        <f>IFERROR(VLOOKUP("Contributions",'[8]PAGE 2'!$B:$W,9,FALSE),0)</f>
        <v>2023</v>
      </c>
      <c r="L60" s="47"/>
      <c r="M60" s="13"/>
      <c r="N60" s="47">
        <f>IFERROR(VLOOKUP("Contributions",'[9]PAGE 2'!$B:$S,10,FALSE),0)</f>
        <v>0</v>
      </c>
      <c r="O60" s="13">
        <f>IFERROR(VLOOKUP("Contributions",'[9]PAGE 2'!$B:$S,12,FALSE),0)</f>
        <v>11442</v>
      </c>
      <c r="P60" s="47">
        <f>$Q$3*'[2]PAGE 6'!$O$20</f>
        <v>0</v>
      </c>
      <c r="Q60" s="13">
        <f>'[2]PAGE 6'!$AU$20</f>
        <v>3257</v>
      </c>
      <c r="R60" s="47">
        <f>IFERROR(IF([3]P6!$M$39=0,0,[3]P6!$M$39*S3),0)</f>
        <v>0</v>
      </c>
      <c r="S60" s="13">
        <f>[3]P6!$AS$39</f>
        <v>389</v>
      </c>
      <c r="T60" s="47"/>
      <c r="U60" s="13"/>
      <c r="V60" s="47">
        <f>+INDEX('[10]PAGE 2'!$1:$1048576,MATCH("contributions",'[10]PAGE 2'!$B:$B,0),16)</f>
        <v>500</v>
      </c>
      <c r="W60" s="13">
        <f>+INDEX('[10]PAGE 2'!$1:$1048576,MATCH("contributions",'[10]PAGE 2'!$B:$B,0),19)</f>
        <v>500</v>
      </c>
      <c r="X60" s="47">
        <f>IFERROR(VLOOKUP("Contributions",'[11]PAGE 2'!$B:$S,10,FALSE),0)</f>
        <v>0</v>
      </c>
      <c r="Y60" s="13">
        <f>IFERROR(VLOOKUP("Contributions",'[11]PAGE 2'!$B:$S,12,FALSE),0)</f>
        <v>0</v>
      </c>
      <c r="Z60" s="47">
        <f>IFERROR(VLOOKUP("Contributions",'[12]PAGE 2'!$B:$S,10,FALSE),0)</f>
        <v>69</v>
      </c>
      <c r="AA60" s="13">
        <f>IFERROR(VLOOKUP("Contributions",'[12]PAGE 2'!$B:$S,12,FALSE),0)</f>
        <v>223</v>
      </c>
      <c r="AB60" s="47">
        <f t="shared" si="0"/>
        <v>773</v>
      </c>
      <c r="AC60" s="13">
        <f t="shared" si="1"/>
        <v>24921</v>
      </c>
    </row>
    <row r="61" spans="1:29">
      <c r="A61" s="5" t="s">
        <v>36</v>
      </c>
      <c r="B61" s="47">
        <f>INDEX('[4]Page 2'!$B:$DP,MATCH("0480",'[4]Page 2'!$M:$M,0),42)</f>
        <v>440</v>
      </c>
      <c r="C61" s="13">
        <f>INDEX('[4]Page 2'!$B:$DP,MATCH("0480",'[4]Page 2'!$M:$M,0),58)</f>
        <v>9061</v>
      </c>
      <c r="D61" s="47">
        <f>INDEX('[5]Page 2'!$B:$DP,MATCH("0480",'[5]Page 2'!$M:$M,0),42)</f>
        <v>908</v>
      </c>
      <c r="E61" s="13">
        <f>INDEX('[5]Page 2'!$B:$DP,MATCH("0480",'[5]Page 2'!$M:$M,0),58)</f>
        <v>13199</v>
      </c>
      <c r="F61" s="47">
        <f>INDEX('[6]Page 2'!$B:$DP,MATCH("0480",'[6]Page 2'!$M:$M,0),42)</f>
        <v>1206</v>
      </c>
      <c r="G61" s="13">
        <f>INDEX('[6]Page 2'!$B:$DP,MATCH("0480",'[6]Page 2'!$M:$M,0),58)</f>
        <v>11279</v>
      </c>
      <c r="H61" s="47">
        <f>IFERROR(VLOOKUP("Memberships, Dues, Pblcns.",'[7]PAGE 2'!$B:$W,7,FALSE),0)</f>
        <v>117</v>
      </c>
      <c r="I61" s="13">
        <f>IFERROR(VLOOKUP("Memberships, Dues, Pblcns.",'[7]PAGE 2'!$B:$W,9,FALSE),0)</f>
        <v>3013</v>
      </c>
      <c r="J61" s="47">
        <f>IFERROR(VLOOKUP("Memberships, Dues, Pblcns.",'[8]PAGE 2'!$B:$W,7,FALSE),0)</f>
        <v>788</v>
      </c>
      <c r="K61" s="13">
        <f>IFERROR(VLOOKUP("Memberships, Dues, Pblcns.",'[8]PAGE 2'!$B:$W,9,FALSE),0)</f>
        <v>4390</v>
      </c>
      <c r="L61" s="47"/>
      <c r="M61" s="13"/>
      <c r="N61" s="47">
        <f>IFERROR(VLOOKUP("Dues &amp; Subscriptions",'[9]PAGE 2'!$B:$S,10,FALSE),0)</f>
        <v>374</v>
      </c>
      <c r="O61" s="13">
        <f>IFERROR(VLOOKUP("Dues &amp; Subscriptions",'[9]PAGE 2'!$B:$S,12,FALSE),0)</f>
        <v>4487</v>
      </c>
      <c r="P61" s="47"/>
      <c r="Q61" s="13"/>
      <c r="R61" s="47"/>
      <c r="S61" s="13"/>
      <c r="T61" s="47"/>
      <c r="U61" s="13"/>
      <c r="V61" s="47">
        <f>+INDEX('[10]PAGE 2'!$1:$1048576,MATCH("membership, dues and publications",'[10]PAGE 2'!$B:$B,0),16)</f>
        <v>0</v>
      </c>
      <c r="W61" s="13">
        <f>+INDEX('[10]PAGE 2'!$1:$1048576,MATCH("membership, dues and publications",'[10]PAGE 2'!$B:$B,0),19)</f>
        <v>425</v>
      </c>
      <c r="X61" s="47">
        <f>IFERROR(VLOOKUP("Dues &amp; Subscriptions",'[11]PAGE 2'!$B:$S,10,FALSE),0)</f>
        <v>0</v>
      </c>
      <c r="Y61" s="13">
        <f>IFERROR(VLOOKUP("Dues &amp; Subscriptions",'[11]PAGE 2'!$B:$S,12,FALSE),0)</f>
        <v>0</v>
      </c>
      <c r="Z61" s="47">
        <f>IFERROR(VLOOKUP("Dues &amp; Subscriptions",'[12]PAGE 2'!$B:$S,10,FALSE),0)</f>
        <v>296</v>
      </c>
      <c r="AA61" s="13">
        <f>IFERROR(VLOOKUP("Dues &amp; Subscriptions",'[12]PAGE 2'!$B:$S,12,FALSE),0)</f>
        <v>1027</v>
      </c>
      <c r="AB61" s="47">
        <f t="shared" si="0"/>
        <v>4129</v>
      </c>
      <c r="AC61" s="13">
        <f t="shared" si="1"/>
        <v>46881</v>
      </c>
    </row>
    <row r="62" spans="1:29">
      <c r="A62" s="4" t="s">
        <v>56</v>
      </c>
      <c r="B62" s="24">
        <f t="shared" ref="B62:C62" si="37">SUM(B46:B61)</f>
        <v>31972</v>
      </c>
      <c r="C62" s="25">
        <f t="shared" si="37"/>
        <v>370735</v>
      </c>
      <c r="D62" s="24">
        <f t="shared" ref="D62:E62" si="38">SUM(D46:D61)</f>
        <v>38218</v>
      </c>
      <c r="E62" s="25">
        <f t="shared" si="38"/>
        <v>388031</v>
      </c>
      <c r="F62" s="24">
        <f t="shared" ref="F62:G62" si="39">SUM(F46:F61)</f>
        <v>33190</v>
      </c>
      <c r="G62" s="25">
        <f t="shared" si="39"/>
        <v>375464</v>
      </c>
      <c r="H62" s="24">
        <f t="shared" ref="H62:K62" si="40">SUM(H46:H61)</f>
        <v>35860</v>
      </c>
      <c r="I62" s="25">
        <f t="shared" si="40"/>
        <v>295041</v>
      </c>
      <c r="J62" s="24">
        <f t="shared" si="40"/>
        <v>19485</v>
      </c>
      <c r="K62" s="25">
        <f t="shared" si="40"/>
        <v>265731</v>
      </c>
      <c r="L62" s="24"/>
      <c r="M62" s="25"/>
      <c r="N62" s="24">
        <f t="shared" ref="N62:S62" si="41">SUM(N46:N61)</f>
        <v>22938</v>
      </c>
      <c r="O62" s="25">
        <f t="shared" si="41"/>
        <v>370104</v>
      </c>
      <c r="P62" s="24">
        <f t="shared" si="41"/>
        <v>14233.933727329179</v>
      </c>
      <c r="Q62" s="25">
        <f t="shared" si="41"/>
        <v>287077</v>
      </c>
      <c r="R62" s="24">
        <f t="shared" si="41"/>
        <v>21062.398618705323</v>
      </c>
      <c r="S62" s="25">
        <f t="shared" si="41"/>
        <v>277167</v>
      </c>
      <c r="T62" s="24">
        <f t="shared" ref="T62:V62" si="42">SUM(T46:T61)</f>
        <v>0</v>
      </c>
      <c r="U62" s="25">
        <f t="shared" si="42"/>
        <v>0</v>
      </c>
      <c r="V62" s="24">
        <f t="shared" si="42"/>
        <v>17635</v>
      </c>
      <c r="W62" s="25">
        <f t="shared" ref="W62:AA62" si="43">SUM(W46:W61)</f>
        <v>107470</v>
      </c>
      <c r="X62" s="24">
        <f t="shared" si="43"/>
        <v>0</v>
      </c>
      <c r="Y62" s="25">
        <f t="shared" si="43"/>
        <v>0</v>
      </c>
      <c r="Z62" s="24">
        <f t="shared" si="43"/>
        <v>12341</v>
      </c>
      <c r="AA62" s="25">
        <f t="shared" si="43"/>
        <v>76681</v>
      </c>
      <c r="AB62" s="24">
        <f t="shared" si="0"/>
        <v>246935.33234603453</v>
      </c>
      <c r="AC62" s="25">
        <f t="shared" si="1"/>
        <v>2813501</v>
      </c>
    </row>
    <row r="63" spans="1:29">
      <c r="A63" s="5" t="s">
        <v>37</v>
      </c>
      <c r="B63" s="47">
        <f>INDEX('[4]Page 2'!$B:$DP,MATCH("0500",'[4]Page 2'!$M:$M,0),42)</f>
        <v>19775</v>
      </c>
      <c r="C63" s="13">
        <f>INDEX('[4]Page 2'!$B:$DP,MATCH("0500",'[4]Page 2'!$M:$M,0),58)</f>
        <v>239225</v>
      </c>
      <c r="D63" s="47">
        <f>INDEX('[5]Page 2'!$B:$DP,MATCH("0500",'[5]Page 2'!$M:$M,0),42)</f>
        <v>9000</v>
      </c>
      <c r="E63" s="13">
        <f>INDEX('[5]Page 2'!$B:$DP,MATCH("0500",'[5]Page 2'!$M:$M,0),58)</f>
        <v>108000</v>
      </c>
      <c r="F63" s="47">
        <f>INDEX('[6]Page 2'!$B:$DP,MATCH("0500",'[6]Page 2'!$M:$M,0),42)</f>
        <v>18250</v>
      </c>
      <c r="G63" s="13">
        <f>INDEX('[6]Page 2'!$B:$DP,MATCH("0500",'[6]Page 2'!$M:$M,0),58)</f>
        <v>216178</v>
      </c>
      <c r="H63" s="47">
        <f>IFERROR(VLOOKUP("Rent",'[7]PAGE 2'!$B:$W,7,FALSE),0)</f>
        <v>17669</v>
      </c>
      <c r="I63" s="13">
        <f>IFERROR(VLOOKUP("Rent",'[7]PAGE 2'!$B:$W,9,FALSE),0)</f>
        <v>206692</v>
      </c>
      <c r="J63" s="47">
        <f>IFERROR(VLOOKUP("Rent",'[8]PAGE 2'!$B:$W,7,FALSE),0)</f>
        <v>17259</v>
      </c>
      <c r="K63" s="13">
        <f>IFERROR(VLOOKUP("Rent",'[8]PAGE 2'!$B:$W,9,FALSE),0)</f>
        <v>192277</v>
      </c>
      <c r="L63" s="47"/>
      <c r="M63" s="13"/>
      <c r="N63" s="47">
        <f>IFERROR(VLOOKUP("Rent &amp; Equivalent",'[9]PAGE 2'!$B:$S,10,FALSE),0)</f>
        <v>27930</v>
      </c>
      <c r="O63" s="13">
        <f>IFERROR(VLOOKUP("Rent &amp; Equivalent",'[9]PAGE 2'!$B:$S,12,FALSE),0)</f>
        <v>286730</v>
      </c>
      <c r="P63" s="47">
        <f>$Q$3*'[2]PAGE 6'!$O$11</f>
        <v>13834.204406757886</v>
      </c>
      <c r="Q63" s="13">
        <f>'[2]PAGE 6'!$AU$11</f>
        <v>174936</v>
      </c>
      <c r="R63" s="47">
        <f>[3]P6!$M$21*S3</f>
        <v>10946.815064462095</v>
      </c>
      <c r="S63" s="13">
        <f>[3]P6!$AS$21</f>
        <v>148588</v>
      </c>
      <c r="T63" s="47"/>
      <c r="U63" s="13"/>
      <c r="V63" s="47">
        <f>+INDEX('[10]PAGE 2'!$1:$1048576,MATCH("rent",'[10]PAGE 2'!$B:$B,0),16)</f>
        <v>13200</v>
      </c>
      <c r="W63" s="13">
        <f>+INDEX('[10]PAGE 2'!$1:$1048576,MATCH("rent",'[10]PAGE 2'!$B:$B,0),19)</f>
        <v>74500</v>
      </c>
      <c r="X63" s="47">
        <f>IFERROR(VLOOKUP("Rent &amp; Equivalent",'[11]PAGE 2'!$B:$S,10,FALSE),0)</f>
        <v>0</v>
      </c>
      <c r="Y63" s="13">
        <f>IFERROR(VLOOKUP("Rent &amp; Equivalent",'[11]PAGE 2'!$B:$S,12,FALSE),0)</f>
        <v>0</v>
      </c>
      <c r="Z63" s="47">
        <f>IFERROR(VLOOKUP("Rent &amp; Equivalent",'[12]PAGE 2'!$B:$S,10,FALSE),0)</f>
        <v>10500</v>
      </c>
      <c r="AA63" s="13">
        <f>IFERROR(VLOOKUP("Rent &amp; Equivalent",'[12]PAGE 2'!$B:$S,12,FALSE),0)</f>
        <v>41990</v>
      </c>
      <c r="AB63" s="47">
        <f t="shared" si="0"/>
        <v>158364.01947121997</v>
      </c>
      <c r="AC63" s="13">
        <f t="shared" si="1"/>
        <v>1689116</v>
      </c>
    </row>
    <row r="64" spans="1:29">
      <c r="A64" s="5" t="s">
        <v>38</v>
      </c>
      <c r="B64" s="47">
        <f>INDEX('[4]Page 2'!$B:$DP,MATCH("0510",'[4]Page 2'!$M:$M,0),42)</f>
        <v>-134</v>
      </c>
      <c r="C64" s="13">
        <f>INDEX('[4]Page 2'!$B:$DP,MATCH("0510",'[4]Page 2'!$M:$M,0),58)</f>
        <v>1014</v>
      </c>
      <c r="D64" s="47">
        <f>INDEX('[5]Page 2'!$B:$DP,MATCH("0510",'[5]Page 2'!$M:$M,0),42)</f>
        <v>0</v>
      </c>
      <c r="E64" s="13">
        <f>INDEX('[5]Page 2'!$B:$DP,MATCH("0510",'[5]Page 2'!$M:$M,0),58)</f>
        <v>0</v>
      </c>
      <c r="F64" s="47">
        <f>INDEX('[6]Page 2'!$B:$DP,MATCH("0510",'[6]Page 2'!$M:$M,0),42)</f>
        <v>0</v>
      </c>
      <c r="G64" s="13">
        <f>INDEX('[6]Page 2'!$B:$DP,MATCH("0510",'[6]Page 2'!$M:$M,0),58)</f>
        <v>0</v>
      </c>
      <c r="H64" s="47">
        <f>IFERROR(VLOOKUP("Amortization - Leaseholds",'[7]PAGE 2'!$B:$W,7,FALSE),0)</f>
        <v>0</v>
      </c>
      <c r="I64" s="13">
        <f>IFERROR(VLOOKUP("Amortization - Leaseholds",'[7]PAGE 2'!$B:$W,9,FALSE),0)</f>
        <v>0</v>
      </c>
      <c r="J64" s="47">
        <f>IFERROR(VLOOKUP("Amortization - Leaseholds",'[8]PAGE 2'!$B:$W,7,FALSE),0)</f>
        <v>0</v>
      </c>
      <c r="K64" s="13">
        <f>IFERROR(VLOOKUP("Amortization - Leaseholds",'[8]PAGE 2'!$B:$W,9,FALSE),0)</f>
        <v>0</v>
      </c>
      <c r="L64" s="47"/>
      <c r="M64" s="13"/>
      <c r="N64" s="47"/>
      <c r="O64" s="13"/>
      <c r="P64" s="47"/>
      <c r="Q64" s="13"/>
      <c r="R64" s="47"/>
      <c r="S64" s="13"/>
      <c r="T64" s="47"/>
      <c r="U64" s="13"/>
      <c r="V64" s="47">
        <f>+INDEX('[10]PAGE 2'!$1:$1048576,MATCH("amortization - leaseholds",'[10]PAGE 2'!$B:$B,0),16)</f>
        <v>0</v>
      </c>
      <c r="W64" s="13">
        <f>+INDEX('[10]PAGE 2'!$1:$1048576,MATCH("amortization - leaseholds",'[10]PAGE 2'!$B:$B,0),19)</f>
        <v>0</v>
      </c>
      <c r="X64" s="47"/>
      <c r="Y64" s="13"/>
      <c r="Z64" s="47"/>
      <c r="AA64" s="13"/>
      <c r="AB64" s="47">
        <f t="shared" si="0"/>
        <v>-134</v>
      </c>
      <c r="AC64" s="13">
        <f t="shared" si="1"/>
        <v>1014</v>
      </c>
    </row>
    <row r="65" spans="1:29">
      <c r="A65" s="5" t="s">
        <v>39</v>
      </c>
      <c r="B65" s="47">
        <f>INDEX('[4]Page 2'!$B:$DP,MATCH("0520",'[4]Page 2'!$M:$M,0),42)</f>
        <v>0</v>
      </c>
      <c r="C65" s="13">
        <f>INDEX('[4]Page 2'!$B:$DP,MATCH("0520",'[4]Page 2'!$M:$M,0),58)</f>
        <v>2573</v>
      </c>
      <c r="D65" s="47">
        <f>INDEX('[5]Page 2'!$B:$DP,MATCH("0520",'[5]Page 2'!$M:$M,0),42)</f>
        <v>0</v>
      </c>
      <c r="E65" s="13">
        <f>INDEX('[5]Page 2'!$B:$DP,MATCH("0520",'[5]Page 2'!$M:$M,0),58)</f>
        <v>993</v>
      </c>
      <c r="F65" s="47">
        <f>INDEX('[6]Page 2'!$B:$DP,MATCH("0520",'[6]Page 2'!$M:$M,0),42)</f>
        <v>0</v>
      </c>
      <c r="G65" s="13">
        <f>INDEX('[6]Page 2'!$B:$DP,MATCH("0520",'[6]Page 2'!$M:$M,0),58)</f>
        <v>446</v>
      </c>
      <c r="H65" s="47">
        <f>IFERROR(VLOOKUP("Repairs &amp; Maint - Real Estate",'[7]PAGE 2'!$B:$W,7,FALSE),0)</f>
        <v>0</v>
      </c>
      <c r="I65" s="13">
        <f>IFERROR(VLOOKUP("Repairs &amp; Maint - Real Estate",'[7]PAGE 2'!$B:$W,9,FALSE),0)</f>
        <v>303</v>
      </c>
      <c r="J65" s="47">
        <f>IFERROR(VLOOKUP("Repairs &amp; Maint - Real Estate",'[8]PAGE 2'!$B:$W,7,FALSE),0)</f>
        <v>137</v>
      </c>
      <c r="K65" s="13">
        <f>IFERROR(VLOOKUP("Repairs &amp; Maint - Real Estate",'[8]PAGE 2'!$B:$W,9,FALSE),0)</f>
        <v>218</v>
      </c>
      <c r="L65" s="47"/>
      <c r="M65" s="13"/>
      <c r="N65" s="47"/>
      <c r="O65" s="13"/>
      <c r="P65" s="47"/>
      <c r="Q65" s="13"/>
      <c r="R65" s="47"/>
      <c r="S65" s="13"/>
      <c r="T65" s="47"/>
      <c r="U65" s="13"/>
      <c r="V65" s="47">
        <f>+INDEX('[10]PAGE 2'!$1:$1048576,MATCH("repairs - real estate",'[10]PAGE 2'!$B:$B,0),16)</f>
        <v>355</v>
      </c>
      <c r="W65" s="13">
        <f>+INDEX('[10]PAGE 2'!$1:$1048576,MATCH("repairs - real estate",'[10]PAGE 2'!$B:$B,0),19)</f>
        <v>6352</v>
      </c>
      <c r="X65" s="47"/>
      <c r="Y65" s="13"/>
      <c r="Z65" s="47"/>
      <c r="AA65" s="13"/>
      <c r="AB65" s="47">
        <f t="shared" si="0"/>
        <v>492</v>
      </c>
      <c r="AC65" s="13">
        <f t="shared" si="1"/>
        <v>10885</v>
      </c>
    </row>
    <row r="66" spans="1:29">
      <c r="A66" s="5" t="s">
        <v>40</v>
      </c>
      <c r="B66" s="47">
        <f>INDEX('[4]Page 2'!$B:$DP,MATCH("0530",'[4]Page 2'!$M:$M,0),42)</f>
        <v>0</v>
      </c>
      <c r="C66" s="13">
        <f>INDEX('[4]Page 2'!$B:$DP,MATCH("0530",'[4]Page 2'!$M:$M,0),58)</f>
        <v>0</v>
      </c>
      <c r="D66" s="47">
        <f>INDEX('[5]Page 2'!$B:$DP,MATCH("0530",'[5]Page 2'!$M:$M,0),42)</f>
        <v>626</v>
      </c>
      <c r="E66" s="13">
        <f>INDEX('[5]Page 2'!$B:$DP,MATCH("0530",'[5]Page 2'!$M:$M,0),58)</f>
        <v>3757</v>
      </c>
      <c r="F66" s="47">
        <f>INDEX('[6]Page 2'!$B:$DP,MATCH("0530",'[6]Page 2'!$M:$M,0),42)</f>
        <v>355</v>
      </c>
      <c r="G66" s="13">
        <f>INDEX('[6]Page 2'!$B:$DP,MATCH("0530",'[6]Page 2'!$M:$M,0),58)</f>
        <v>2627</v>
      </c>
      <c r="H66" s="47">
        <f>IFERROR(VLOOKUP("Depreciation - Bldg &amp; Imps",'[7]PAGE 2'!$B:$W,7,FALSE),0)</f>
        <v>0</v>
      </c>
      <c r="I66" s="13">
        <f>IFERROR(VLOOKUP("Depreciation - Bldg &amp; Imps",'[7]PAGE 2'!$B:$W,9,FALSE),0)</f>
        <v>0</v>
      </c>
      <c r="J66" s="47">
        <f>IFERROR(VLOOKUP("Depreciation - Bldg &amp; Imps",'[8]PAGE 2'!$B:$W,7,FALSE),0)</f>
        <v>0</v>
      </c>
      <c r="K66" s="13">
        <f>IFERROR(VLOOKUP("Depreciation - Bldg &amp; Imps",'[8]PAGE 2'!$B:$W,9,FALSE),0)</f>
        <v>0</v>
      </c>
      <c r="L66" s="47"/>
      <c r="M66" s="13"/>
      <c r="N66" s="47"/>
      <c r="O66" s="13"/>
      <c r="P66" s="47"/>
      <c r="Q66" s="13"/>
      <c r="R66" s="47"/>
      <c r="S66" s="13"/>
      <c r="T66" s="47"/>
      <c r="U66" s="13"/>
      <c r="V66" s="47">
        <f>+INDEX('[10]PAGE 2'!$1:$1048576,MATCH("depreciation - buildings and improvements",'[10]PAGE 2'!$B:$B,0),16)</f>
        <v>0</v>
      </c>
      <c r="W66" s="13">
        <f>+INDEX('[10]PAGE 2'!$1:$1048576,MATCH("depreciation - buildings and improvements",'[10]PAGE 2'!$B:$B,0),19)</f>
        <v>0</v>
      </c>
      <c r="X66" s="47"/>
      <c r="Y66" s="13"/>
      <c r="Z66" s="47"/>
      <c r="AA66" s="13"/>
      <c r="AB66" s="47">
        <f t="shared" si="0"/>
        <v>981</v>
      </c>
      <c r="AC66" s="13">
        <f t="shared" si="1"/>
        <v>6384</v>
      </c>
    </row>
    <row r="67" spans="1:29">
      <c r="A67" s="5" t="s">
        <v>41</v>
      </c>
      <c r="B67" s="47">
        <f>INDEX('[4]Page 2'!$B:$DP,MATCH("0540",'[4]Page 2'!$M:$M,0),42)</f>
        <v>2006</v>
      </c>
      <c r="C67" s="13">
        <f>INDEX('[4]Page 2'!$B:$DP,MATCH("0540",'[4]Page 2'!$M:$M,0),58)</f>
        <v>18675</v>
      </c>
      <c r="D67" s="47">
        <f>INDEX('[5]Page 2'!$B:$DP,MATCH("0540",'[5]Page 2'!$M:$M,0),42)</f>
        <v>551</v>
      </c>
      <c r="E67" s="13">
        <f>INDEX('[5]Page 2'!$B:$DP,MATCH("0540",'[5]Page 2'!$M:$M,0),58)</f>
        <v>6208</v>
      </c>
      <c r="F67" s="47">
        <f>INDEX('[6]Page 2'!$B:$DP,MATCH("0540",'[6]Page 2'!$M:$M,0),42)</f>
        <v>0</v>
      </c>
      <c r="G67" s="13">
        <f>INDEX('[6]Page 2'!$B:$DP,MATCH("0540",'[6]Page 2'!$M:$M,0),58)</f>
        <v>0</v>
      </c>
      <c r="H67" s="47">
        <f>IFERROR(VLOOKUP("Insurance - Bldgs &amp; Imps",'[7]PAGE 2'!$B:$W,7,FALSE),0)</f>
        <v>0</v>
      </c>
      <c r="I67" s="13">
        <f>IFERROR(VLOOKUP("Insurance - Bldgs &amp; Imps",'[7]PAGE 2'!$B:$W,9,FALSE),0)</f>
        <v>0</v>
      </c>
      <c r="J67" s="47">
        <f>IFERROR(VLOOKUP("Insurance - Bldgs &amp; Imps",'[8]PAGE 2'!$B:$W,7,FALSE),0)</f>
        <v>0</v>
      </c>
      <c r="K67" s="13">
        <f>IFERROR(VLOOKUP("Insurance - Bldgs &amp; Imps",'[8]PAGE 2'!$B:$W,9,FALSE),0)</f>
        <v>0</v>
      </c>
      <c r="L67" s="47"/>
      <c r="M67" s="13"/>
      <c r="N67" s="47"/>
      <c r="O67" s="13"/>
      <c r="P67" s="47"/>
      <c r="Q67" s="13"/>
      <c r="R67" s="47"/>
      <c r="S67" s="13"/>
      <c r="T67" s="47"/>
      <c r="U67" s="13"/>
      <c r="V67" s="47">
        <f>+INDEX('[10]PAGE 2'!$1:$1048576,MATCH("insurance - building and improvements",'[10]PAGE 2'!$B:$B,0),16)</f>
        <v>0</v>
      </c>
      <c r="W67" s="13">
        <f>+INDEX('[10]PAGE 2'!$1:$1048576,MATCH("insurance - building and improvements",'[10]PAGE 2'!$B:$B,0),19)</f>
        <v>0</v>
      </c>
      <c r="X67" s="47"/>
      <c r="Y67" s="13"/>
      <c r="Z67" s="47"/>
      <c r="AA67" s="13"/>
      <c r="AB67" s="47">
        <f t="shared" si="0"/>
        <v>2557</v>
      </c>
      <c r="AC67" s="13">
        <f t="shared" si="1"/>
        <v>24883</v>
      </c>
    </row>
    <row r="68" spans="1:29">
      <c r="A68" s="5" t="s">
        <v>42</v>
      </c>
      <c r="B68" s="47">
        <f>INDEX('[4]Page 2'!$B:$DP,MATCH("0550",'[4]Page 2'!$M:$M,0),42)</f>
        <v>1301</v>
      </c>
      <c r="C68" s="13">
        <f>INDEX('[4]Page 2'!$B:$DP,MATCH("0550",'[4]Page 2'!$M:$M,0),58)</f>
        <v>9963</v>
      </c>
      <c r="D68" s="47">
        <f>INDEX('[5]Page 2'!$B:$DP,MATCH("0550",'[5]Page 2'!$M:$M,0),42)</f>
        <v>1142</v>
      </c>
      <c r="E68" s="13">
        <f>INDEX('[5]Page 2'!$B:$DP,MATCH("0550",'[5]Page 2'!$M:$M,0),58)</f>
        <v>13708</v>
      </c>
      <c r="F68" s="47">
        <f>INDEX('[6]Page 2'!$B:$DP,MATCH("0550",'[6]Page 2'!$M:$M,0),42)</f>
        <v>1390</v>
      </c>
      <c r="G68" s="13">
        <f>INDEX('[6]Page 2'!$B:$DP,MATCH("0550",'[6]Page 2'!$M:$M,0),58)</f>
        <v>6516</v>
      </c>
      <c r="H68" s="47">
        <f>IFERROR(VLOOKUP("Taxes - Real Estate",'[7]PAGE 2'!$B:$W,7,FALSE),0)</f>
        <v>539</v>
      </c>
      <c r="I68" s="13">
        <f>IFERROR(VLOOKUP("Taxes - Real Estate",'[7]PAGE 2'!$B:$W,9,FALSE),0)</f>
        <v>9374</v>
      </c>
      <c r="J68" s="47">
        <f>IFERROR(VLOOKUP("Taxes - Real Estate",'[8]PAGE 2'!$B:$W,7,FALSE),0)</f>
        <v>88</v>
      </c>
      <c r="K68" s="13">
        <f>IFERROR(VLOOKUP("Taxes - Real Estate",'[8]PAGE 2'!$B:$W,9,FALSE),0)</f>
        <v>6379</v>
      </c>
      <c r="L68" s="47"/>
      <c r="M68" s="13"/>
      <c r="N68" s="47"/>
      <c r="O68" s="13"/>
      <c r="P68" s="47"/>
      <c r="Q68" s="13"/>
      <c r="R68" s="47"/>
      <c r="S68" s="13"/>
      <c r="T68" s="47"/>
      <c r="U68" s="13"/>
      <c r="V68" s="47">
        <f>+INDEX('[10]PAGE 2'!$1:$1048576,MATCH("taxes - real estate",'[10]PAGE 2'!$B:$B,0),16)</f>
        <v>0</v>
      </c>
      <c r="W68" s="13">
        <f>+INDEX('[10]PAGE 2'!$1:$1048576,MATCH("taxes - real estate",'[10]PAGE 2'!$B:$B,0),19)</f>
        <v>0</v>
      </c>
      <c r="X68" s="47"/>
      <c r="Y68" s="13"/>
      <c r="Z68" s="47"/>
      <c r="AA68" s="13"/>
      <c r="AB68" s="47">
        <f t="shared" si="0"/>
        <v>4460</v>
      </c>
      <c r="AC68" s="13">
        <f t="shared" si="1"/>
        <v>45940</v>
      </c>
    </row>
    <row r="69" spans="1:29">
      <c r="A69" s="5" t="s">
        <v>255</v>
      </c>
      <c r="B69" s="47"/>
      <c r="C69" s="13"/>
      <c r="D69" s="47"/>
      <c r="E69" s="13"/>
      <c r="F69" s="47"/>
      <c r="G69" s="13"/>
      <c r="H69" s="47">
        <f>IFERROR(VLOOKUP("Mortgage Interest",'[7]PAGE 2'!$B:$W,7,FALSE)+VLOOKUP("Other Interest",'[7]PAGE 2'!$B:$W,7,FALSE),0)</f>
        <v>2190</v>
      </c>
      <c r="I69" s="13">
        <f>IFERROR(VLOOKUP("Mortgage Interest",'[7]PAGE 2'!$B:$W,9,FALSE)+VLOOKUP("Other Interest",'[7]PAGE 2'!$B:$W,9,FALSE),0)</f>
        <v>31665</v>
      </c>
      <c r="J69" s="47">
        <f>IFERROR(VLOOKUP("Mortgage Interest",'[8]PAGE 2'!$B:$W,7,FALSE)+VLOOKUP("Other Interest",'[8]PAGE 2'!$B:$W,7,FALSE),0)</f>
        <v>2190</v>
      </c>
      <c r="K69" s="13">
        <f>IFERROR(VLOOKUP("Mortgage Interest",'[8]PAGE 2'!$B:$W,9,FALSE)+VLOOKUP("Other Interest",'[8]PAGE 2'!$B:$W,9,FALSE),0)</f>
        <v>31665</v>
      </c>
      <c r="L69" s="47"/>
      <c r="N69" s="47">
        <f>IFERROR(VLOOKUP("Interest - Other Than Floor Plan &amp; R.E Mortgage",'[9]PAGE 2'!$B:$S,10,FALSE),0)</f>
        <v>1568</v>
      </c>
      <c r="O69" s="13">
        <f>IFERROR(VLOOKUP("Interest - Other Than Floor Plan &amp; R.E Mortgage",'[9]PAGE 2'!$B:$S,12,FALSE),0)</f>
        <v>45947</v>
      </c>
      <c r="P69" s="47">
        <f>$Q$3*'[2]PAGE 6'!$O$21</f>
        <v>4671.4631378343074</v>
      </c>
      <c r="Q69" s="13">
        <f>'[2]PAGE 6'!$AU$21</f>
        <v>62629</v>
      </c>
      <c r="R69" s="47">
        <f>[3]P6!$M$41*S3</f>
        <v>1257.6363261384615</v>
      </c>
      <c r="S69" s="13">
        <f>[3]P6!$AS$41</f>
        <v>18502</v>
      </c>
      <c r="T69" s="47"/>
      <c r="U69" s="13"/>
      <c r="V69" s="47">
        <f>+INDEX('[10]PAGE 2'!$1:$1048576,MATCH("interest - real estate mortgage",'[10]PAGE 2'!$B:$B,0),16)</f>
        <v>0</v>
      </c>
      <c r="W69" s="13">
        <f>+INDEX('[10]PAGE 2'!$1:$1048576,MATCH("interest - real estate mortgage",'[10]PAGE 2'!$B:$B,0),19)</f>
        <v>0</v>
      </c>
      <c r="X69" s="47">
        <f>IFERROR(VLOOKUP("Interest - Other Than Floor Plan &amp; R.E Mortgage",'[11]PAGE 2'!$B:$S,10,FALSE),0)</f>
        <v>0</v>
      </c>
      <c r="Y69" s="13">
        <f>IFERROR(VLOOKUP("Interest - Other Than Floor Plan &amp; R.E Mortgage",'[11]PAGE 2'!$B:$S,12,FALSE),0)</f>
        <v>0</v>
      </c>
      <c r="Z69" s="47">
        <f>IFERROR(VLOOKUP("Interest - Other Than Floor Plan &amp; R.E Mortgage",'[12]PAGE 2'!$B:$S,10,FALSE),0)</f>
        <v>9298</v>
      </c>
      <c r="AA69" s="13">
        <f>IFERROR(VLOOKUP("Interest - Other Than Floor Plan &amp; R.E Mortgage",'[12]PAGE 2'!$B:$S,12,FALSE),0)</f>
        <v>9298</v>
      </c>
      <c r="AB69" s="47">
        <f t="shared" si="0"/>
        <v>21175.099463972769</v>
      </c>
      <c r="AC69" s="13">
        <f t="shared" si="1"/>
        <v>199706</v>
      </c>
    </row>
    <row r="70" spans="1:29">
      <c r="A70" s="5" t="s">
        <v>44</v>
      </c>
      <c r="B70" s="47">
        <f>INDEX('[4]Page 2'!$B:$DP,MATCH("0570",'[4]Page 2'!$M:$M,0),42)</f>
        <v>2505</v>
      </c>
      <c r="C70" s="13">
        <f>INDEX('[4]Page 2'!$B:$DP,MATCH("0570",'[4]Page 2'!$M:$M,0),58)</f>
        <v>35359</v>
      </c>
      <c r="D70" s="47">
        <f>INDEX('[5]Page 2'!$B:$DP,MATCH("0570",'[5]Page 2'!$M:$M,0),42)</f>
        <v>3648</v>
      </c>
      <c r="E70" s="13">
        <f>INDEX('[5]Page 2'!$B:$DP,MATCH("0570",'[5]Page 2'!$M:$M,0),58)</f>
        <v>39753</v>
      </c>
      <c r="F70" s="47">
        <f>INDEX('[6]Page 2'!$B:$DP,MATCH("0570",'[6]Page 2'!$M:$M,0),42)</f>
        <v>3717</v>
      </c>
      <c r="G70" s="13">
        <f>INDEX('[6]Page 2'!$B:$DP,MATCH("0570",'[6]Page 2'!$M:$M,0),58)</f>
        <v>32768</v>
      </c>
      <c r="H70" s="47">
        <f>IFERROR(VLOOKUP("Utilities",'[7]PAGE 2'!$B:$W,7,FALSE),0)</f>
        <v>2716</v>
      </c>
      <c r="I70" s="13">
        <f>IFERROR(VLOOKUP("Utilities",'[7]PAGE 2'!$B:$W,9,FALSE),0)</f>
        <v>22784</v>
      </c>
      <c r="J70" s="47">
        <f>IFERROR(VLOOKUP("Utilities",'[8]PAGE 2'!$B:$W,7,FALSE),0)</f>
        <v>1172</v>
      </c>
      <c r="K70" s="13">
        <f>IFERROR(VLOOKUP("Utilities",'[8]PAGE 2'!$B:$W,9,FALSE),0)</f>
        <v>22335</v>
      </c>
      <c r="L70" s="47"/>
      <c r="M70" s="13"/>
      <c r="N70" s="47">
        <f>IFERROR(VLOOKUP("Heat, Light, Power &amp; Water",'[9]PAGE 2'!$B:$S,10,FALSE),0)</f>
        <v>2622</v>
      </c>
      <c r="O70" s="13">
        <f>IFERROR(VLOOKUP("Heat, Light, Power &amp; Water",'[9]PAGE 2'!$B:$S,12,FALSE),0)</f>
        <v>34912</v>
      </c>
      <c r="P70" s="47">
        <f>$Q$3*'[2]PAGE 6'!$O$12</f>
        <v>2973.3862872315367</v>
      </c>
      <c r="Q70" s="13">
        <f>'[2]PAGE 6'!$AU$12</f>
        <v>34940</v>
      </c>
      <c r="R70" s="47">
        <f>[3]P6!$M$23*S3</f>
        <v>2606.353110428121</v>
      </c>
      <c r="S70" s="13">
        <f>[3]P6!$AS$23</f>
        <v>31079</v>
      </c>
      <c r="T70" s="47"/>
      <c r="U70" s="13"/>
      <c r="V70" s="47">
        <f>+INDEX('[10]PAGE 2'!$1:$1048576,MATCH("heat, light, power and water",'[10]PAGE 2'!$B:$B,0),16)</f>
        <v>1646</v>
      </c>
      <c r="W70" s="13">
        <f>+INDEX('[10]PAGE 2'!$1:$1048576,MATCH("heat, light, power and water",'[10]PAGE 2'!$B:$B,0),19)</f>
        <v>10327</v>
      </c>
      <c r="X70" s="47">
        <f>IFERROR(VLOOKUP("Heat, Light, Power &amp; Water",'[11]PAGE 2'!$B:$S,10,FALSE),0)</f>
        <v>0</v>
      </c>
      <c r="Y70" s="13">
        <f>IFERROR(VLOOKUP("Heat, Light, Power &amp; Water",'[11]PAGE 2'!$B:$S,12,FALSE),0)</f>
        <v>0</v>
      </c>
      <c r="Z70" s="47">
        <f>IFERROR(VLOOKUP("Heat, Light, Power &amp; Water",'[12]PAGE 2'!$B:$S,10,FALSE),0)</f>
        <v>705</v>
      </c>
      <c r="AA70" s="13">
        <f>IFERROR(VLOOKUP("Heat, Light, Power &amp; Water",'[12]PAGE 2'!$B:$S,12,FALSE),0)</f>
        <v>6948</v>
      </c>
      <c r="AB70" s="47">
        <f t="shared" si="0"/>
        <v>24310.739397659658</v>
      </c>
      <c r="AC70" s="13">
        <f t="shared" si="1"/>
        <v>271205</v>
      </c>
    </row>
    <row r="71" spans="1:29">
      <c r="A71" s="4" t="s">
        <v>57</v>
      </c>
      <c r="B71" s="24">
        <f t="shared" ref="B71:C71" si="44">SUM(B63:B70)</f>
        <v>25453</v>
      </c>
      <c r="C71" s="25">
        <f t="shared" si="44"/>
        <v>306809</v>
      </c>
      <c r="D71" s="24">
        <f t="shared" ref="D71:E71" si="45">SUM(D63:D70)</f>
        <v>14967</v>
      </c>
      <c r="E71" s="25">
        <f t="shared" si="45"/>
        <v>172419</v>
      </c>
      <c r="F71" s="24">
        <f t="shared" ref="F71:G71" si="46">SUM(F63:F70)</f>
        <v>23712</v>
      </c>
      <c r="G71" s="25">
        <f t="shared" si="46"/>
        <v>258535</v>
      </c>
      <c r="H71" s="24">
        <f t="shared" ref="H71:K71" si="47">SUM(H63:H70)</f>
        <v>23114</v>
      </c>
      <c r="I71" s="25">
        <f t="shared" si="47"/>
        <v>270818</v>
      </c>
      <c r="J71" s="24">
        <f t="shared" si="47"/>
        <v>20846</v>
      </c>
      <c r="K71" s="25">
        <f t="shared" si="47"/>
        <v>252874</v>
      </c>
      <c r="L71" s="24"/>
      <c r="M71" s="25"/>
      <c r="N71" s="24">
        <f t="shared" ref="N71:S71" si="48">SUM(N63:N70)</f>
        <v>32120</v>
      </c>
      <c r="O71" s="25">
        <f t="shared" si="48"/>
        <v>367589</v>
      </c>
      <c r="P71" s="24">
        <f t="shared" si="48"/>
        <v>21479.05383182373</v>
      </c>
      <c r="Q71" s="25">
        <f t="shared" si="48"/>
        <v>272505</v>
      </c>
      <c r="R71" s="24">
        <f t="shared" si="48"/>
        <v>14810.804501028677</v>
      </c>
      <c r="S71" s="25">
        <f t="shared" si="48"/>
        <v>198169</v>
      </c>
      <c r="T71" s="24">
        <f t="shared" ref="T71:V71" si="49">SUM(T63:T70)</f>
        <v>0</v>
      </c>
      <c r="U71" s="25">
        <f t="shared" si="49"/>
        <v>0</v>
      </c>
      <c r="V71" s="24">
        <f t="shared" si="49"/>
        <v>15201</v>
      </c>
      <c r="W71" s="25">
        <f t="shared" ref="W71:AA71" si="50">SUM(W63:W70)</f>
        <v>91179</v>
      </c>
      <c r="X71" s="24">
        <f t="shared" si="50"/>
        <v>0</v>
      </c>
      <c r="Y71" s="25">
        <f t="shared" si="50"/>
        <v>0</v>
      </c>
      <c r="Z71" s="24">
        <f t="shared" si="50"/>
        <v>20503</v>
      </c>
      <c r="AA71" s="25">
        <f t="shared" si="50"/>
        <v>58236</v>
      </c>
      <c r="AB71" s="24">
        <f t="shared" ref="AB71:AB83" si="51">SUMIF($B$5:$AA$5,"Month",B71:AA71)</f>
        <v>212205.8583328524</v>
      </c>
      <c r="AC71" s="25">
        <f t="shared" ref="AC71:AC84" si="52">SUMIF($B$5:$AA$5,"YTD",B71:AA71)</f>
        <v>2249133</v>
      </c>
    </row>
    <row r="72" spans="1:29">
      <c r="A72" s="8" t="s">
        <v>45</v>
      </c>
      <c r="B72" s="47">
        <f>INDEX('[4]Page 2'!$B:$DP,MATCH("0600",'[4]Page 2'!$M:$M,0),42)</f>
        <v>0</v>
      </c>
      <c r="C72" s="13">
        <f>INDEX('[4]Page 2'!$B:$DP,MATCH("0600",'[4]Page 2'!$M:$M,0),58)</f>
        <v>0</v>
      </c>
      <c r="D72" s="47">
        <f>INDEX('[5]Page 2'!$B:$DP,MATCH("0600",'[5]Page 2'!$M:$M,0),42)</f>
        <v>0</v>
      </c>
      <c r="E72" s="13">
        <f>INDEX('[5]Page 2'!$B:$DP,MATCH("0600",'[5]Page 2'!$M:$M,0),58)</f>
        <v>570</v>
      </c>
      <c r="F72" s="47">
        <f>INDEX('[6]Page 2'!$B:$DP,MATCH("0600",'[6]Page 2'!$M:$M,0),42)</f>
        <v>0</v>
      </c>
      <c r="G72" s="13">
        <f>INDEX('[6]Page 2'!$B:$DP,MATCH("0600",'[6]Page 2'!$M:$M,0),58)</f>
        <v>0</v>
      </c>
      <c r="H72" s="47">
        <f>IFERROR(VLOOKUP(0,'[7]PAGE 2'!$B:$W,7,FALSE),0)</f>
        <v>0</v>
      </c>
      <c r="I72" s="13">
        <f>IFERROR(VLOOKUP(0,'[7]PAGE 2'!$B:$W,9,FALSE),0)</f>
        <v>0</v>
      </c>
      <c r="J72" s="47">
        <f>IFERROR(VLOOKUP(0,'[8]PAGE 2'!$B:$W,7,FALSE),0)</f>
        <v>0</v>
      </c>
      <c r="K72" s="13">
        <f>IFERROR(VLOOKUP(0,'[8]PAGE 2'!$B:$W,9,FALSE),0)</f>
        <v>0</v>
      </c>
      <c r="L72" s="47"/>
      <c r="M72" s="13"/>
      <c r="N72" s="47"/>
      <c r="O72" s="13"/>
      <c r="P72" s="47"/>
      <c r="Q72" s="13"/>
      <c r="R72" s="47"/>
      <c r="S72" s="13"/>
      <c r="T72" s="47"/>
      <c r="U72" s="13"/>
      <c r="V72" s="47"/>
      <c r="W72" s="13"/>
      <c r="X72" s="47"/>
      <c r="Y72" s="13"/>
      <c r="Z72" s="47"/>
      <c r="AA72" s="13"/>
      <c r="AB72" s="47">
        <f t="shared" si="51"/>
        <v>0</v>
      </c>
      <c r="AC72" s="13">
        <f t="shared" si="52"/>
        <v>570</v>
      </c>
    </row>
    <row r="73" spans="1:29">
      <c r="A73" s="5" t="s">
        <v>46</v>
      </c>
      <c r="B73" s="47">
        <f>INDEX('[4]Page 2'!$B:$DP,MATCH("0620",'[4]Page 2'!$M:$M,0),42)</f>
        <v>329</v>
      </c>
      <c r="C73" s="13">
        <f>INDEX('[4]Page 2'!$B:$DP,MATCH("0620",'[4]Page 2'!$M:$M,0),58)</f>
        <v>4709</v>
      </c>
      <c r="D73" s="47">
        <f>INDEX('[5]Page 2'!$B:$DP,MATCH("0620",'[5]Page 2'!$M:$M,0),42)</f>
        <v>1000</v>
      </c>
      <c r="E73" s="13">
        <f>INDEX('[5]Page 2'!$B:$DP,MATCH("0620",'[5]Page 2'!$M:$M,0),58)</f>
        <v>6666</v>
      </c>
      <c r="F73" s="47">
        <f>INDEX('[6]Page 2'!$B:$DP,MATCH("0620",'[6]Page 2'!$M:$M,0),42)</f>
        <v>825</v>
      </c>
      <c r="G73" s="13">
        <f>INDEX('[6]Page 2'!$B:$DP,MATCH("0620",'[6]Page 2'!$M:$M,0),58)</f>
        <v>9290</v>
      </c>
      <c r="H73" s="47">
        <f>IFERROR(VLOOKUP("Equipment Repairs &amp; Rentals",'[7]PAGE 2'!$B:$W,7,FALSE),0)</f>
        <v>1211</v>
      </c>
      <c r="I73" s="13">
        <f>IFERROR(VLOOKUP("Equipment Repairs &amp; Rentals",'[7]PAGE 2'!$B:$W,9,FALSE),0)</f>
        <v>8757</v>
      </c>
      <c r="J73" s="47">
        <f>IFERROR(VLOOKUP("Equipment Repairs &amp; Rentals",'[8]PAGE 2'!$B:$W,7,FALSE),0)</f>
        <v>1327</v>
      </c>
      <c r="K73" s="13">
        <f>IFERROR(VLOOKUP("Equipment Repairs &amp; Rentals",'[8]PAGE 2'!$B:$W,9,FALSE),0)</f>
        <v>9841</v>
      </c>
      <c r="L73" s="47"/>
      <c r="M73" s="13"/>
      <c r="N73" s="47">
        <f>IFERROR(VLOOKUP("Equip. - Maint., Repair &amp; Rental - Dept'l.",'[9]PAGE 2'!$B:$S,10,FALSE),0)</f>
        <v>0</v>
      </c>
      <c r="O73" s="13">
        <f>IFERROR(VLOOKUP("Equip. - Maint., Repair &amp; Rental - Dept'l.",'[9]PAGE 2'!$B:$S,12,FALSE),0)</f>
        <v>995</v>
      </c>
      <c r="P73" s="47">
        <f>$Q$3*'[2]PAGE 6'!$O$23</f>
        <v>43.377871994175713</v>
      </c>
      <c r="Q73" s="13">
        <f>'[2]PAGE 6'!$AU$23</f>
        <v>729</v>
      </c>
      <c r="R73" s="47">
        <f>[3]P6!$M$45*S3</f>
        <v>181.17091132249155</v>
      </c>
      <c r="S73" s="13">
        <f>[3]P6!$AS$45</f>
        <v>2939</v>
      </c>
      <c r="T73" s="47"/>
      <c r="U73" s="13"/>
      <c r="V73" s="47">
        <f>+INDEX('[10]PAGE 2'!$1:$1048576,MATCH("repairs - equipment",'[10]PAGE 2'!$B:$B,0),16)+INDEX('[10]PAGE 2'!$1:$1048576,MATCH("equipment rental",'[10]PAGE 2'!$B:$B,0),16)</f>
        <v>0</v>
      </c>
      <c r="W73" s="13">
        <f>+INDEX('[10]PAGE 2'!$1:$1048576,MATCH("repairs - equipment",'[10]PAGE 2'!$B:$B,0),19)+INDEX('[10]PAGE 2'!$1:$1048576,MATCH("equipment rental",'[10]PAGE 2'!$B:$B,0),19)</f>
        <v>1767</v>
      </c>
      <c r="X73" s="47">
        <f>IFERROR(VLOOKUP("Equip. - Maint., Repair &amp; Rental - Dept'l.",'[11]PAGE 2'!$B:$S,10,FALSE),0)</f>
        <v>0</v>
      </c>
      <c r="Y73" s="13">
        <f>IFERROR(VLOOKUP("Equip. - Maint., Repair &amp; Rental - Dept'l.",'[11]PAGE 2'!$B:$S,12,FALSE),0)</f>
        <v>0</v>
      </c>
      <c r="Z73" s="47">
        <f>IFERROR(VLOOKUP("Equip. - Maint., Repair &amp; Rental - Dept'l.",'[12]PAGE 2'!$B:$S,10,FALSE),0)</f>
        <v>1311</v>
      </c>
      <c r="AA73" s="13">
        <f>IFERROR(VLOOKUP("Equip. - Maint., Repair &amp; Rental - Dept'l.",'[12]PAGE 2'!$B:$S,12,FALSE),0)</f>
        <v>2445</v>
      </c>
      <c r="AB73" s="47">
        <f t="shared" si="51"/>
        <v>6227.5487833166671</v>
      </c>
      <c r="AC73" s="13">
        <f t="shared" si="52"/>
        <v>48138</v>
      </c>
    </row>
    <row r="74" spans="1:29">
      <c r="A74" s="7" t="s">
        <v>47</v>
      </c>
      <c r="B74" s="47">
        <f>INDEX('[4]Page 2'!$B:$DP,MATCH("0630",'[4]Page 2'!$M:$M,0),42)</f>
        <v>-7926</v>
      </c>
      <c r="C74" s="13">
        <f>INDEX('[4]Page 2'!$B:$DP,MATCH("0630",'[4]Page 2'!$M:$M,0),58)</f>
        <v>20239</v>
      </c>
      <c r="D74" s="47">
        <f>INDEX('[5]Page 2'!$B:$DP,MATCH("0630",'[5]Page 2'!$M:$M,0),42)</f>
        <v>2835</v>
      </c>
      <c r="E74" s="13">
        <f>INDEX('[5]Page 2'!$B:$DP,MATCH("0630",'[5]Page 2'!$M:$M,0),58)</f>
        <v>31497</v>
      </c>
      <c r="F74" s="47">
        <f>INDEX('[6]Page 2'!$B:$DP,MATCH("0630",'[6]Page 2'!$M:$M,0),42)</f>
        <v>2669</v>
      </c>
      <c r="G74" s="13">
        <f>INDEX('[6]Page 2'!$B:$DP,MATCH("0630",'[6]Page 2'!$M:$M,0),58)</f>
        <v>30675</v>
      </c>
      <c r="H74" s="47">
        <f>IFERROR(VLOOKUP("Depreciation - Other",'[7]PAGE 2'!$B:$W,7,FALSE),0)</f>
        <v>1298</v>
      </c>
      <c r="I74" s="13">
        <f>IFERROR(VLOOKUP("Depreciation - Other",'[7]PAGE 2'!$B:$W,9,FALSE),0)</f>
        <v>15311</v>
      </c>
      <c r="J74" s="47">
        <f>IFERROR(VLOOKUP("Depreciation - Other",'[8]PAGE 2'!$B:$W,7,FALSE),0)</f>
        <v>489</v>
      </c>
      <c r="K74" s="13">
        <f>IFERROR(VLOOKUP("Depreciation - Other",'[8]PAGE 2'!$B:$W,9,FALSE),0)</f>
        <v>5689</v>
      </c>
      <c r="L74" s="47"/>
      <c r="M74" s="13"/>
      <c r="N74" s="47">
        <f>VLOOKUP("Depr. - Equip. &amp; Vehicles - Dept'l.",'[9]PAGE 2'!$B:$S,10,FALSE)+VLOOKUP("Furniture, Signs, Fixtures &amp; Equipment - Depreciation, Maintenance, Repair &amp; Rental",'[9]PAGE 2'!$B:$S,10,FALSE)</f>
        <v>1580</v>
      </c>
      <c r="O74" s="13">
        <f>VLOOKUP("Depr. - Equip. &amp; Vehicles - Dept'l.",'[9]PAGE 2'!$B:$S,12,FALSE)+VLOOKUP("Furniture, Signs, Fixtures &amp; Equipment - Depreciation, Maintenance, Repair &amp; Rental",'[9]PAGE 2'!$B:$S,12,FALSE)</f>
        <v>18681</v>
      </c>
      <c r="P74" s="47">
        <f>$Q$3*'[2]PAGE 6'!$O$22</f>
        <v>2163.5547846941181</v>
      </c>
      <c r="Q74" s="13">
        <f>'[2]PAGE 6'!$AU$22</f>
        <v>25783</v>
      </c>
      <c r="R74" s="47">
        <f>[3]P6!$M$43*S3</f>
        <v>3011.5951488689579</v>
      </c>
      <c r="S74" s="13">
        <f>[3]P6!$AS$43</f>
        <v>36140</v>
      </c>
      <c r="T74" s="47"/>
      <c r="U74" s="13"/>
      <c r="V74" s="47">
        <f>+INDEX('[10]PAGE 2'!$1:$1048576,MATCH("depreciation - other than bldgs. &amp; improvs.",'[10]PAGE 2'!$B:$B,0),16)</f>
        <v>0</v>
      </c>
      <c r="W74" s="13">
        <f>+INDEX('[10]PAGE 2'!$1:$1048576,MATCH("depreciation - other than bldgs. &amp; improvs.",'[10]PAGE 2'!$B:$B,0),19)</f>
        <v>1141</v>
      </c>
      <c r="X74" s="47">
        <f>VLOOKUP("Depr. - Equip. &amp; Vehicles - Dept'l.",'[11]PAGE 2'!$B:$S,10,FALSE)+VLOOKUP("Furniture, Signs, Fixtures &amp; Equipment - Depreciation, Maintenance, Repair &amp; Rental",'[11]PAGE 2'!$B:$S,10,FALSE)</f>
        <v>0</v>
      </c>
      <c r="Y74" s="13">
        <f>VLOOKUP("Depr. - Equip. &amp; Vehicles - Dept'l.",'[11]PAGE 2'!$B:$S,12,FALSE)+VLOOKUP("Furniture, Signs, Fixtures &amp; Equipment - Depreciation, Maintenance, Repair &amp; Rental",'[11]PAGE 2'!$B:$S,12,FALSE)</f>
        <v>0</v>
      </c>
      <c r="Z74" s="47">
        <f>VLOOKUP("Depr. - Equip. &amp; Vehicles - Dept'l.",'[12]PAGE 2'!$B:$S,10,FALSE)+VLOOKUP("Furniture, Signs, Fixtures &amp; Equipment - Depreciation, Maintenance, Repair &amp; Rental",'[12]PAGE 2'!$B:$S,10,FALSE)</f>
        <v>727</v>
      </c>
      <c r="AA74" s="13">
        <f>VLOOKUP("Depr. - Equip. &amp; Vehicles - Dept'l.",'[12]PAGE 2'!$B:$S,12,FALSE)+VLOOKUP("Furniture, Signs, Fixtures &amp; Equipment - Depreciation, Maintenance, Repair &amp; Rental",'[12]PAGE 2'!$B:$S,12,FALSE)</f>
        <v>4508</v>
      </c>
      <c r="AB74" s="47">
        <f t="shared" si="51"/>
        <v>6847.149933563076</v>
      </c>
      <c r="AC74" s="13">
        <f t="shared" si="52"/>
        <v>189664</v>
      </c>
    </row>
    <row r="75" spans="1:29">
      <c r="A75" s="7" t="s">
        <v>48</v>
      </c>
      <c r="B75" s="47">
        <f>INDEX('[4]Page 2'!$B:$DP,MATCH("0640",'[4]Page 2'!$M:$M,0),42)</f>
        <v>2048</v>
      </c>
      <c r="C75" s="13">
        <f>INDEX('[4]Page 2'!$B:$DP,MATCH("0640",'[4]Page 2'!$M:$M,0),58)</f>
        <v>21123</v>
      </c>
      <c r="D75" s="47">
        <f>INDEX('[5]Page 2'!$B:$DP,MATCH("0640",'[5]Page 2'!$M:$M,0),42)</f>
        <v>4262</v>
      </c>
      <c r="E75" s="13">
        <f>INDEX('[5]Page 2'!$B:$DP,MATCH("0640",'[5]Page 2'!$M:$M,0),58)</f>
        <v>41491</v>
      </c>
      <c r="F75" s="47">
        <f>INDEX('[6]Page 2'!$B:$DP,MATCH("0640",'[6]Page 2'!$M:$M,0),42)</f>
        <v>6386</v>
      </c>
      <c r="G75" s="13">
        <f>INDEX('[6]Page 2'!$B:$DP,MATCH("0640",'[6]Page 2'!$M:$M,0),58)</f>
        <v>72327</v>
      </c>
      <c r="H75" s="47">
        <f>IFERROR(VLOOKUP("Insurance - Other",'[7]PAGE 2'!$B:$W,7,FALSE),0)</f>
        <v>3238</v>
      </c>
      <c r="I75" s="13">
        <f>IFERROR(VLOOKUP("Insurance - Other",'[7]PAGE 2'!$B:$W,9,FALSE),0)</f>
        <v>35742</v>
      </c>
      <c r="J75" s="47">
        <f>IFERROR(VLOOKUP("Insurance - Other",'[8]PAGE 2'!$B:$W,7,FALSE),0)</f>
        <v>2847</v>
      </c>
      <c r="K75" s="13">
        <f>IFERROR(VLOOKUP("Insurance - Other",'[8]PAGE 2'!$B:$W,9,FALSE),0)</f>
        <v>30836</v>
      </c>
      <c r="L75" s="47"/>
      <c r="M75" s="13"/>
      <c r="N75" s="47">
        <f>IFERROR(VLOOKUP("Ins. - Other Than Bldgs. &amp; Improvements",'[9]PAGE 2'!$B:$S,10,FALSE),0)</f>
        <v>3389</v>
      </c>
      <c r="O75" s="13">
        <f>IFERROR(VLOOKUP("Ins. - Other Than Bldgs. &amp; Improvements",'[9]PAGE 2'!$B:$S,12,FALSE),0)</f>
        <v>38188</v>
      </c>
      <c r="P75" s="47">
        <f>$Q$3*'[2]PAGE 6'!$O$15</f>
        <v>2195.9213507205413</v>
      </c>
      <c r="Q75" s="13">
        <f>'[2]PAGE 6'!$AU$15</f>
        <v>28322</v>
      </c>
      <c r="R75" s="47">
        <f>[3]P6!$M$29*S3</f>
        <v>2073.0704279196575</v>
      </c>
      <c r="S75" s="13">
        <f>[3]P6!$AS$29</f>
        <v>24081</v>
      </c>
      <c r="T75" s="47"/>
      <c r="U75" s="13"/>
      <c r="V75" s="47">
        <f>+INDEX('[10]PAGE 2'!$1:$1048576,MATCH("worker's compensation",'[10]PAGE 2'!$B:$B,0),16)+INDEX('[10]PAGE 2'!$1:$1048576,MATCH("insurance - other than bldgs. &amp; improvs.",'[10]PAGE 2'!$B:$B,0),16)</f>
        <v>3627</v>
      </c>
      <c r="W75" s="13">
        <f>+INDEX('[10]PAGE 2'!$1:$1048576,MATCH("worker's compensation",'[10]PAGE 2'!$B:$B,0),19)+INDEX('[10]PAGE 2'!$1:$1048576,MATCH("insurance - other than bldgs. &amp; improvs.",'[10]PAGE 2'!$B:$B,0),19)</f>
        <v>18715</v>
      </c>
      <c r="X75" s="47">
        <f>IFERROR(VLOOKUP("Ins. - Other Than Bldgs. &amp; Improvements",'[11]PAGE 2'!$B:$S,10,FALSE),0)</f>
        <v>0</v>
      </c>
      <c r="Y75" s="13">
        <f>IFERROR(VLOOKUP("Ins. - Other Than Bldgs. &amp; Improvements",'[11]PAGE 2'!$B:$S,12,FALSE),0)</f>
        <v>0</v>
      </c>
      <c r="Z75" s="47">
        <f>IFERROR(VLOOKUP("Ins. - Other Than Bldgs. &amp; Improvements",'[12]PAGE 2'!$B:$S,10,FALSE),0)</f>
        <v>2694</v>
      </c>
      <c r="AA75" s="13">
        <f>IFERROR(VLOOKUP("Ins. - Other Than Bldgs. &amp; Improvements",'[12]PAGE 2'!$B:$S,12,FALSE),0)</f>
        <v>6772</v>
      </c>
      <c r="AB75" s="47">
        <f t="shared" si="51"/>
        <v>32759.9917786402</v>
      </c>
      <c r="AC75" s="13">
        <f t="shared" si="52"/>
        <v>317597</v>
      </c>
    </row>
    <row r="76" spans="1:29">
      <c r="A76" s="7" t="s">
        <v>49</v>
      </c>
      <c r="B76" s="47">
        <f>INDEX('[4]Page 2'!$B:$DP,MATCH("0650",'[4]Page 2'!$M:$M,0),42)</f>
        <v>0</v>
      </c>
      <c r="C76" s="13">
        <f>INDEX('[4]Page 2'!$B:$DP,MATCH("0650",'[4]Page 2'!$M:$M,0),58)</f>
        <v>131</v>
      </c>
      <c r="D76" s="47">
        <f>INDEX('[5]Page 2'!$B:$DP,MATCH("0650",'[5]Page 2'!$M:$M,0),42)</f>
        <v>1715</v>
      </c>
      <c r="E76" s="13">
        <f>INDEX('[5]Page 2'!$B:$DP,MATCH("0650",'[5]Page 2'!$M:$M,0),58)</f>
        <v>21675</v>
      </c>
      <c r="F76" s="47">
        <f>INDEX('[6]Page 2'!$B:$DP,MATCH("0650",'[6]Page 2'!$M:$M,0),42)</f>
        <v>1939</v>
      </c>
      <c r="G76" s="13">
        <f>INDEX('[6]Page 2'!$B:$DP,MATCH("0650",'[6]Page 2'!$M:$M,0),58)</f>
        <v>28495</v>
      </c>
      <c r="H76" s="47">
        <f>IFERROR(VLOOKUP("Taxes - Other",'[7]PAGE 2'!$B:$W,7,FALSE),0)</f>
        <v>2055</v>
      </c>
      <c r="I76" s="13">
        <f>IFERROR(VLOOKUP("Taxes - Other",'[7]PAGE 2'!$B:$W,9,FALSE),0)</f>
        <v>23529</v>
      </c>
      <c r="J76" s="47">
        <f>IFERROR(VLOOKUP("Taxes - Other",'[8]PAGE 2'!$B:$W,7,FALSE),0)</f>
        <v>2951</v>
      </c>
      <c r="K76" s="13">
        <f>IFERROR(VLOOKUP("Taxes - Other",'[8]PAGE 2'!$B:$W,9,FALSE),0)</f>
        <v>17165</v>
      </c>
      <c r="L76" s="47"/>
      <c r="M76" s="13"/>
      <c r="N76" s="47">
        <f>IFERROR(VLOOKUP("Taxes - Other Than R.E., Pay. &amp; Inc.",'[9]PAGE 2'!$B:$S,10,FALSE),0)</f>
        <v>6177</v>
      </c>
      <c r="O76" s="13">
        <f>IFERROR(VLOOKUP("Taxes - Other Than R.E., Pay. &amp; Inc.",'[9]PAGE 2'!$B:$S,12,FALSE),0)</f>
        <v>52265</v>
      </c>
      <c r="P76" s="47">
        <f>$Q$3*'[2]PAGE 6'!$O$14</f>
        <v>1984.0371298259138</v>
      </c>
      <c r="Q76" s="13">
        <f>'[2]PAGE 6'!$AU$14</f>
        <v>29812</v>
      </c>
      <c r="R76" s="47">
        <f>[3]P6!$M$27*S3</f>
        <v>1589.6179960663785</v>
      </c>
      <c r="S76" s="13">
        <f>[3]P6!$AS$27</f>
        <v>35892</v>
      </c>
      <c r="T76" s="47"/>
      <c r="U76" s="13"/>
      <c r="V76" s="47">
        <f>+INDEX('[10]PAGE 2'!$1:$1048576,MATCH("taxes - other than real estate, income &amp; payroll",'[10]PAGE 2'!$B:$B,0),16)</f>
        <v>0</v>
      </c>
      <c r="W76" s="13">
        <f>+INDEX('[10]PAGE 2'!$1:$1048576,MATCH("taxes - other than real estate, income &amp; payroll",'[10]PAGE 2'!$B:$B,0),19)</f>
        <v>14279</v>
      </c>
      <c r="X76" s="47">
        <f>IFERROR(VLOOKUP("Taxes - Other Than R.E., Pay. &amp; Inc.",'[11]PAGE 2'!$B:$S,10,FALSE),0)</f>
        <v>0</v>
      </c>
      <c r="Y76" s="13">
        <f>IFERROR(VLOOKUP("Taxes - Other Than R.E., Pay. &amp; Inc.",'[11]PAGE 2'!$B:$S,12,FALSE),0)</f>
        <v>0</v>
      </c>
      <c r="Z76" s="47">
        <f>IFERROR(VLOOKUP("Taxes - Other Than R.E., Pay. &amp; Inc.",'[12]PAGE 2'!$B:$S,10,FALSE),0)</f>
        <v>-1238</v>
      </c>
      <c r="AA76" s="13">
        <f>IFERROR(VLOOKUP("Taxes - Other Than R.E., Pay. &amp; Inc.",'[12]PAGE 2'!$B:$S,12,FALSE),0)</f>
        <v>205</v>
      </c>
      <c r="AB76" s="47">
        <f t="shared" si="51"/>
        <v>17172.655125892292</v>
      </c>
      <c r="AC76" s="13">
        <f t="shared" si="52"/>
        <v>223448</v>
      </c>
    </row>
    <row r="77" spans="1:29">
      <c r="A77" s="4" t="s">
        <v>58</v>
      </c>
      <c r="B77" s="24">
        <f t="shared" ref="B77:C77" si="53">SUM(B71:B76)</f>
        <v>19904</v>
      </c>
      <c r="C77" s="25">
        <f t="shared" si="53"/>
        <v>353011</v>
      </c>
      <c r="D77" s="24">
        <f t="shared" ref="D77:E77" si="54">SUM(D71:D76)</f>
        <v>24779</v>
      </c>
      <c r="E77" s="25">
        <f t="shared" si="54"/>
        <v>274318</v>
      </c>
      <c r="F77" s="24">
        <f t="shared" ref="F77:G77" si="55">SUM(F71:F76)</f>
        <v>35531</v>
      </c>
      <c r="G77" s="25">
        <f t="shared" si="55"/>
        <v>399322</v>
      </c>
      <c r="H77" s="24">
        <f t="shared" ref="H77:K77" si="56">SUM(H71:H76)</f>
        <v>30916</v>
      </c>
      <c r="I77" s="25">
        <f t="shared" si="56"/>
        <v>354157</v>
      </c>
      <c r="J77" s="24">
        <f t="shared" si="56"/>
        <v>28460</v>
      </c>
      <c r="K77" s="25">
        <f t="shared" si="56"/>
        <v>316405</v>
      </c>
      <c r="L77" s="24"/>
      <c r="M77" s="25"/>
      <c r="N77" s="24">
        <f t="shared" ref="N77:S77" si="57">SUM(N71:N76)</f>
        <v>43266</v>
      </c>
      <c r="O77" s="25">
        <f t="shared" si="57"/>
        <v>477718</v>
      </c>
      <c r="P77" s="24">
        <f t="shared" si="57"/>
        <v>27865.944969058481</v>
      </c>
      <c r="Q77" s="25">
        <f t="shared" si="57"/>
        <v>357151</v>
      </c>
      <c r="R77" s="24">
        <f t="shared" si="57"/>
        <v>21666.258985206165</v>
      </c>
      <c r="S77" s="25">
        <f t="shared" si="57"/>
        <v>297221</v>
      </c>
      <c r="T77" s="24">
        <f t="shared" ref="T77:AA77" si="58">SUM(T71:T76)</f>
        <v>0</v>
      </c>
      <c r="U77" s="25">
        <f t="shared" si="58"/>
        <v>0</v>
      </c>
      <c r="V77" s="24">
        <f t="shared" si="58"/>
        <v>18828</v>
      </c>
      <c r="W77" s="25">
        <f t="shared" si="58"/>
        <v>127081</v>
      </c>
      <c r="X77" s="24">
        <f t="shared" si="58"/>
        <v>0</v>
      </c>
      <c r="Y77" s="25">
        <f t="shared" si="58"/>
        <v>0</v>
      </c>
      <c r="Z77" s="24">
        <f t="shared" si="58"/>
        <v>23997</v>
      </c>
      <c r="AA77" s="25">
        <f t="shared" si="58"/>
        <v>72166</v>
      </c>
      <c r="AB77" s="24">
        <f t="shared" si="51"/>
        <v>275213.20395426464</v>
      </c>
      <c r="AC77" s="25">
        <f t="shared" si="52"/>
        <v>3028550</v>
      </c>
    </row>
    <row r="78" spans="1:29">
      <c r="A78" s="11" t="s">
        <v>59</v>
      </c>
      <c r="B78" s="16">
        <f t="shared" ref="B78:C78" si="59">SUM(B77+B62+B45)</f>
        <v>222550</v>
      </c>
      <c r="C78" s="17">
        <f t="shared" si="59"/>
        <v>2705425</v>
      </c>
      <c r="D78" s="16">
        <f t="shared" ref="D78:E78" si="60">SUM(D77+D62+D45)</f>
        <v>164737</v>
      </c>
      <c r="E78" s="17">
        <f t="shared" si="60"/>
        <v>1755787</v>
      </c>
      <c r="F78" s="16">
        <f t="shared" ref="F78:G78" si="61">SUM(F77+F62+F45)</f>
        <v>209427</v>
      </c>
      <c r="G78" s="17">
        <f t="shared" si="61"/>
        <v>2381097</v>
      </c>
      <c r="H78" s="16">
        <f t="shared" ref="H78:K78" si="62">SUM(H77+H62+H45)</f>
        <v>134823</v>
      </c>
      <c r="I78" s="17">
        <f t="shared" si="62"/>
        <v>1388104</v>
      </c>
      <c r="J78" s="16">
        <f t="shared" si="62"/>
        <v>100458</v>
      </c>
      <c r="K78" s="17">
        <f t="shared" si="62"/>
        <v>1130007</v>
      </c>
      <c r="L78" s="16"/>
      <c r="M78" s="17"/>
      <c r="N78" s="16">
        <f t="shared" ref="N78:S78" si="63">SUM(N77+N62+N45)</f>
        <v>176181</v>
      </c>
      <c r="O78" s="17">
        <f t="shared" si="63"/>
        <v>1936319</v>
      </c>
      <c r="P78" s="16">
        <f t="shared" si="63"/>
        <v>100553</v>
      </c>
      <c r="Q78" s="17">
        <f t="shared" si="63"/>
        <v>1389512</v>
      </c>
      <c r="R78" s="16">
        <f t="shared" si="63"/>
        <v>115636</v>
      </c>
      <c r="S78" s="17">
        <f t="shared" si="63"/>
        <v>1343749</v>
      </c>
      <c r="T78" s="16">
        <f t="shared" ref="T78:AA78" si="64">SUM(T77+T62+T45)</f>
        <v>0</v>
      </c>
      <c r="U78" s="17">
        <f t="shared" si="64"/>
        <v>0</v>
      </c>
      <c r="V78" s="16">
        <f t="shared" si="64"/>
        <v>92943</v>
      </c>
      <c r="W78" s="17">
        <f t="shared" si="64"/>
        <v>577413</v>
      </c>
      <c r="X78" s="16">
        <f t="shared" si="64"/>
        <v>0</v>
      </c>
      <c r="Y78" s="17">
        <f t="shared" si="64"/>
        <v>0</v>
      </c>
      <c r="Z78" s="16">
        <f t="shared" si="64"/>
        <v>118676</v>
      </c>
      <c r="AA78" s="17">
        <f t="shared" si="64"/>
        <v>383001</v>
      </c>
      <c r="AB78" s="16">
        <f t="shared" si="51"/>
        <v>1435984</v>
      </c>
      <c r="AC78" s="17">
        <f t="shared" si="52"/>
        <v>14990414</v>
      </c>
    </row>
    <row r="79" spans="1:29">
      <c r="A79" s="4"/>
      <c r="B79" s="24"/>
      <c r="C79" s="25"/>
      <c r="D79" s="24"/>
      <c r="E79" s="25"/>
      <c r="F79" s="24"/>
      <c r="G79" s="25"/>
      <c r="H79" s="24"/>
      <c r="I79" s="25"/>
      <c r="J79" s="24"/>
      <c r="K79" s="25"/>
      <c r="L79" s="24"/>
      <c r="M79" s="25"/>
      <c r="N79" s="24"/>
      <c r="O79" s="25"/>
      <c r="P79" s="24"/>
      <c r="Q79" s="25"/>
      <c r="R79" s="24"/>
      <c r="S79" s="25"/>
      <c r="T79" s="24"/>
      <c r="U79" s="25"/>
      <c r="V79" s="24"/>
      <c r="W79" s="25"/>
      <c r="X79" s="24"/>
      <c r="Y79" s="25"/>
      <c r="Z79" s="24"/>
      <c r="AA79" s="25"/>
      <c r="AB79" s="24">
        <f t="shared" si="51"/>
        <v>0</v>
      </c>
      <c r="AC79" s="25">
        <f t="shared" si="52"/>
        <v>0</v>
      </c>
    </row>
    <row r="80" spans="1:29">
      <c r="A80" s="12" t="s">
        <v>60</v>
      </c>
      <c r="B80" s="20">
        <f t="shared" ref="B80:C80" si="65">B78+B35</f>
        <v>357375</v>
      </c>
      <c r="C80" s="21">
        <f t="shared" si="65"/>
        <v>4193201</v>
      </c>
      <c r="D80" s="20">
        <f t="shared" ref="D80:E80" si="66">D78+D35</f>
        <v>231346</v>
      </c>
      <c r="E80" s="21">
        <f t="shared" si="66"/>
        <v>2522084</v>
      </c>
      <c r="F80" s="20">
        <f t="shared" ref="F80:G80" si="67">F78+F35</f>
        <v>261529</v>
      </c>
      <c r="G80" s="21">
        <f t="shared" si="67"/>
        <v>3583669</v>
      </c>
      <c r="H80" s="20">
        <f t="shared" ref="H80:K80" si="68">H78+H35</f>
        <v>212129</v>
      </c>
      <c r="I80" s="21">
        <f t="shared" si="68"/>
        <v>2073609</v>
      </c>
      <c r="J80" s="20">
        <f t="shared" si="68"/>
        <v>154264</v>
      </c>
      <c r="K80" s="21">
        <f t="shared" si="68"/>
        <v>1636995</v>
      </c>
      <c r="L80" s="20"/>
      <c r="M80" s="21"/>
      <c r="N80" s="20">
        <f t="shared" ref="N80:S80" si="69">N78+N35</f>
        <v>263569</v>
      </c>
      <c r="O80" s="21">
        <f t="shared" si="69"/>
        <v>2660997</v>
      </c>
      <c r="P80" s="20">
        <f t="shared" si="69"/>
        <v>168381</v>
      </c>
      <c r="Q80" s="21">
        <f t="shared" si="69"/>
        <v>1792362</v>
      </c>
      <c r="R80" s="20">
        <f t="shared" si="69"/>
        <v>180800</v>
      </c>
      <c r="S80" s="21">
        <f t="shared" si="69"/>
        <v>2002688</v>
      </c>
      <c r="T80" s="20">
        <f t="shared" ref="T80:AA80" si="70">T78+T35</f>
        <v>0</v>
      </c>
      <c r="U80" s="21">
        <f t="shared" si="70"/>
        <v>0</v>
      </c>
      <c r="V80" s="20">
        <f t="shared" si="70"/>
        <v>170791</v>
      </c>
      <c r="W80" s="21">
        <f t="shared" si="70"/>
        <v>953711</v>
      </c>
      <c r="X80" s="20">
        <f t="shared" si="70"/>
        <v>0</v>
      </c>
      <c r="Y80" s="21">
        <f t="shared" si="70"/>
        <v>0</v>
      </c>
      <c r="Z80" s="20">
        <f t="shared" si="70"/>
        <v>137261</v>
      </c>
      <c r="AA80" s="21">
        <f t="shared" si="70"/>
        <v>601226</v>
      </c>
      <c r="AB80" s="20">
        <f t="shared" si="51"/>
        <v>2137445</v>
      </c>
      <c r="AC80" s="21">
        <f t="shared" si="52"/>
        <v>22020542</v>
      </c>
    </row>
    <row r="81" spans="1:29">
      <c r="A81" s="4"/>
      <c r="B81" s="22"/>
      <c r="C81" s="23"/>
      <c r="D81" s="22"/>
      <c r="E81" s="23"/>
      <c r="F81" s="22"/>
      <c r="G81" s="23"/>
      <c r="H81" s="22"/>
      <c r="I81" s="23"/>
      <c r="J81" s="22"/>
      <c r="K81" s="23"/>
      <c r="L81" s="22"/>
      <c r="M81" s="23"/>
      <c r="N81" s="22"/>
      <c r="O81" s="23"/>
      <c r="P81" s="22"/>
      <c r="Q81" s="23"/>
      <c r="R81" s="22"/>
      <c r="S81" s="23"/>
      <c r="T81" s="22"/>
      <c r="U81" s="23"/>
      <c r="V81" s="22"/>
      <c r="W81" s="23"/>
      <c r="X81" s="22"/>
      <c r="Y81" s="23"/>
      <c r="Z81" s="22"/>
      <c r="AA81" s="23"/>
      <c r="AB81" s="22">
        <f t="shared" si="51"/>
        <v>0</v>
      </c>
      <c r="AC81" s="23">
        <f t="shared" si="52"/>
        <v>0</v>
      </c>
    </row>
    <row r="82" spans="1:29">
      <c r="A82" s="4" t="s">
        <v>62</v>
      </c>
      <c r="B82" s="24">
        <f t="shared" ref="B82:C82" si="71">B21-B80</f>
        <v>164078</v>
      </c>
      <c r="C82" s="25">
        <f t="shared" si="71"/>
        <v>1571566</v>
      </c>
      <c r="D82" s="24">
        <f t="shared" ref="D82:K82" si="72">D21-D80</f>
        <v>-14793</v>
      </c>
      <c r="E82" s="25">
        <f t="shared" si="72"/>
        <v>196383</v>
      </c>
      <c r="F82" s="24">
        <f t="shared" si="72"/>
        <v>182203</v>
      </c>
      <c r="G82" s="25">
        <f t="shared" si="72"/>
        <v>104303</v>
      </c>
      <c r="H82" s="24">
        <f t="shared" si="72"/>
        <v>-16137</v>
      </c>
      <c r="I82" s="25">
        <f t="shared" si="72"/>
        <v>43721</v>
      </c>
      <c r="J82" s="24">
        <f t="shared" si="72"/>
        <v>18822</v>
      </c>
      <c r="K82" s="25">
        <f t="shared" si="72"/>
        <v>176587</v>
      </c>
      <c r="L82" s="24"/>
      <c r="M82" s="25"/>
      <c r="N82" s="24">
        <f t="shared" ref="N82:Q82" si="73">N21-N80</f>
        <v>71802</v>
      </c>
      <c r="O82" s="25">
        <f t="shared" si="73"/>
        <v>491674</v>
      </c>
      <c r="P82" s="24">
        <f>P21-P80</f>
        <v>73844</v>
      </c>
      <c r="Q82" s="25">
        <f t="shared" si="73"/>
        <v>918901</v>
      </c>
      <c r="R82" s="24">
        <f t="shared" ref="R82:AA82" si="74">R21-R80</f>
        <v>59281</v>
      </c>
      <c r="S82" s="25">
        <f t="shared" si="74"/>
        <v>288684</v>
      </c>
      <c r="T82" s="24">
        <f t="shared" si="74"/>
        <v>0</v>
      </c>
      <c r="U82" s="25">
        <f t="shared" si="74"/>
        <v>0</v>
      </c>
      <c r="V82" s="24">
        <f t="shared" si="74"/>
        <v>-80024</v>
      </c>
      <c r="W82" s="25">
        <f t="shared" si="74"/>
        <v>-409236</v>
      </c>
      <c r="X82" s="24">
        <f t="shared" si="74"/>
        <v>0</v>
      </c>
      <c r="Y82" s="25">
        <f t="shared" si="74"/>
        <v>0</v>
      </c>
      <c r="Z82" s="24">
        <f t="shared" si="74"/>
        <v>-16752</v>
      </c>
      <c r="AA82" s="25">
        <f t="shared" si="74"/>
        <v>-51367</v>
      </c>
      <c r="AB82" s="24">
        <f t="shared" si="51"/>
        <v>442324</v>
      </c>
      <c r="AC82" s="25">
        <f t="shared" si="52"/>
        <v>3331216</v>
      </c>
    </row>
    <row r="83" spans="1:29">
      <c r="A83" s="9" t="s">
        <v>61</v>
      </c>
      <c r="B83" s="47">
        <f>INDEX('[4]Page 2'!$B:$DP,MATCH("8030",'[4]Page 2'!$M:$M,0),42)</f>
        <v>110670</v>
      </c>
      <c r="C83" s="13">
        <f>INDEX('[4]Page 2'!$B:$DP,MATCH("8030",'[4]Page 2'!$M:$M,0),58)</f>
        <v>1231650</v>
      </c>
      <c r="D83" s="47">
        <f>INDEX('[5]Page 2'!$B:$DP,MATCH("8030",'[5]Page 2'!$M:$M,0),42)</f>
        <v>50891</v>
      </c>
      <c r="E83" s="13">
        <f>INDEX('[5]Page 2'!$B:$DP,MATCH("8030",'[5]Page 2'!$M:$M,0),58)</f>
        <v>525079</v>
      </c>
      <c r="F83" s="47">
        <f>INDEX('[6]Page 2'!$B:$DP,MATCH("8030",'[6]Page 2'!$M:$M,0),42)</f>
        <v>83829</v>
      </c>
      <c r="G83" s="13">
        <f>INDEX('[6]Page 2'!$B:$DP,MATCH("8030",'[6]Page 2'!$M:$M,0),58)</f>
        <v>733152</v>
      </c>
      <c r="H83" s="47">
        <f>IFERROR(VLOOKUP("NET ADDITIONS &amp; DEDUCTIONS",'[7]PAGE 2'!$B:$W,7,FALSE),0)</f>
        <v>0</v>
      </c>
      <c r="I83" s="13">
        <f>IFERROR(VLOOKUP("NET ADDITIONS &amp; DEDUCTIONS",'[7]PAGE 2'!$B:$W,9,FALSE),0)</f>
        <v>0</v>
      </c>
      <c r="J83" s="47">
        <f>IFERROR(VLOOKUP("NET ADDITIONS &amp; DEDUCTIONS",'[8]PAGE 2'!$B:$W,7,FALSE),0)</f>
        <v>0</v>
      </c>
      <c r="K83" s="13">
        <f>IFERROR(VLOOKUP("NET ADDITIONS &amp; DEDUCTIONS",'[8]PAGE 2'!$B:$W,9,FALSE),0)</f>
        <v>0</v>
      </c>
      <c r="L83" s="47"/>
      <c r="M83" s="13"/>
      <c r="N83" s="47"/>
      <c r="O83" s="13"/>
      <c r="P83" s="47"/>
      <c r="Q83" s="13"/>
      <c r="R83" s="47"/>
      <c r="S83" s="13"/>
      <c r="T83" s="47"/>
      <c r="U83" s="13"/>
      <c r="V83" s="47"/>
      <c r="W83" s="13"/>
      <c r="X83" s="47"/>
      <c r="Y83" s="13"/>
      <c r="Z83" s="47"/>
      <c r="AA83" s="13"/>
      <c r="AB83" s="47">
        <f t="shared" si="51"/>
        <v>245390</v>
      </c>
      <c r="AC83" s="13">
        <f t="shared" si="52"/>
        <v>2489881</v>
      </c>
    </row>
    <row r="84" spans="1:29">
      <c r="A84" s="12" t="s">
        <v>63</v>
      </c>
      <c r="B84" s="20">
        <f t="shared" ref="B84:C84" si="75">SUM(B82:B83)</f>
        <v>274748</v>
      </c>
      <c r="C84" s="21">
        <f t="shared" si="75"/>
        <v>2803216</v>
      </c>
      <c r="D84" s="20">
        <f t="shared" ref="D84:E84" si="76">SUM(D82:D83)</f>
        <v>36098</v>
      </c>
      <c r="E84" s="21">
        <f t="shared" si="76"/>
        <v>721462</v>
      </c>
      <c r="F84" s="20">
        <f t="shared" ref="F84:G84" si="77">SUM(F82:F83)</f>
        <v>266032</v>
      </c>
      <c r="G84" s="21">
        <f t="shared" si="77"/>
        <v>837455</v>
      </c>
      <c r="H84" s="20">
        <f t="shared" ref="H84:K84" si="78">SUM(H82:H83)</f>
        <v>-16137</v>
      </c>
      <c r="I84" s="21">
        <f t="shared" si="78"/>
        <v>43721</v>
      </c>
      <c r="J84" s="20">
        <f t="shared" si="78"/>
        <v>18822</v>
      </c>
      <c r="K84" s="21">
        <f t="shared" si="78"/>
        <v>176587</v>
      </c>
      <c r="L84" s="20"/>
      <c r="M84" s="21"/>
      <c r="N84" s="20">
        <f t="shared" ref="N84:Q84" si="79">SUM(N82:N83)</f>
        <v>71802</v>
      </c>
      <c r="O84" s="21">
        <f t="shared" si="79"/>
        <v>491674</v>
      </c>
      <c r="P84" s="20">
        <f t="shared" si="79"/>
        <v>73844</v>
      </c>
      <c r="Q84" s="21">
        <f t="shared" si="79"/>
        <v>918901</v>
      </c>
      <c r="R84" s="20">
        <f t="shared" ref="R84:AA84" si="80">SUM(R82:R83)</f>
        <v>59281</v>
      </c>
      <c r="S84" s="21">
        <f t="shared" si="80"/>
        <v>288684</v>
      </c>
      <c r="T84" s="20">
        <f t="shared" si="80"/>
        <v>0</v>
      </c>
      <c r="U84" s="21">
        <f t="shared" si="80"/>
        <v>0</v>
      </c>
      <c r="V84" s="20">
        <f t="shared" si="80"/>
        <v>-80024</v>
      </c>
      <c r="W84" s="21">
        <f t="shared" si="80"/>
        <v>-409236</v>
      </c>
      <c r="X84" s="20">
        <f t="shared" si="80"/>
        <v>0</v>
      </c>
      <c r="Y84" s="21">
        <f t="shared" si="80"/>
        <v>0</v>
      </c>
      <c r="Z84" s="20">
        <f t="shared" si="80"/>
        <v>-16752</v>
      </c>
      <c r="AA84" s="21">
        <f t="shared" si="80"/>
        <v>-51367</v>
      </c>
      <c r="AB84" s="20">
        <f>SUMIF($B$5:$AA$5,"Month",B84:AA84)</f>
        <v>687714</v>
      </c>
      <c r="AC84" s="21">
        <f t="shared" si="52"/>
        <v>5821097</v>
      </c>
    </row>
    <row r="85" spans="1:29" hidden="1">
      <c r="A85" s="10" t="s">
        <v>50</v>
      </c>
      <c r="B85" s="47"/>
      <c r="C85" s="13"/>
      <c r="D85" s="47"/>
      <c r="E85" s="13"/>
      <c r="F85" s="47"/>
      <c r="G85" s="13"/>
      <c r="H85" s="47"/>
      <c r="I85" s="13"/>
      <c r="J85" s="47"/>
      <c r="K85" s="13"/>
      <c r="L85" s="47"/>
      <c r="M85" s="13"/>
      <c r="N85" s="47"/>
      <c r="O85" s="13"/>
      <c r="P85" s="47"/>
      <c r="Q85" s="13"/>
      <c r="R85" s="47"/>
      <c r="S85" s="13"/>
      <c r="T85" s="47"/>
      <c r="U85" s="13"/>
      <c r="V85" s="47"/>
      <c r="W85" s="13"/>
      <c r="X85" s="47"/>
      <c r="Y85" s="13"/>
      <c r="Z85" s="47"/>
      <c r="AA85" s="13"/>
      <c r="AB85" s="47">
        <f t="shared" ref="AB85:AB125" si="81">SUMIF($B$5:$Y$5,"Month",B85:Y85)</f>
        <v>0</v>
      </c>
      <c r="AC85" s="13">
        <f t="shared" ref="AC85:AC125" si="82">SUMIF($B$5:$Y$5,"YTD",B85:Y85)</f>
        <v>0</v>
      </c>
    </row>
    <row r="86" spans="1:29" hidden="1">
      <c r="A86" s="4" t="s">
        <v>69</v>
      </c>
      <c r="B86" s="24">
        <f t="shared" ref="B86:C86" si="83">B84-B85</f>
        <v>274748</v>
      </c>
      <c r="C86" s="25">
        <f t="shared" si="83"/>
        <v>2803216</v>
      </c>
      <c r="D86" s="24">
        <f t="shared" ref="D86:E86" si="84">D84-D85</f>
        <v>36098</v>
      </c>
      <c r="E86" s="25">
        <f t="shared" si="84"/>
        <v>721462</v>
      </c>
      <c r="F86" s="24">
        <f t="shared" ref="F86:G86" si="85">F84-F85</f>
        <v>266032</v>
      </c>
      <c r="G86" s="25">
        <f t="shared" si="85"/>
        <v>837455</v>
      </c>
      <c r="H86" s="24">
        <f t="shared" ref="H86:I86" si="86">H84-H85</f>
        <v>-16137</v>
      </c>
      <c r="I86" s="25">
        <f t="shared" si="86"/>
        <v>43721</v>
      </c>
      <c r="J86" s="24">
        <f>J84-J85</f>
        <v>18822</v>
      </c>
      <c r="K86" s="25">
        <f>K84-K85</f>
        <v>176587</v>
      </c>
      <c r="L86" s="24"/>
      <c r="M86" s="25"/>
      <c r="N86" s="24">
        <f t="shared" ref="N86:S86" si="87">N84-N85</f>
        <v>71802</v>
      </c>
      <c r="O86" s="25">
        <f t="shared" si="87"/>
        <v>491674</v>
      </c>
      <c r="P86" s="24">
        <f t="shared" si="87"/>
        <v>73844</v>
      </c>
      <c r="Q86" s="25">
        <f t="shared" si="87"/>
        <v>918901</v>
      </c>
      <c r="R86" s="24">
        <f t="shared" si="87"/>
        <v>59281</v>
      </c>
      <c r="S86" s="25">
        <f t="shared" si="87"/>
        <v>288684</v>
      </c>
      <c r="T86" s="24">
        <f t="shared" ref="T86:AA86" si="88">T84-T85</f>
        <v>0</v>
      </c>
      <c r="U86" s="25">
        <f t="shared" si="88"/>
        <v>0</v>
      </c>
      <c r="V86" s="24">
        <f t="shared" si="88"/>
        <v>-80024</v>
      </c>
      <c r="W86" s="25">
        <f t="shared" si="88"/>
        <v>-409236</v>
      </c>
      <c r="X86" s="24">
        <f t="shared" si="88"/>
        <v>0</v>
      </c>
      <c r="Y86" s="25">
        <f t="shared" si="88"/>
        <v>0</v>
      </c>
      <c r="Z86" s="24">
        <f t="shared" si="88"/>
        <v>-16752</v>
      </c>
      <c r="AA86" s="25">
        <f t="shared" si="88"/>
        <v>-51367</v>
      </c>
      <c r="AB86" s="24">
        <f t="shared" si="81"/>
        <v>704466</v>
      </c>
      <c r="AC86" s="25">
        <f t="shared" si="82"/>
        <v>5872464</v>
      </c>
    </row>
    <row r="87" spans="1:29" hidden="1">
      <c r="A87" s="10" t="s">
        <v>51</v>
      </c>
      <c r="B87" s="47"/>
      <c r="C87" s="13"/>
      <c r="D87" s="47"/>
      <c r="E87" s="13"/>
      <c r="F87" s="47"/>
      <c r="G87" s="13"/>
      <c r="H87" s="47"/>
      <c r="I87" s="13"/>
      <c r="J87" s="47"/>
      <c r="K87" s="13"/>
      <c r="L87" s="47"/>
      <c r="M87" s="13"/>
      <c r="N87" s="47"/>
      <c r="O87" s="13"/>
      <c r="P87" s="47"/>
      <c r="Q87" s="13"/>
      <c r="R87" s="47"/>
      <c r="S87" s="13"/>
      <c r="T87" s="47"/>
      <c r="U87" s="13"/>
      <c r="V87" s="47"/>
      <c r="W87" s="13"/>
      <c r="X87" s="47"/>
      <c r="Y87" s="13"/>
      <c r="Z87" s="47"/>
      <c r="AA87" s="13"/>
      <c r="AB87" s="47">
        <f t="shared" si="81"/>
        <v>0</v>
      </c>
      <c r="AC87" s="13">
        <f t="shared" si="82"/>
        <v>0</v>
      </c>
    </row>
    <row r="88" spans="1:29" hidden="1">
      <c r="A88" s="12" t="s">
        <v>70</v>
      </c>
      <c r="B88" s="20">
        <f t="shared" ref="B88:C88" si="89">B86-B87</f>
        <v>274748</v>
      </c>
      <c r="C88" s="21">
        <f t="shared" si="89"/>
        <v>2803216</v>
      </c>
      <c r="D88" s="20">
        <f t="shared" ref="D88:E88" si="90">D86-D87</f>
        <v>36098</v>
      </c>
      <c r="E88" s="21">
        <f t="shared" si="90"/>
        <v>721462</v>
      </c>
      <c r="F88" s="20">
        <f t="shared" ref="F88:G88" si="91">F86-F87</f>
        <v>266032</v>
      </c>
      <c r="G88" s="21">
        <f t="shared" si="91"/>
        <v>837455</v>
      </c>
      <c r="H88" s="20">
        <f t="shared" ref="H88:I88" si="92">H86-H87</f>
        <v>-16137</v>
      </c>
      <c r="I88" s="21">
        <f t="shared" si="92"/>
        <v>43721</v>
      </c>
      <c r="J88" s="20">
        <f>J86-J87</f>
        <v>18822</v>
      </c>
      <c r="K88" s="21">
        <f>K86-K87</f>
        <v>176587</v>
      </c>
      <c r="L88" s="20"/>
      <c r="M88" s="21"/>
      <c r="N88" s="20">
        <f t="shared" ref="N88:S88" si="93">N86-N87</f>
        <v>71802</v>
      </c>
      <c r="O88" s="21">
        <f t="shared" si="93"/>
        <v>491674</v>
      </c>
      <c r="P88" s="20">
        <f t="shared" si="93"/>
        <v>73844</v>
      </c>
      <c r="Q88" s="21">
        <f t="shared" si="93"/>
        <v>918901</v>
      </c>
      <c r="R88" s="20">
        <f t="shared" si="93"/>
        <v>59281</v>
      </c>
      <c r="S88" s="21">
        <f t="shared" si="93"/>
        <v>288684</v>
      </c>
      <c r="T88" s="20">
        <f t="shared" ref="T88:AA88" si="94">T86-T87</f>
        <v>0</v>
      </c>
      <c r="U88" s="21">
        <f t="shared" si="94"/>
        <v>0</v>
      </c>
      <c r="V88" s="20">
        <f t="shared" si="94"/>
        <v>-80024</v>
      </c>
      <c r="W88" s="21">
        <f t="shared" si="94"/>
        <v>-409236</v>
      </c>
      <c r="X88" s="20">
        <f t="shared" si="94"/>
        <v>0</v>
      </c>
      <c r="Y88" s="21">
        <f t="shared" si="94"/>
        <v>0</v>
      </c>
      <c r="Z88" s="20">
        <f t="shared" si="94"/>
        <v>-16752</v>
      </c>
      <c r="AA88" s="21">
        <f t="shared" si="94"/>
        <v>-51367</v>
      </c>
      <c r="AB88" s="20">
        <f t="shared" si="81"/>
        <v>704466</v>
      </c>
      <c r="AC88" s="21">
        <f t="shared" si="82"/>
        <v>5872464</v>
      </c>
    </row>
    <row r="89" spans="1:29">
      <c r="AB89" s="1">
        <f t="shared" si="81"/>
        <v>0</v>
      </c>
      <c r="AC89" s="1">
        <f t="shared" si="82"/>
        <v>0</v>
      </c>
    </row>
    <row r="90" spans="1:29">
      <c r="AB90" s="1">
        <f t="shared" si="81"/>
        <v>0</v>
      </c>
      <c r="AC90" s="1">
        <f t="shared" si="82"/>
        <v>0</v>
      </c>
    </row>
    <row r="91" spans="1:29">
      <c r="AB91" s="1">
        <f t="shared" si="81"/>
        <v>0</v>
      </c>
      <c r="AC91" s="1">
        <f t="shared" si="82"/>
        <v>0</v>
      </c>
    </row>
    <row r="92" spans="1:29">
      <c r="AB92" s="1">
        <f t="shared" si="81"/>
        <v>0</v>
      </c>
      <c r="AC92" s="1">
        <f t="shared" si="82"/>
        <v>0</v>
      </c>
    </row>
    <row r="93" spans="1:29">
      <c r="AB93" s="1">
        <f t="shared" si="81"/>
        <v>0</v>
      </c>
      <c r="AC93" s="1">
        <f t="shared" si="82"/>
        <v>0</v>
      </c>
    </row>
    <row r="94" spans="1:29">
      <c r="AB94" s="1">
        <f t="shared" si="81"/>
        <v>0</v>
      </c>
      <c r="AC94" s="1">
        <f t="shared" si="82"/>
        <v>0</v>
      </c>
    </row>
    <row r="95" spans="1:29">
      <c r="AB95" s="1">
        <f t="shared" si="81"/>
        <v>0</v>
      </c>
      <c r="AC95" s="1">
        <f t="shared" si="82"/>
        <v>0</v>
      </c>
    </row>
    <row r="96" spans="1:29">
      <c r="AB96" s="1">
        <f t="shared" si="81"/>
        <v>0</v>
      </c>
      <c r="AC96" s="1">
        <f t="shared" si="82"/>
        <v>0</v>
      </c>
    </row>
    <row r="97" spans="28:29">
      <c r="AB97" s="1">
        <f t="shared" si="81"/>
        <v>0</v>
      </c>
      <c r="AC97" s="1">
        <f t="shared" si="82"/>
        <v>0</v>
      </c>
    </row>
    <row r="98" spans="28:29">
      <c r="AB98" s="1">
        <f t="shared" si="81"/>
        <v>0</v>
      </c>
      <c r="AC98" s="1">
        <f t="shared" si="82"/>
        <v>0</v>
      </c>
    </row>
    <row r="99" spans="28:29">
      <c r="AB99" s="1">
        <f t="shared" si="81"/>
        <v>0</v>
      </c>
      <c r="AC99" s="1">
        <f t="shared" si="82"/>
        <v>0</v>
      </c>
    </row>
    <row r="100" spans="28:29">
      <c r="AB100" s="1">
        <f t="shared" si="81"/>
        <v>0</v>
      </c>
      <c r="AC100" s="1">
        <f t="shared" si="82"/>
        <v>0</v>
      </c>
    </row>
    <row r="101" spans="28:29">
      <c r="AB101" s="1">
        <f t="shared" si="81"/>
        <v>0</v>
      </c>
      <c r="AC101" s="1">
        <f t="shared" si="82"/>
        <v>0</v>
      </c>
    </row>
    <row r="102" spans="28:29">
      <c r="AB102" s="1">
        <f t="shared" si="81"/>
        <v>0</v>
      </c>
      <c r="AC102" s="1">
        <f t="shared" si="82"/>
        <v>0</v>
      </c>
    </row>
    <row r="103" spans="28:29">
      <c r="AB103" s="1">
        <f t="shared" si="81"/>
        <v>0</v>
      </c>
      <c r="AC103" s="1">
        <f t="shared" si="82"/>
        <v>0</v>
      </c>
    </row>
    <row r="104" spans="28:29">
      <c r="AB104" s="1">
        <f t="shared" si="81"/>
        <v>0</v>
      </c>
      <c r="AC104" s="1">
        <f t="shared" si="82"/>
        <v>0</v>
      </c>
    </row>
    <row r="105" spans="28:29">
      <c r="AB105" s="1">
        <f t="shared" si="81"/>
        <v>0</v>
      </c>
      <c r="AC105" s="1">
        <f t="shared" si="82"/>
        <v>0</v>
      </c>
    </row>
    <row r="106" spans="28:29">
      <c r="AB106" s="1">
        <f t="shared" si="81"/>
        <v>0</v>
      </c>
      <c r="AC106" s="1">
        <f t="shared" si="82"/>
        <v>0</v>
      </c>
    </row>
    <row r="107" spans="28:29">
      <c r="AB107" s="1">
        <f t="shared" si="81"/>
        <v>0</v>
      </c>
      <c r="AC107" s="1">
        <f t="shared" si="82"/>
        <v>0</v>
      </c>
    </row>
    <row r="108" spans="28:29">
      <c r="AB108" s="1">
        <f t="shared" si="81"/>
        <v>0</v>
      </c>
      <c r="AC108" s="1">
        <f t="shared" si="82"/>
        <v>0</v>
      </c>
    </row>
    <row r="109" spans="28:29">
      <c r="AB109" s="1">
        <f t="shared" si="81"/>
        <v>0</v>
      </c>
      <c r="AC109" s="1">
        <f t="shared" si="82"/>
        <v>0</v>
      </c>
    </row>
    <row r="110" spans="28:29">
      <c r="AB110" s="1">
        <f t="shared" si="81"/>
        <v>0</v>
      </c>
      <c r="AC110" s="1">
        <f t="shared" si="82"/>
        <v>0</v>
      </c>
    </row>
    <row r="111" spans="28:29">
      <c r="AB111" s="1">
        <f t="shared" si="81"/>
        <v>0</v>
      </c>
      <c r="AC111" s="1">
        <f t="shared" si="82"/>
        <v>0</v>
      </c>
    </row>
    <row r="112" spans="28:29">
      <c r="AB112" s="1">
        <f t="shared" si="81"/>
        <v>0</v>
      </c>
      <c r="AC112" s="1">
        <f t="shared" si="82"/>
        <v>0</v>
      </c>
    </row>
    <row r="113" spans="28:29">
      <c r="AB113" s="1">
        <f t="shared" si="81"/>
        <v>0</v>
      </c>
      <c r="AC113" s="1">
        <f t="shared" si="82"/>
        <v>0</v>
      </c>
    </row>
    <row r="114" spans="28:29">
      <c r="AB114" s="1">
        <f t="shared" si="81"/>
        <v>0</v>
      </c>
      <c r="AC114" s="1">
        <f t="shared" si="82"/>
        <v>0</v>
      </c>
    </row>
    <row r="115" spans="28:29">
      <c r="AB115" s="1">
        <f t="shared" si="81"/>
        <v>0</v>
      </c>
      <c r="AC115" s="1">
        <f t="shared" si="82"/>
        <v>0</v>
      </c>
    </row>
    <row r="116" spans="28:29">
      <c r="AB116" s="1">
        <f t="shared" si="81"/>
        <v>0</v>
      </c>
      <c r="AC116" s="1">
        <f t="shared" si="82"/>
        <v>0</v>
      </c>
    </row>
    <row r="117" spans="28:29">
      <c r="AB117" s="1">
        <f t="shared" si="81"/>
        <v>0</v>
      </c>
      <c r="AC117" s="1">
        <f t="shared" si="82"/>
        <v>0</v>
      </c>
    </row>
    <row r="118" spans="28:29">
      <c r="AB118" s="1">
        <f t="shared" si="81"/>
        <v>0</v>
      </c>
      <c r="AC118" s="1">
        <f t="shared" si="82"/>
        <v>0</v>
      </c>
    </row>
    <row r="119" spans="28:29">
      <c r="AB119" s="1">
        <f t="shared" si="81"/>
        <v>0</v>
      </c>
      <c r="AC119" s="1">
        <f t="shared" si="82"/>
        <v>0</v>
      </c>
    </row>
    <row r="120" spans="28:29">
      <c r="AB120" s="1">
        <f t="shared" si="81"/>
        <v>0</v>
      </c>
      <c r="AC120" s="1">
        <f t="shared" si="82"/>
        <v>0</v>
      </c>
    </row>
    <row r="121" spans="28:29">
      <c r="AB121" s="1">
        <f t="shared" si="81"/>
        <v>0</v>
      </c>
      <c r="AC121" s="1">
        <f t="shared" si="82"/>
        <v>0</v>
      </c>
    </row>
    <row r="122" spans="28:29">
      <c r="AB122" s="1">
        <f t="shared" si="81"/>
        <v>0</v>
      </c>
      <c r="AC122" s="1">
        <f t="shared" si="82"/>
        <v>0</v>
      </c>
    </row>
    <row r="123" spans="28:29">
      <c r="AB123" s="1">
        <f t="shared" si="81"/>
        <v>0</v>
      </c>
      <c r="AC123" s="1">
        <f t="shared" si="82"/>
        <v>0</v>
      </c>
    </row>
    <row r="124" spans="28:29">
      <c r="AB124" s="1">
        <f t="shared" si="81"/>
        <v>0</v>
      </c>
      <c r="AC124" s="1">
        <f t="shared" si="82"/>
        <v>0</v>
      </c>
    </row>
    <row r="125" spans="28:29">
      <c r="AB125" s="1">
        <f t="shared" si="81"/>
        <v>0</v>
      </c>
      <c r="AC125" s="1">
        <f t="shared" si="82"/>
        <v>0</v>
      </c>
    </row>
  </sheetData>
  <sheetProtection sheet="1" objects="1" scenarios="1"/>
  <mergeCells count="14">
    <mergeCell ref="B4:C4"/>
    <mergeCell ref="F4:G4"/>
    <mergeCell ref="H4:I4"/>
    <mergeCell ref="J4:K4"/>
    <mergeCell ref="L4:M4"/>
    <mergeCell ref="D4:E4"/>
    <mergeCell ref="V4:W4"/>
    <mergeCell ref="AB4:AC4"/>
    <mergeCell ref="R4:S4"/>
    <mergeCell ref="T4:U4"/>
    <mergeCell ref="N4:O4"/>
    <mergeCell ref="P4:Q4"/>
    <mergeCell ref="X4:Y4"/>
    <mergeCell ref="Z4:AA4"/>
  </mergeCells>
  <printOptions horizontalCentered="1"/>
  <pageMargins left="0.1" right="0.1" top="0.2" bottom="0.47082895888013998" header="0.2" footer="0.2"/>
  <pageSetup scale="10" fitToWidth="0" orientation="portrait" r:id="rId1"/>
  <rowBreaks count="1" manualBreakCount="1">
    <brk id="35" max="16383" man="1"/>
  </rowBreaks>
  <colBreaks count="2" manualBreakCount="2">
    <brk id="7" max="83" man="1"/>
    <brk id="15" max="83"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AC125"/>
  <sheetViews>
    <sheetView workbookViewId="0"/>
  </sheetViews>
  <sheetFormatPr defaultColWidth="9.140625" defaultRowHeight="15"/>
  <cols>
    <col min="1" max="1" width="52.5703125" bestFit="1" customWidth="1"/>
    <col min="2" max="11" width="12.5703125" style="1" customWidth="1"/>
    <col min="12" max="13" width="12.5703125" style="1" hidden="1" customWidth="1"/>
    <col min="14" max="29" width="12.5703125" style="1" customWidth="1"/>
  </cols>
  <sheetData>
    <row r="1" spans="1:29">
      <c r="A1" t="s">
        <v>210</v>
      </c>
      <c r="P1" s="1">
        <f>'New Vehicle'!P1</f>
        <v>0</v>
      </c>
      <c r="R1" s="1">
        <f>'New Vehicle'!R1</f>
        <v>0</v>
      </c>
      <c r="T1" s="1">
        <f>'New Vehicle'!T1</f>
        <v>0</v>
      </c>
      <c r="V1" s="1">
        <f>'New Vehicle'!V1</f>
        <v>0</v>
      </c>
      <c r="AB1" s="1">
        <f>'New Vehicle'!AB1</f>
        <v>0</v>
      </c>
    </row>
    <row r="2" spans="1:29" s="1" customFormat="1">
      <c r="A2" s="2">
        <f>'Dealership Totals'!A2</f>
        <v>42705</v>
      </c>
      <c r="B2" s="3"/>
      <c r="D2" s="3"/>
      <c r="F2" s="3"/>
      <c r="H2" s="3"/>
      <c r="J2" s="3"/>
      <c r="L2" s="3"/>
      <c r="N2" s="3"/>
      <c r="P2" s="3"/>
      <c r="R2" s="3"/>
      <c r="T2" s="3"/>
      <c r="V2" s="3"/>
      <c r="X2" s="3"/>
      <c r="Z2" s="3"/>
      <c r="AB2" s="3"/>
    </row>
    <row r="3" spans="1:29" s="1" customFormat="1">
      <c r="A3" s="3"/>
      <c r="B3" s="3"/>
      <c r="D3" s="3"/>
      <c r="F3" s="3"/>
      <c r="H3" s="3"/>
      <c r="J3" s="3"/>
      <c r="L3" s="3"/>
      <c r="N3" s="3"/>
      <c r="P3" s="125">
        <f>'[2]PAGE 2'!$AX$13</f>
        <v>50956</v>
      </c>
      <c r="Q3" s="126">
        <f>P3/'Dealership Totals'!AD3</f>
        <v>0.27277788484186632</v>
      </c>
      <c r="R3" s="125">
        <f>[3]P2!$AL$25</f>
        <v>39760</v>
      </c>
      <c r="S3" s="126">
        <f>R3/'Dealership Totals'!AH3</f>
        <v>0.20000100604127788</v>
      </c>
      <c r="T3" s="125">
        <f>[13]P2!$AL$25</f>
        <v>27114</v>
      </c>
      <c r="U3" s="126">
        <f>T3/'Dealership Totals'!AJ3</f>
        <v>0.5300050822940694</v>
      </c>
      <c r="V3" s="125">
        <f>[13]P2!$AL$25</f>
        <v>27114</v>
      </c>
      <c r="W3" s="126"/>
      <c r="X3" s="3"/>
      <c r="Z3" s="3"/>
      <c r="AB3" s="125">
        <f>[13]P2!$AL$25</f>
        <v>27114</v>
      </c>
      <c r="AC3" s="126"/>
    </row>
    <row r="4" spans="1:29" s="1" customFormat="1">
      <c r="A4" s="3"/>
      <c r="B4" s="328" t="s">
        <v>213</v>
      </c>
      <c r="C4" s="329"/>
      <c r="D4" s="328" t="s">
        <v>282</v>
      </c>
      <c r="E4" s="329"/>
      <c r="F4" s="328" t="s">
        <v>203</v>
      </c>
      <c r="G4" s="329"/>
      <c r="H4" s="328" t="s">
        <v>204</v>
      </c>
      <c r="I4" s="329"/>
      <c r="J4" s="328" t="s">
        <v>205</v>
      </c>
      <c r="K4" s="329"/>
      <c r="L4" s="328"/>
      <c r="M4" s="329"/>
      <c r="N4" s="328" t="s">
        <v>207</v>
      </c>
      <c r="O4" s="329"/>
      <c r="P4" s="328" t="s">
        <v>208</v>
      </c>
      <c r="Q4" s="329"/>
      <c r="R4" s="328" t="s">
        <v>278</v>
      </c>
      <c r="S4" s="329"/>
      <c r="T4" s="328" t="s">
        <v>279</v>
      </c>
      <c r="U4" s="329"/>
      <c r="V4" s="328" t="s">
        <v>287</v>
      </c>
      <c r="W4" s="329"/>
      <c r="X4" s="328" t="s">
        <v>292</v>
      </c>
      <c r="Y4" s="329"/>
      <c r="Z4" s="328" t="s">
        <v>293</v>
      </c>
      <c r="AA4" s="329"/>
      <c r="AB4" s="328" t="s">
        <v>289</v>
      </c>
      <c r="AC4" s="329"/>
    </row>
    <row r="5" spans="1:29" s="1" customFormat="1">
      <c r="B5" s="14" t="s">
        <v>2</v>
      </c>
      <c r="C5" s="15" t="s">
        <v>3</v>
      </c>
      <c r="D5" s="14" t="s">
        <v>2</v>
      </c>
      <c r="E5" s="15" t="s">
        <v>3</v>
      </c>
      <c r="F5" s="14" t="s">
        <v>2</v>
      </c>
      <c r="G5" s="15" t="s">
        <v>3</v>
      </c>
      <c r="H5" s="14" t="s">
        <v>2</v>
      </c>
      <c r="I5" s="15" t="s">
        <v>3</v>
      </c>
      <c r="J5" s="14" t="s">
        <v>2</v>
      </c>
      <c r="K5" s="15" t="s">
        <v>3</v>
      </c>
      <c r="L5" s="14"/>
      <c r="M5" s="15"/>
      <c r="N5" s="14" t="s">
        <v>2</v>
      </c>
      <c r="O5" s="15" t="s">
        <v>3</v>
      </c>
      <c r="P5" s="14" t="s">
        <v>2</v>
      </c>
      <c r="Q5" s="15" t="s">
        <v>3</v>
      </c>
      <c r="R5" s="14" t="s">
        <v>2</v>
      </c>
      <c r="S5" s="15" t="s">
        <v>3</v>
      </c>
      <c r="T5" s="14" t="s">
        <v>2</v>
      </c>
      <c r="U5" s="15" t="s">
        <v>3</v>
      </c>
      <c r="V5" s="14" t="s">
        <v>2</v>
      </c>
      <c r="W5" s="15" t="s">
        <v>3</v>
      </c>
      <c r="X5" s="14" t="s">
        <v>2</v>
      </c>
      <c r="Y5" s="15" t="s">
        <v>3</v>
      </c>
      <c r="Z5" s="14" t="s">
        <v>2</v>
      </c>
      <c r="AA5" s="15" t="s">
        <v>3</v>
      </c>
      <c r="AB5" s="14" t="s">
        <v>2</v>
      </c>
      <c r="AC5" s="15" t="s">
        <v>3</v>
      </c>
    </row>
    <row r="6" spans="1:29" s="1" customFormat="1">
      <c r="A6" s="331" t="s">
        <v>215</v>
      </c>
      <c r="B6" s="55">
        <f>INDEX('[4]Page 5'!$B:$O,MATCH(4400,'[4]Page 5'!$G:$G,0),2)</f>
        <v>24</v>
      </c>
      <c r="C6" s="56">
        <f>INDEX('[4]Page 5'!$B:$O,MATCH(4400,'[4]Page 5'!$G:$G,0),10)</f>
        <v>470</v>
      </c>
      <c r="D6" s="55">
        <f>INDEX('[5]Page 5'!$B:$O,MATCH(4400,'[5]Page 5'!$G:$G,0),2)</f>
        <v>35</v>
      </c>
      <c r="E6" s="56">
        <f>INDEX('[5]Page 5'!$B:$O,MATCH(4400,'[5]Page 5'!$G:$G,0),10)</f>
        <v>372</v>
      </c>
      <c r="F6" s="55">
        <f>INDEX('[6]Page 5'!$B:$O,MATCH(4400,'[6]Page 5'!$G:$G,0),2)</f>
        <v>9</v>
      </c>
      <c r="G6" s="56">
        <f>INDEX('[6]Page 5'!$B:$O,MATCH(4400,'[6]Page 5'!$G:$G,0),10)</f>
        <v>379</v>
      </c>
      <c r="H6" s="55">
        <f>'[7]PAGE 4'!$B$27</f>
        <v>35</v>
      </c>
      <c r="I6" s="56">
        <f>'[7]PAGE 4'!$L$27</f>
        <v>278</v>
      </c>
      <c r="J6" s="55">
        <f>'[8]PAGE 4'!$B$27</f>
        <v>20</v>
      </c>
      <c r="K6" s="56">
        <f>'[8]PAGE 4'!$L$27</f>
        <v>255</v>
      </c>
      <c r="L6" s="55"/>
      <c r="M6" s="56"/>
      <c r="N6" s="55">
        <f>'[9]Page 6'!$B$7</f>
        <v>59</v>
      </c>
      <c r="O6" s="56">
        <f>'[9]Page 6'!$L$7</f>
        <v>572</v>
      </c>
      <c r="P6" s="55"/>
      <c r="Q6" s="56"/>
      <c r="R6" s="55"/>
      <c r="S6" s="56"/>
      <c r="T6" s="55"/>
      <c r="U6" s="56"/>
      <c r="V6" s="55">
        <f>SUM('[10]PAGE 5'!$B$4)</f>
        <v>2</v>
      </c>
      <c r="W6" s="56">
        <f>SUM('[10]PAGE 5'!$P$4)</f>
        <v>48</v>
      </c>
      <c r="X6" s="55">
        <f>'[11]Page 6'!$B$7</f>
        <v>0</v>
      </c>
      <c r="Y6" s="56">
        <f>'[11]Page 6'!$L$7</f>
        <v>0</v>
      </c>
      <c r="Z6" s="55">
        <f>'[12]Page 6'!$B$7</f>
        <v>18</v>
      </c>
      <c r="AA6" s="56">
        <f>'[12]Page 6'!$L$7</f>
        <v>98</v>
      </c>
      <c r="AB6" s="55">
        <f>SUMIF($B$5:$AA$5,"Month",B6:AA6)</f>
        <v>202</v>
      </c>
      <c r="AC6" s="56">
        <f>SUMIF($B$5:$AA$5,"YTD",B6:AA6)</f>
        <v>2472</v>
      </c>
    </row>
    <row r="7" spans="1:29" s="1" customFormat="1">
      <c r="A7" s="331"/>
      <c r="B7" s="57">
        <f>INDEX('[4]Page 5'!$B:$O,MATCH(4400,'[4]Page 5'!$G:$G,0),3)</f>
        <v>391975</v>
      </c>
      <c r="C7" s="58">
        <f>INDEX('[4]Page 5'!$B:$O,MATCH(4400,'[4]Page 5'!$G:$G,0),11)</f>
        <v>7497562</v>
      </c>
      <c r="D7" s="57">
        <f>INDEX('[5]Page 5'!$B:$O,MATCH(4400,'[5]Page 5'!$G:$G,0),3)</f>
        <v>617695</v>
      </c>
      <c r="E7" s="58">
        <f>INDEX('[5]Page 5'!$B:$O,MATCH(4400,'[5]Page 5'!$G:$G,0),11)</f>
        <v>6016342</v>
      </c>
      <c r="F7" s="57">
        <f>INDEX('[6]Page 5'!$B:$O,MATCH(4400,'[6]Page 5'!$G:$G,0),3)</f>
        <v>105366</v>
      </c>
      <c r="G7" s="58">
        <f>INDEX('[6]Page 5'!$B:$O,MATCH(4400,'[6]Page 5'!$G:$G,0),11)</f>
        <v>5871691</v>
      </c>
      <c r="H7" s="57">
        <f>'[7]PAGE 4'!$C$27</f>
        <v>556981</v>
      </c>
      <c r="I7" s="58">
        <f>'[7]PAGE 4'!$M$27</f>
        <v>4394179</v>
      </c>
      <c r="J7" s="57">
        <f>'[8]PAGE 4'!$C$27</f>
        <v>334982</v>
      </c>
      <c r="K7" s="58">
        <f>'[8]PAGE 4'!$M$27</f>
        <v>4088829</v>
      </c>
      <c r="L7" s="57"/>
      <c r="M7" s="58"/>
      <c r="N7" s="57">
        <f>'[9]Page 6'!$C$7</f>
        <v>1330216</v>
      </c>
      <c r="O7" s="58">
        <f>'[9]Page 6'!$M$7</f>
        <v>12771055</v>
      </c>
      <c r="P7" s="57"/>
      <c r="Q7" s="58"/>
      <c r="R7" s="57"/>
      <c r="S7" s="58"/>
      <c r="T7" s="57"/>
      <c r="U7" s="58"/>
      <c r="V7" s="57">
        <f>SUM('[10]PAGE 5'!$C$4:$D$4)</f>
        <v>15724</v>
      </c>
      <c r="W7" s="58">
        <f>SUM('[10]PAGE 5'!$Q$4:$R$4)</f>
        <v>672454</v>
      </c>
      <c r="X7" s="57">
        <f>'[11]Page 6'!$C$7</f>
        <v>0</v>
      </c>
      <c r="Y7" s="58">
        <f>'[11]Page 6'!$M$7</f>
        <v>0</v>
      </c>
      <c r="Z7" s="57">
        <f>'[12]Page 6'!$C$7</f>
        <v>334873</v>
      </c>
      <c r="AA7" s="58">
        <f>'[12]Page 6'!$M$7</f>
        <v>1729008</v>
      </c>
      <c r="AB7" s="57">
        <f t="shared" ref="AB7:AB70" si="0">SUMIF($B$5:$AA$5,"Month",B7:AA7)</f>
        <v>3687812</v>
      </c>
      <c r="AC7" s="58">
        <f t="shared" ref="AC7:AC70" si="1">SUMIF($B$5:$AA$5,"YTD",B7:AA7)</f>
        <v>43041120</v>
      </c>
    </row>
    <row r="8" spans="1:29" s="1" customFormat="1">
      <c r="A8" s="331" t="s">
        <v>216</v>
      </c>
      <c r="B8" s="55">
        <f>INDEX('[4]Page 5'!$B:$O,MATCH(4405,'[4]Page 5'!$G:$G,0),2)</f>
        <v>26</v>
      </c>
      <c r="C8" s="56">
        <f>INDEX('[4]Page 5'!$B:$O,MATCH(4405,'[4]Page 5'!$G:$G,0),10)</f>
        <v>212</v>
      </c>
      <c r="D8" s="55">
        <f>INDEX('[5]Page 5'!$B:$O,MATCH(4405,'[5]Page 5'!$G:$G,0),2)</f>
        <v>9</v>
      </c>
      <c r="E8" s="56">
        <f>INDEX('[5]Page 5'!$B:$O,MATCH(4405,'[5]Page 5'!$G:$G,0),10)</f>
        <v>116</v>
      </c>
      <c r="F8" s="55">
        <f>INDEX('[6]Page 5'!$B:$O,MATCH(4405,'[6]Page 5'!$G:$G,0),2)</f>
        <v>38</v>
      </c>
      <c r="G8" s="56">
        <f>INDEX('[6]Page 5'!$B:$O,MATCH(4405,'[6]Page 5'!$G:$G,0),10)</f>
        <v>322</v>
      </c>
      <c r="H8" s="55">
        <f>'[7]PAGE 4'!$B$25</f>
        <v>1</v>
      </c>
      <c r="I8" s="56">
        <f>'[7]PAGE 4'!$L$25</f>
        <v>58</v>
      </c>
      <c r="J8" s="55">
        <f>'[8]PAGE 4'!$B$25</f>
        <v>0</v>
      </c>
      <c r="K8" s="56">
        <f>'[8]PAGE 4'!$L$25</f>
        <v>34</v>
      </c>
      <c r="L8" s="55"/>
      <c r="M8" s="56"/>
      <c r="N8" s="55">
        <f>'[9]Page 6'!$B$4</f>
        <v>0</v>
      </c>
      <c r="O8" s="56">
        <f>'[9]Page 6'!$L$4</f>
        <v>1</v>
      </c>
      <c r="P8" s="55"/>
      <c r="Q8" s="56"/>
      <c r="R8" s="55"/>
      <c r="S8" s="56"/>
      <c r="T8" s="55"/>
      <c r="U8" s="56"/>
      <c r="V8" s="55">
        <f>SUM('[10]PAGE 5'!$B$5)</f>
        <v>4</v>
      </c>
      <c r="W8" s="56">
        <f>SUM('[10]PAGE 5'!$P$5)</f>
        <v>15</v>
      </c>
      <c r="X8" s="55">
        <f>'[11]Page 6'!$B$4</f>
        <v>0</v>
      </c>
      <c r="Y8" s="56">
        <f>'[11]Page 6'!$L$4</f>
        <v>0</v>
      </c>
      <c r="Z8" s="55">
        <f>'[12]Page 6'!$B$4</f>
        <v>4</v>
      </c>
      <c r="AA8" s="56">
        <f>'[12]Page 6'!$L$4</f>
        <v>14</v>
      </c>
      <c r="AB8" s="55">
        <f t="shared" si="0"/>
        <v>82</v>
      </c>
      <c r="AC8" s="56">
        <f t="shared" si="1"/>
        <v>772</v>
      </c>
    </row>
    <row r="9" spans="1:29" s="1" customFormat="1">
      <c r="A9" s="331"/>
      <c r="B9" s="57">
        <f>INDEX('[4]Page 5'!$B:$O,MATCH(4405,'[4]Page 5'!$G:$G,0),3)</f>
        <v>429710</v>
      </c>
      <c r="C9" s="58">
        <f>INDEX('[4]Page 5'!$B:$O,MATCH(4405,'[4]Page 5'!$G:$G,0),11)</f>
        <v>3870494</v>
      </c>
      <c r="D9" s="57">
        <f>INDEX('[5]Page 5'!$B:$O,MATCH(4405,'[5]Page 5'!$G:$G,0),3)</f>
        <v>191076</v>
      </c>
      <c r="E9" s="58">
        <f>INDEX('[5]Page 5'!$B:$O,MATCH(4405,'[5]Page 5'!$G:$G,0),11)</f>
        <v>2392705</v>
      </c>
      <c r="F9" s="57">
        <f>INDEX('[6]Page 5'!$B:$O,MATCH(4405,'[6]Page 5'!$G:$G,0),3)</f>
        <v>659474</v>
      </c>
      <c r="G9" s="58">
        <f>INDEX('[6]Page 5'!$B:$O,MATCH(4405,'[6]Page 5'!$G:$G,0),11)</f>
        <v>5990537</v>
      </c>
      <c r="H9" s="57">
        <f>'[7]PAGE 4'!$C$25</f>
        <v>18750</v>
      </c>
      <c r="I9" s="58">
        <f>'[7]PAGE 4'!$M$25</f>
        <v>1164213</v>
      </c>
      <c r="J9" s="57">
        <f>'[8]PAGE 4'!$C$25</f>
        <v>0</v>
      </c>
      <c r="K9" s="58">
        <f>'[8]PAGE 4'!$M$25</f>
        <v>636214</v>
      </c>
      <c r="L9" s="57"/>
      <c r="M9" s="58"/>
      <c r="N9" s="57">
        <f>'[9]Page 6'!$C$4</f>
        <v>0</v>
      </c>
      <c r="O9" s="58">
        <f>'[9]Page 6'!$M$4</f>
        <v>26850</v>
      </c>
      <c r="P9" s="57"/>
      <c r="Q9" s="58"/>
      <c r="R9" s="57"/>
      <c r="S9" s="58"/>
      <c r="T9" s="57"/>
      <c r="U9" s="58"/>
      <c r="V9" s="57">
        <f>SUM('[10]PAGE 5'!$C$5:$D$5)</f>
        <v>57781</v>
      </c>
      <c r="W9" s="58">
        <f>SUM('[10]PAGE 5'!$Q$5:$R$5)</f>
        <v>251327</v>
      </c>
      <c r="X9" s="57">
        <f>'[11]Page 6'!$C$4</f>
        <v>0</v>
      </c>
      <c r="Y9" s="58">
        <f>'[11]Page 6'!$M$4</f>
        <v>0</v>
      </c>
      <c r="Z9" s="57">
        <f>'[12]Page 6'!$C$4</f>
        <v>68487</v>
      </c>
      <c r="AA9" s="58">
        <f>'[12]Page 6'!$M$4</f>
        <v>238030</v>
      </c>
      <c r="AB9" s="57">
        <f t="shared" si="0"/>
        <v>1425278</v>
      </c>
      <c r="AC9" s="58">
        <f t="shared" si="1"/>
        <v>14570370</v>
      </c>
    </row>
    <row r="10" spans="1:29" s="1" customFormat="1">
      <c r="A10" s="331" t="s">
        <v>217</v>
      </c>
      <c r="B10" s="55">
        <f>INDEX('[4]Page 5'!$B:$O,MATCH(4410,'[4]Page 5'!$G:$G,0),2)</f>
        <v>39</v>
      </c>
      <c r="C10" s="56">
        <f>INDEX('[4]Page 5'!$B:$O,MATCH(4410,'[4]Page 5'!$G:$G,0),10)</f>
        <v>412</v>
      </c>
      <c r="D10" s="55">
        <f>INDEX('[5]Page 5'!$B:$O,MATCH(4410,'[5]Page 5'!$G:$G,0),2)</f>
        <v>37</v>
      </c>
      <c r="E10" s="56">
        <f>INDEX('[5]Page 5'!$B:$O,MATCH(4410,'[5]Page 5'!$G:$G,0),10)</f>
        <v>464</v>
      </c>
      <c r="F10" s="55">
        <f>INDEX('[6]Page 5'!$B:$O,MATCH(4410,'[6]Page 5'!$G:$G,0),2)</f>
        <v>55</v>
      </c>
      <c r="G10" s="56">
        <f>INDEX('[6]Page 5'!$B:$O,MATCH(4410,'[6]Page 5'!$G:$G,0),10)</f>
        <v>702</v>
      </c>
      <c r="H10" s="55">
        <f>'[7]PAGE 4'!$B$29</f>
        <v>43</v>
      </c>
      <c r="I10" s="56">
        <f>'[7]PAGE 4'!$L$29</f>
        <v>540</v>
      </c>
      <c r="J10" s="55">
        <f>'[8]PAGE 4'!$B$29</f>
        <v>36</v>
      </c>
      <c r="K10" s="56">
        <f>'[8]PAGE 4'!$L$29</f>
        <v>428</v>
      </c>
      <c r="L10" s="55"/>
      <c r="M10" s="56"/>
      <c r="N10" s="55">
        <f>'[9]Page 6'!$B$11</f>
        <v>59</v>
      </c>
      <c r="O10" s="56">
        <f>'[9]Page 6'!$L$11</f>
        <v>645</v>
      </c>
      <c r="P10" s="55"/>
      <c r="Q10" s="56"/>
      <c r="R10" s="55"/>
      <c r="S10" s="56"/>
      <c r="T10" s="55"/>
      <c r="U10" s="56"/>
      <c r="V10" s="55">
        <f>SUM('[10]PAGE 5'!$B$7)</f>
        <v>34</v>
      </c>
      <c r="W10" s="56">
        <f>SUM('[10]PAGE 5'!$P$7)</f>
        <v>193</v>
      </c>
      <c r="X10" s="55">
        <f>'[11]Page 6'!$B$11</f>
        <v>88</v>
      </c>
      <c r="Y10" s="56">
        <f>'[11]Page 6'!$L$11</f>
        <v>496</v>
      </c>
      <c r="Z10" s="55">
        <f>'[12]Page 6'!$B$11</f>
        <v>17</v>
      </c>
      <c r="AA10" s="56">
        <f>'[12]Page 6'!$L$11</f>
        <v>61</v>
      </c>
      <c r="AB10" s="55">
        <f t="shared" si="0"/>
        <v>408</v>
      </c>
      <c r="AC10" s="56">
        <f t="shared" si="1"/>
        <v>3941</v>
      </c>
    </row>
    <row r="11" spans="1:29" s="1" customFormat="1">
      <c r="A11" s="331"/>
      <c r="B11" s="57">
        <f>INDEX('[4]Page 5'!$B:$O,MATCH(4410,'[4]Page 5'!$G:$G,0),3)</f>
        <v>739322</v>
      </c>
      <c r="C11" s="58">
        <f>INDEX('[4]Page 5'!$B:$O,MATCH(4410,'[4]Page 5'!$G:$G,0),11)</f>
        <v>7459566</v>
      </c>
      <c r="D11" s="57">
        <f>INDEX('[5]Page 5'!$B:$O,MATCH(4410,'[5]Page 5'!$G:$G,0),3)</f>
        <v>709621</v>
      </c>
      <c r="E11" s="58">
        <f>INDEX('[5]Page 5'!$B:$O,MATCH(4410,'[5]Page 5'!$G:$G,0),11)</f>
        <v>8153752</v>
      </c>
      <c r="F11" s="57">
        <f>INDEX('[6]Page 5'!$B:$O,MATCH(4410,'[6]Page 5'!$G:$G,0),3)</f>
        <v>1013164</v>
      </c>
      <c r="G11" s="58">
        <f>INDEX('[6]Page 5'!$B:$O,MATCH(4410,'[6]Page 5'!$G:$G,0),11)</f>
        <v>11970039</v>
      </c>
      <c r="H11" s="57">
        <f>'[7]PAGE 4'!$C$29+'[7]PAGE 4'!$C$32</f>
        <v>1043103</v>
      </c>
      <c r="I11" s="58">
        <f>'[7]PAGE 4'!$M$29+'[7]PAGE 4'!$M$32</f>
        <v>13430245</v>
      </c>
      <c r="J11" s="57">
        <f>'[8]PAGE 4'!$C$29+'[8]PAGE 4'!$C$32</f>
        <v>832718</v>
      </c>
      <c r="K11" s="58">
        <f>'[8]PAGE 4'!$M$29+'[8]PAGE 4'!$M$32</f>
        <v>9275398</v>
      </c>
      <c r="L11" s="57"/>
      <c r="M11" s="58"/>
      <c r="N11" s="57">
        <f>'[9]Page 6'!$C$11+'[9]Page 6'!$C$17</f>
        <v>2295527</v>
      </c>
      <c r="O11" s="58">
        <f>'[9]Page 6'!$M$11+'[9]Page 6'!$M$17</f>
        <v>20781493</v>
      </c>
      <c r="P11" s="57"/>
      <c r="Q11" s="58"/>
      <c r="R11" s="57"/>
      <c r="S11" s="58"/>
      <c r="T11" s="57"/>
      <c r="U11" s="58"/>
      <c r="V11" s="57">
        <f>SUM('[10]PAGE 5'!$C$7:$D$7)</f>
        <v>527214</v>
      </c>
      <c r="W11" s="58">
        <f>SUM('[10]PAGE 5'!$Q$7:$R$7)</f>
        <v>2916662</v>
      </c>
      <c r="X11" s="57">
        <f>'[11]Page 6'!$C$11+'[11]Page 6'!$C$17</f>
        <v>1762739</v>
      </c>
      <c r="Y11" s="58">
        <f>'[11]Page 6'!$M$11+'[11]Page 6'!$M$17</f>
        <v>9990140</v>
      </c>
      <c r="Z11" s="57">
        <f>'[12]Page 6'!$C$11+'[12]Page 6'!$C$17</f>
        <v>426031</v>
      </c>
      <c r="AA11" s="58">
        <f>'[12]Page 6'!$M$11+'[12]Page 6'!$M$17</f>
        <v>1618805</v>
      </c>
      <c r="AB11" s="57">
        <f t="shared" si="0"/>
        <v>9349439</v>
      </c>
      <c r="AC11" s="58">
        <f t="shared" si="1"/>
        <v>85596100</v>
      </c>
    </row>
    <row r="12" spans="1:29" s="1" customFormat="1">
      <c r="A12" s="330" t="s">
        <v>229</v>
      </c>
      <c r="B12" s="51">
        <f t="shared" ref="B12:C12" si="2">B6+B8+B10</f>
        <v>89</v>
      </c>
      <c r="C12" s="53">
        <f t="shared" si="2"/>
        <v>1094</v>
      </c>
      <c r="D12" s="51">
        <f t="shared" ref="D12:E12" si="3">D6+D8+D10</f>
        <v>81</v>
      </c>
      <c r="E12" s="53">
        <f t="shared" si="3"/>
        <v>952</v>
      </c>
      <c r="F12" s="51">
        <f t="shared" ref="F12:G12" si="4">F6+F8+F10</f>
        <v>102</v>
      </c>
      <c r="G12" s="53">
        <f t="shared" si="4"/>
        <v>1403</v>
      </c>
      <c r="H12" s="51">
        <f t="shared" ref="H12:O12" si="5">H6+H8+H10</f>
        <v>79</v>
      </c>
      <c r="I12" s="53">
        <f t="shared" si="5"/>
        <v>876</v>
      </c>
      <c r="J12" s="51">
        <f t="shared" si="5"/>
        <v>56</v>
      </c>
      <c r="K12" s="53">
        <f t="shared" si="5"/>
        <v>717</v>
      </c>
      <c r="L12" s="51"/>
      <c r="M12" s="53"/>
      <c r="N12" s="51">
        <f t="shared" si="5"/>
        <v>118</v>
      </c>
      <c r="O12" s="53">
        <f t="shared" si="5"/>
        <v>1218</v>
      </c>
      <c r="P12" s="51">
        <f>'[2]PAGE 4'!$U$13</f>
        <v>63</v>
      </c>
      <c r="Q12" s="53">
        <f>'[2]PAGE 4'!$BA$13</f>
        <v>797</v>
      </c>
      <c r="R12" s="51">
        <f>[3]P4!$R$25</f>
        <v>57</v>
      </c>
      <c r="S12" s="53">
        <f>[3]P4!$BB$25</f>
        <v>956</v>
      </c>
      <c r="T12" s="51">
        <f>[13]P4!$R$25</f>
        <v>48</v>
      </c>
      <c r="U12" s="53">
        <f>[13]P4!$BB$25</f>
        <v>809</v>
      </c>
      <c r="V12" s="51">
        <f>V6+V8+V10</f>
        <v>40</v>
      </c>
      <c r="W12" s="53">
        <f>W6+W8+W10</f>
        <v>256</v>
      </c>
      <c r="X12" s="51">
        <f t="shared" ref="X12:AA12" si="6">X6+X8+X10</f>
        <v>88</v>
      </c>
      <c r="Y12" s="53">
        <f t="shared" si="6"/>
        <v>496</v>
      </c>
      <c r="Z12" s="51">
        <f t="shared" si="6"/>
        <v>39</v>
      </c>
      <c r="AA12" s="53">
        <f t="shared" si="6"/>
        <v>173</v>
      </c>
      <c r="AB12" s="51">
        <f t="shared" si="0"/>
        <v>860</v>
      </c>
      <c r="AC12" s="53">
        <f t="shared" si="1"/>
        <v>9747</v>
      </c>
    </row>
    <row r="13" spans="1:29">
      <c r="A13" s="330"/>
      <c r="B13" s="24">
        <f t="shared" ref="B13:C13" si="7">SUM(B7+B9+B11)</f>
        <v>1561007</v>
      </c>
      <c r="C13" s="25">
        <f t="shared" si="7"/>
        <v>18827622</v>
      </c>
      <c r="D13" s="24">
        <f t="shared" ref="D13:E13" si="8">SUM(D7+D9+D11)</f>
        <v>1518392</v>
      </c>
      <c r="E13" s="25">
        <f t="shared" si="8"/>
        <v>16562799</v>
      </c>
      <c r="F13" s="24">
        <f t="shared" ref="F13:G13" si="9">SUM(F7+F9+F11)</f>
        <v>1778004</v>
      </c>
      <c r="G13" s="25">
        <f t="shared" si="9"/>
        <v>23832267</v>
      </c>
      <c r="H13" s="24">
        <f t="shared" ref="H13:O13" si="10">SUM(H7+H9+H11)</f>
        <v>1618834</v>
      </c>
      <c r="I13" s="25">
        <f t="shared" si="10"/>
        <v>18988637</v>
      </c>
      <c r="J13" s="24">
        <f t="shared" si="10"/>
        <v>1167700</v>
      </c>
      <c r="K13" s="25">
        <f t="shared" si="10"/>
        <v>14000441</v>
      </c>
      <c r="L13" s="24"/>
      <c r="M13" s="25"/>
      <c r="N13" s="24">
        <f t="shared" si="10"/>
        <v>3625743</v>
      </c>
      <c r="O13" s="25">
        <f t="shared" si="10"/>
        <v>33579398</v>
      </c>
      <c r="P13" s="24">
        <f>'[2]PAGE 4'!$C$20</f>
        <v>1992734</v>
      </c>
      <c r="Q13" s="25">
        <f>'[2]PAGE 4'!$BK$20</f>
        <v>21041015</v>
      </c>
      <c r="R13" s="24">
        <f>[3]P4!$E$21</f>
        <v>955937</v>
      </c>
      <c r="S13" s="25">
        <f>[3]P4!$BO$21</f>
        <v>15232808</v>
      </c>
      <c r="T13" s="24">
        <f>[13]P4!$E$25</f>
        <v>814484</v>
      </c>
      <c r="U13" s="25">
        <f>[13]P4!$BO$25</f>
        <v>13524078</v>
      </c>
      <c r="V13" s="24">
        <f>V7+V9+V11</f>
        <v>600719</v>
      </c>
      <c r="W13" s="25">
        <f>W7+W9+W11</f>
        <v>3840443</v>
      </c>
      <c r="X13" s="24">
        <f t="shared" ref="X13:AA13" si="11">SUM(X7+X9+X11)</f>
        <v>1762739</v>
      </c>
      <c r="Y13" s="25">
        <f t="shared" si="11"/>
        <v>9990140</v>
      </c>
      <c r="Z13" s="24">
        <f t="shared" si="11"/>
        <v>829391</v>
      </c>
      <c r="AA13" s="25">
        <f t="shared" si="11"/>
        <v>3585843</v>
      </c>
      <c r="AB13" s="24">
        <f t="shared" si="0"/>
        <v>18225684</v>
      </c>
      <c r="AC13" s="25">
        <f t="shared" si="1"/>
        <v>193005491</v>
      </c>
    </row>
    <row r="14" spans="1:29">
      <c r="A14" s="48" t="s">
        <v>230</v>
      </c>
      <c r="B14" s="16">
        <f>INDEX('[4]Page 5'!$B:$O,MATCH("total used vehicle sales",'[4]Page 5'!$G:$G,0),4)+'[4]Page 2'!$BW$63</f>
        <v>70634</v>
      </c>
      <c r="C14" s="17">
        <f>INDEX('[4]Page 5'!$B:$O,MATCH("total used vehicle sales",'[4]Page 5'!$G:$G,0),12)+'[4]Page 2'!$CR$63</f>
        <v>1309692</v>
      </c>
      <c r="D14" s="16">
        <f>INDEX('[5]Page 5'!$B:$O,MATCH("total used vehicle sales",'[5]Page 5'!$G:$G,0),4)+'[5]Page 2'!$BW$63</f>
        <v>80368</v>
      </c>
      <c r="E14" s="17">
        <f>INDEX('[5]Page 5'!$B:$O,MATCH("total used vehicle sales",'[5]Page 5'!$G:$G,0),12)+'[5]Page 2'!$CR$63</f>
        <v>640590</v>
      </c>
      <c r="F14" s="16">
        <f>INDEX('[6]Page 5'!$B:$O,MATCH("total used vehicle sales",'[6]Page 5'!$G:$G,0),4)</f>
        <v>132253</v>
      </c>
      <c r="G14" s="17">
        <f>INDEX('[6]Page 5'!$B:$O,MATCH("total used vehicle sales",'[6]Page 5'!$G:$G,0),12)</f>
        <v>1637729</v>
      </c>
      <c r="H14" s="16">
        <f>'[7]PAGE 4'!$D$34</f>
        <v>105352</v>
      </c>
      <c r="I14" s="17">
        <f>'[7]PAGE 4'!$N$34</f>
        <v>1060010</v>
      </c>
      <c r="J14" s="16">
        <f>'[8]PAGE 4'!$D$34</f>
        <v>71329</v>
      </c>
      <c r="K14" s="17">
        <f>'[8]PAGE 4'!$N$34</f>
        <v>865279</v>
      </c>
      <c r="L14" s="16"/>
      <c r="M14" s="17"/>
      <c r="N14" s="16">
        <f>'[9]Page 6'!$E$13+'[9]Page 6'!$E$17</f>
        <v>108055</v>
      </c>
      <c r="O14" s="17">
        <f>'[9]Page 6'!$O$13+'[9]Page 6'!$O$17</f>
        <v>1173498</v>
      </c>
      <c r="P14" s="16">
        <f>'[2]PAGE 4'!$M$20</f>
        <v>119875</v>
      </c>
      <c r="Q14" s="17">
        <f>'[2]PAGE 4'!$BV$20</f>
        <v>1511259</v>
      </c>
      <c r="R14" s="16">
        <f>[3]P4!$K$25+R26</f>
        <v>101434</v>
      </c>
      <c r="S14" s="17">
        <f>[3]P4!$BX$25+S26</f>
        <v>1215537</v>
      </c>
      <c r="T14" s="16">
        <f>[13]P4!$K$39</f>
        <v>60576</v>
      </c>
      <c r="U14" s="17">
        <f>[13]P4!$BX$39</f>
        <v>604696</v>
      </c>
      <c r="V14" s="16">
        <f>SUM('[10]PAGE 5'!$E$8:$F$8,'[10]PAGE 5'!$E$9:$F$9,'[10]PAGE 5'!$E$10:$F$10)</f>
        <v>3045</v>
      </c>
      <c r="W14" s="17">
        <f>SUM('[10]PAGE 5'!$S$8:$T$8,'[10]PAGE 5'!$S$9:$T$9,'[10]PAGE 5'!$S$10:$T$10)</f>
        <v>100967</v>
      </c>
      <c r="X14" s="16">
        <f>'[11]Page 6'!$E$13+'[11]Page 6'!$E$17</f>
        <v>79460</v>
      </c>
      <c r="Y14" s="17">
        <f>'[11]Page 6'!$O$13+'[11]Page 6'!$O$17</f>
        <v>464587</v>
      </c>
      <c r="Z14" s="16">
        <f>'[12]Page 6'!$E$13+'[12]Page 6'!$E$17</f>
        <v>59873</v>
      </c>
      <c r="AA14" s="17">
        <f>'[12]Page 6'!$O$13+'[12]Page 6'!$O$17</f>
        <v>207719</v>
      </c>
      <c r="AB14" s="16">
        <f t="shared" si="0"/>
        <v>992254</v>
      </c>
      <c r="AC14" s="17">
        <f t="shared" si="1"/>
        <v>10791563</v>
      </c>
    </row>
    <row r="15" spans="1:29">
      <c r="A15" s="4"/>
      <c r="B15" s="22"/>
      <c r="C15" s="23"/>
      <c r="D15" s="22"/>
      <c r="E15" s="23"/>
      <c r="F15" s="22"/>
      <c r="G15" s="23"/>
      <c r="H15" s="22"/>
      <c r="I15" s="23"/>
      <c r="J15" s="22"/>
      <c r="K15" s="23"/>
      <c r="L15" s="22"/>
      <c r="M15" s="23"/>
      <c r="N15" s="22"/>
      <c r="O15" s="23"/>
      <c r="P15" s="22"/>
      <c r="Q15" s="23"/>
      <c r="R15" s="22"/>
      <c r="S15" s="23"/>
      <c r="T15" s="22"/>
      <c r="U15" s="23"/>
      <c r="V15" s="22"/>
      <c r="W15" s="23"/>
      <c r="X15" s="22"/>
      <c r="Y15" s="23"/>
      <c r="Z15" s="22"/>
      <c r="AA15" s="23"/>
      <c r="AB15" s="22">
        <f t="shared" si="0"/>
        <v>0</v>
      </c>
      <c r="AC15" s="23">
        <f t="shared" si="1"/>
        <v>0</v>
      </c>
    </row>
    <row r="16" spans="1:29">
      <c r="A16" s="50" t="s">
        <v>222</v>
      </c>
      <c r="B16" s="47">
        <f>INDEX('[4]Page 5'!$B:$O,MATCH(6440,'[4]Page 5'!$G:$G,0),4)+INDEX('[4]Page 5'!$B:$O,MATCH(6460,'[4]Page 5'!$G:$G,0),4)</f>
        <v>46420</v>
      </c>
      <c r="C16" s="13">
        <f>INDEX('[4]Page 5'!$B:$O,MATCH(6440,'[4]Page 5'!$G:$G,0),12)+INDEX('[4]Page 5'!$B:$O,MATCH(6460,'[4]Page 5'!$G:$G,0),12)</f>
        <v>546460</v>
      </c>
      <c r="D16" s="47">
        <f>INDEX('[5]Page 5'!$B:$O,MATCH(6440,'[5]Page 5'!$G:$G,0),4)+INDEX('[5]Page 5'!$B:$O,MATCH(6460,'[5]Page 5'!$G:$G,0),4)</f>
        <v>26974</v>
      </c>
      <c r="E16" s="13">
        <f>INDEX('[5]Page 5'!$B:$O,MATCH(6440,'[5]Page 5'!$G:$G,0),12)+INDEX('[5]Page 5'!$B:$O,MATCH(6460,'[5]Page 5'!$G:$G,0),12)</f>
        <v>376572</v>
      </c>
      <c r="F16" s="47">
        <f>INDEX('[6]Page 5'!$B:$O,MATCH(6440,'[6]Page 5'!$G:$G,0),4)+INDEX('[6]Page 5'!$B:$O,MATCH(6460,'[6]Page 5'!$G:$G,0),4)</f>
        <v>39327</v>
      </c>
      <c r="G16" s="13">
        <f>INDEX('[6]Page 5'!$B:$O,MATCH(6440,'[6]Page 5'!$G:$G,0),12)+INDEX('[6]Page 5'!$B:$O,MATCH(6460,'[6]Page 5'!$G:$G,0),12)</f>
        <v>525093</v>
      </c>
      <c r="H16" s="47">
        <f>'[7]PAGE 3'!$I8+'[7]PAGE 3'!$I9</f>
        <v>18586</v>
      </c>
      <c r="I16" s="13">
        <f>'[7]PAGE 3'!$K8+'[7]PAGE 3'!$K9</f>
        <v>286663</v>
      </c>
      <c r="J16" s="47">
        <f>'[8]PAGE 3'!$I8+'[8]PAGE 3'!$I9</f>
        <v>14755</v>
      </c>
      <c r="K16" s="13">
        <f>'[8]PAGE 3'!$K8+'[8]PAGE 3'!$K9</f>
        <v>216973</v>
      </c>
      <c r="L16" s="47"/>
      <c r="M16" s="13"/>
      <c r="N16" s="47">
        <f>'[9]Page 5'!$D26+'[9]Page 5'!$D28+'[9]Page 5'!$M26+'[9]Page 5'!$M28</f>
        <v>46697</v>
      </c>
      <c r="O16" s="13">
        <f>'[9]Page 5'!$G26+'[9]Page 5'!$G28+'[9]Page 5'!$P26+'[9]Page 5'!$P28</f>
        <v>479616</v>
      </c>
      <c r="P16" s="47">
        <f>'[2]PAGE 4'!$BQ$26+'[2]PAGE 4'!$BQ$28</f>
        <v>34935</v>
      </c>
      <c r="Q16" s="13">
        <f>'[2]PAGE 4'!$BX$26+'[2]PAGE 4'!$BX$28</f>
        <v>390241</v>
      </c>
      <c r="R16" s="47">
        <f>SUM([3]P4!$BU$51,[3]P4!$BU$55:$BU$55)</f>
        <v>28186</v>
      </c>
      <c r="S16" s="13">
        <f>[3]P4!$CA$51+[3]P4!$CA$55</f>
        <v>455149</v>
      </c>
      <c r="T16" s="47">
        <f>SUM([13]P4!$BU$51,[13]P4!$BU$55)</f>
        <v>12847</v>
      </c>
      <c r="U16" s="13">
        <f>[13]P4!$CA$51+[13]P4!$CA$55</f>
        <v>374909</v>
      </c>
      <c r="V16" s="47">
        <f>SUM('[10]PAGE 5'!$E$13:$F$13)</f>
        <v>12255</v>
      </c>
      <c r="W16" s="13">
        <f>SUM('[10]PAGE 5'!$S$13:$T$13)</f>
        <v>94724</v>
      </c>
      <c r="X16" s="47">
        <f>'[11]Page 5'!$D26+'[11]Page 5'!$D28+'[11]Page 5'!$M26+'[11]Page 5'!$M28</f>
        <v>41476</v>
      </c>
      <c r="Y16" s="13">
        <f>'[11]Page 5'!$G26+'[11]Page 5'!$G28+'[11]Page 5'!$P26+'[11]Page 5'!$P28</f>
        <v>257811</v>
      </c>
      <c r="Z16" s="47">
        <f>'[12]Page 5'!$D26+'[12]Page 5'!$D28+'[12]Page 5'!$M26+'[12]Page 5'!$M28</f>
        <v>10420</v>
      </c>
      <c r="AA16" s="13">
        <f>'[12]Page 5'!$G26+'[12]Page 5'!$G28+'[12]Page 5'!$P26+'[12]Page 5'!$P28</f>
        <v>81584</v>
      </c>
      <c r="AB16" s="47">
        <f t="shared" si="0"/>
        <v>332878</v>
      </c>
      <c r="AC16" s="13">
        <f t="shared" si="1"/>
        <v>4085795</v>
      </c>
    </row>
    <row r="17" spans="1:29">
      <c r="A17" s="50" t="s">
        <v>223</v>
      </c>
      <c r="B17" s="47">
        <f>INDEX('[4]Page 5'!$B:$O,MATCH(4480,'[4]Page 5'!$G:$G,0),4)+INDEX('[4]Page 5'!$B:$O,MATCH(4485,'[4]Page 5'!$G:$G,0),4)+INDEX('[4]Page 5'!$B:$O,MATCH(4487,'[4]Page 5'!$G:$G,0),4)+INDEX('[4]Page 5'!$B:$O,MATCH(4482,'[4]Page 5'!$G:$G,0),4)</f>
        <v>38531</v>
      </c>
      <c r="C17" s="13">
        <f>INDEX('[4]Page 5'!$B:$O,MATCH(4480,'[4]Page 5'!$G:$G,0),12)+INDEX('[4]Page 5'!$B:$O,MATCH(4485,'[4]Page 5'!$G:$G,0),12)+INDEX('[4]Page 5'!$B:$O,MATCH(4487,'[4]Page 5'!$G:$G,0),12)+INDEX('[4]Page 5'!$B:$O,MATCH(4482,'[4]Page 5'!$G:$G,0),12)</f>
        <v>411071</v>
      </c>
      <c r="D17" s="47">
        <f>INDEX('[5]Page 5'!$B:$O,MATCH(4480,'[5]Page 5'!$G:$G,0),4)+INDEX('[5]Page 5'!$B:$O,MATCH(4485,'[5]Page 5'!$G:$G,0),4)+INDEX('[5]Page 5'!$B:$O,MATCH(4487,'[5]Page 5'!$G:$G,0),4)+INDEX('[5]Page 5'!$B:$O,MATCH(4482,'[5]Page 5'!$G:$G,0),4)</f>
        <v>51240</v>
      </c>
      <c r="E17" s="13">
        <f>INDEX('[5]Page 5'!$B:$O,MATCH(4480,'[5]Page 5'!$G:$G,0),12)+INDEX('[5]Page 5'!$B:$O,MATCH(4485,'[5]Page 5'!$G:$G,0),12)+INDEX('[5]Page 5'!$B:$O,MATCH(4487,'[5]Page 5'!$G:$G,0),12)+INDEX('[5]Page 5'!$B:$O,MATCH(4482,'[5]Page 5'!$G:$G,0),12)</f>
        <v>428663</v>
      </c>
      <c r="F17" s="47">
        <f>INDEX('[6]Page 5'!$B:$O,MATCH(4480,'[6]Page 5'!$G:$G,0),4)+INDEX('[6]Page 5'!$B:$O,MATCH(4485,'[6]Page 5'!$G:$G,0),4)+INDEX('[6]Page 5'!$B:$O,MATCH(4487,'[6]Page 5'!$G:$G,0),4)+INDEX('[6]Page 5'!$B:$O,MATCH(4482,'[6]Page 5'!$G:$G,0),4)</f>
        <v>31638</v>
      </c>
      <c r="G17" s="13">
        <f>INDEX('[6]Page 5'!$B:$O,MATCH(4480,'[6]Page 5'!$G:$G,0),12)+INDEX('[6]Page 5'!$B:$O,MATCH(4485,'[6]Page 5'!$G:$G,0),12)+INDEX('[6]Page 5'!$B:$O,MATCH(4487,'[6]Page 5'!$G:$G,0),12)+INDEX('[6]Page 5'!$B:$O,MATCH(4482,'[6]Page 5'!$G:$G,0),12)</f>
        <v>487561</v>
      </c>
      <c r="H17" s="47">
        <f>'[7]PAGE 3'!$I10</f>
        <v>36688</v>
      </c>
      <c r="I17" s="13">
        <f>'[7]PAGE 3'!$K10</f>
        <v>500870</v>
      </c>
      <c r="J17" s="47">
        <f>'[8]PAGE 3'!$I10</f>
        <v>43418</v>
      </c>
      <c r="K17" s="13">
        <f>'[8]PAGE 3'!$K10</f>
        <v>456135</v>
      </c>
      <c r="L17" s="47"/>
      <c r="M17" s="13"/>
      <c r="N17" s="47">
        <f>'[9]Page 5'!$D22+'[9]Page 5'!$M22</f>
        <v>47187</v>
      </c>
      <c r="O17" s="13">
        <f>'[9]Page 5'!$G22+'[9]Page 5'!$P22</f>
        <v>655220</v>
      </c>
      <c r="P17" s="47">
        <f>'[2]PAGE 4'!$BQ$31</f>
        <v>32516</v>
      </c>
      <c r="Q17" s="13">
        <f>'[2]PAGE 4'!$BX$31</f>
        <v>339911</v>
      </c>
      <c r="R17" s="47">
        <f>[3]P4!$BU$61</f>
        <v>27626</v>
      </c>
      <c r="S17" s="13">
        <f>[3]P4!$CA$61</f>
        <v>311805</v>
      </c>
      <c r="T17" s="47">
        <f>[13]P4!$BU$61</f>
        <v>10303</v>
      </c>
      <c r="U17" s="13">
        <f>[13]P4!$CA$61</f>
        <v>233624</v>
      </c>
      <c r="V17" s="47">
        <f>SUM('[10]PAGE 5'!$E$17:$F$17)</f>
        <v>7977</v>
      </c>
      <c r="W17" s="13">
        <f>SUM('[10]PAGE 5'!$S$17:$T$17)</f>
        <v>59166</v>
      </c>
      <c r="X17" s="47">
        <f>'[11]Page 5'!$D22+'[11]Page 5'!$M22</f>
        <v>27869</v>
      </c>
      <c r="Y17" s="13">
        <f>'[11]Page 5'!$G22+'[11]Page 5'!$P22</f>
        <v>209088</v>
      </c>
      <c r="Z17" s="47">
        <f>'[12]Page 5'!$D22+'[12]Page 5'!$M22</f>
        <v>6217</v>
      </c>
      <c r="AA17" s="13">
        <f>'[12]Page 5'!$G22+'[12]Page 5'!$P22</f>
        <v>64436</v>
      </c>
      <c r="AB17" s="47">
        <f t="shared" si="0"/>
        <v>361210</v>
      </c>
      <c r="AC17" s="13">
        <f t="shared" si="1"/>
        <v>4157550</v>
      </c>
    </row>
    <row r="18" spans="1:29">
      <c r="A18" s="50" t="s">
        <v>224</v>
      </c>
      <c r="B18" s="47">
        <f>INDEX('[4]Page 5'!$B:$O,MATCH(4481,'[4]Page 5'!$G:$G,0),4)+INDEX('[4]Page 5'!$B:$O,MATCH(4489,'[4]Page 5'!$G:$G,0),4)</f>
        <v>0</v>
      </c>
      <c r="C18" s="13">
        <f>INDEX('[4]Page 5'!$B:$O,MATCH(4481,'[4]Page 5'!$G:$G,0),12)+INDEX('[4]Page 5'!$B:$O,MATCH(4489,'[4]Page 5'!$G:$G,0),12)</f>
        <v>8112</v>
      </c>
      <c r="D18" s="47">
        <f>INDEX('[5]Page 5'!$B:$O,MATCH(4481,'[5]Page 5'!$G:$G,0),4)+INDEX('[5]Page 5'!$B:$O,MATCH(4489,'[5]Page 5'!$G:$G,0),4)</f>
        <v>0</v>
      </c>
      <c r="E18" s="13">
        <f>INDEX('[5]Page 5'!$B:$O,MATCH(4481,'[5]Page 5'!$G:$G,0),12)+INDEX('[5]Page 5'!$B:$O,MATCH(4489,'[5]Page 5'!$G:$G,0),12)</f>
        <v>0</v>
      </c>
      <c r="F18" s="47">
        <f>INDEX('[6]Page 5'!$B:$O,MATCH(4481,'[6]Page 5'!$G:$G,0),4)+INDEX('[6]Page 5'!$B:$O,MATCH(4489,'[6]Page 5'!$G:$G,0),4)</f>
        <v>1199</v>
      </c>
      <c r="G18" s="13">
        <f>INDEX('[6]Page 5'!$B:$O,MATCH(4481,'[6]Page 5'!$G:$G,0),12)+INDEX('[6]Page 5'!$B:$O,MATCH(4489,'[6]Page 5'!$G:$G,0),12)</f>
        <v>23042</v>
      </c>
      <c r="H18" s="47"/>
      <c r="I18" s="13"/>
      <c r="J18" s="47"/>
      <c r="K18" s="13"/>
      <c r="L18" s="47"/>
      <c r="M18" s="13"/>
      <c r="N18" s="47">
        <f>'[9]Page 5'!$D24+'[9]Page 5'!$M24</f>
        <v>6969</v>
      </c>
      <c r="O18" s="13">
        <f>'[9]Page 5'!$G24+'[9]Page 5'!$P24</f>
        <v>90318</v>
      </c>
      <c r="P18" s="47"/>
      <c r="Q18" s="13"/>
      <c r="R18" s="47"/>
      <c r="S18" s="13"/>
      <c r="T18" s="47"/>
      <c r="U18" s="13"/>
      <c r="V18" s="47">
        <f>SUM('[10]PAGE 5'!$E$16:$F$16)</f>
        <v>0</v>
      </c>
      <c r="W18" s="13">
        <f>SUM('[10]PAGE 5'!$S$16:$T$16)</f>
        <v>0</v>
      </c>
      <c r="X18" s="47">
        <f>'[11]Page 5'!$D24+'[11]Page 5'!$M24</f>
        <v>0</v>
      </c>
      <c r="Y18" s="13">
        <f>'[11]Page 5'!$G24+'[11]Page 5'!$P24</f>
        <v>0</v>
      </c>
      <c r="Z18" s="47">
        <f>'[12]Page 5'!$D24+'[12]Page 5'!$M24</f>
        <v>200</v>
      </c>
      <c r="AA18" s="13">
        <f>'[12]Page 5'!$G24+'[12]Page 5'!$P24</f>
        <v>200</v>
      </c>
      <c r="AB18" s="47">
        <f t="shared" si="0"/>
        <v>8368</v>
      </c>
      <c r="AC18" s="13">
        <f t="shared" si="1"/>
        <v>121672</v>
      </c>
    </row>
    <row r="19" spans="1:29">
      <c r="A19" s="50" t="s">
        <v>225</v>
      </c>
      <c r="B19" s="47">
        <f>INDEX('[4]Page 5'!$B:$O,MATCH(4445,'[4]Page 5'!$G:$G,0),4)+INDEX('[4]Page 5'!$B:$O,MATCH(4465,'[4]Page 5'!$G:$G,0),4)</f>
        <v>15669</v>
      </c>
      <c r="C19" s="13">
        <f>INDEX('[4]Page 5'!$B:$O,MATCH(4445,'[4]Page 5'!$G:$G,0),12)+INDEX('[4]Page 5'!$B:$O,MATCH(4465,'[4]Page 5'!$G:$G,0),12)</f>
        <v>213560</v>
      </c>
      <c r="D19" s="47">
        <f>INDEX('[5]Page 5'!$B:$O,MATCH(4445,'[5]Page 5'!$G:$G,0),4)+INDEX('[5]Page 5'!$B:$O,MATCH(4465,'[5]Page 5'!$G:$G,0),4)</f>
        <v>4996</v>
      </c>
      <c r="E19" s="13">
        <f>INDEX('[5]Page 5'!$B:$O,MATCH(4445,'[5]Page 5'!$G:$G,0),12)+INDEX('[5]Page 5'!$B:$O,MATCH(4465,'[5]Page 5'!$G:$G,0),12)</f>
        <v>91830</v>
      </c>
      <c r="F19" s="47">
        <f>INDEX('[6]Page 5'!$B:$O,MATCH(4445,'[6]Page 5'!$G:$G,0),4)+INDEX('[6]Page 5'!$B:$O,MATCH(4465,'[6]Page 5'!$G:$G,0),4)</f>
        <v>9804</v>
      </c>
      <c r="G19" s="13">
        <f>INDEX('[6]Page 5'!$B:$O,MATCH(4445,'[6]Page 5'!$G:$G,0),12)+INDEX('[6]Page 5'!$B:$O,MATCH(4465,'[6]Page 5'!$G:$G,0),12)</f>
        <v>141549</v>
      </c>
      <c r="H19" s="47">
        <f>'[7]PAGE 3'!$I11</f>
        <v>10453</v>
      </c>
      <c r="I19" s="13">
        <f>'[7]PAGE 3'!$K11</f>
        <v>121192</v>
      </c>
      <c r="J19" s="47">
        <f>'[8]PAGE 3'!$I11</f>
        <v>9337</v>
      </c>
      <c r="K19" s="13">
        <f>'[8]PAGE 3'!$K11</f>
        <v>110348</v>
      </c>
      <c r="L19" s="47"/>
      <c r="M19" s="13"/>
      <c r="N19" s="47">
        <f>'[9]Page 5'!$D30+'[9]Page 5'!$M30</f>
        <v>15473</v>
      </c>
      <c r="O19" s="13">
        <f>'[9]Page 5'!$G30+'[9]Page 5'!$P30</f>
        <v>163318</v>
      </c>
      <c r="P19" s="47">
        <f>'[2]PAGE 4'!$BQ$29</f>
        <v>0</v>
      </c>
      <c r="Q19" s="13">
        <f>'[2]PAGE 4'!$BX$29</f>
        <v>0</v>
      </c>
      <c r="R19" s="47">
        <f>[3]P4!$BU$57</f>
        <v>10761</v>
      </c>
      <c r="S19" s="13">
        <f>[3]P4!$CA$57</f>
        <v>161017</v>
      </c>
      <c r="T19" s="47">
        <f>[13]P4!$BU$57</f>
        <v>7014</v>
      </c>
      <c r="U19" s="13">
        <f>[13]P4!$CA$57</f>
        <v>158329</v>
      </c>
      <c r="V19" s="47">
        <f>SUM('[10]PAGE 5'!$E$15:$F$15)</f>
        <v>4004</v>
      </c>
      <c r="W19" s="13">
        <f>SUM('[10]PAGE 5'!$S$15:$T$15)</f>
        <v>35506</v>
      </c>
      <c r="X19" s="47">
        <f>'[11]Page 5'!$D30+'[11]Page 5'!$M30</f>
        <v>14045</v>
      </c>
      <c r="Y19" s="13">
        <f>'[11]Page 5'!$G30+'[11]Page 5'!$P30</f>
        <v>98540</v>
      </c>
      <c r="Z19" s="47">
        <f>'[12]Page 5'!$D30+'[12]Page 5'!$M30</f>
        <v>4166</v>
      </c>
      <c r="AA19" s="13">
        <f>'[12]Page 5'!$G30+'[12]Page 5'!$P30</f>
        <v>30349</v>
      </c>
      <c r="AB19" s="47">
        <f t="shared" si="0"/>
        <v>105722</v>
      </c>
      <c r="AC19" s="13">
        <f t="shared" si="1"/>
        <v>1325538</v>
      </c>
    </row>
    <row r="20" spans="1:29">
      <c r="A20" s="50" t="s">
        <v>226</v>
      </c>
      <c r="B20" s="47">
        <f>INDEX('[4]Page 5'!$B:$O,MATCH(4452,'[4]Page 5'!$G:$G,0),4)+INDEX('[4]Page 5'!$B:$O,MATCH(4455,'[4]Page 5'!$G:$G,0),4)-INDEX('[4]Page 5'!$B:$O,MATCH(6450,'[4]Page 5'!$G:$G,0),4)</f>
        <v>5927</v>
      </c>
      <c r="C20" s="13">
        <f>INDEX('[4]Page 5'!$B:$O,MATCH(4452,'[4]Page 5'!$G:$G,0),12)+INDEX('[4]Page 5'!$B:$O,MATCH(4455,'[4]Page 5'!$G:$G,0),12)-INDEX('[4]Page 5'!$B:$O,MATCH(6450,'[4]Page 5'!$G:$G,0),12)</f>
        <v>66798</v>
      </c>
      <c r="D20" s="47">
        <f>INDEX('[5]Page 5'!$B:$O,MATCH(4452,'[5]Page 5'!$G:$G,0),4)+INDEX('[5]Page 5'!$B:$O,MATCH(4455,'[5]Page 5'!$G:$G,0),4)</f>
        <v>12100</v>
      </c>
      <c r="E20" s="13">
        <f>INDEX('[5]Page 5'!$B:$O,MATCH(4452,'[5]Page 5'!$G:$G,0),12)+INDEX('[5]Page 5'!$B:$O,MATCH(4455,'[5]Page 5'!$G:$G,0),12)</f>
        <v>84924</v>
      </c>
      <c r="F20" s="47">
        <f>INDEX('[6]Page 5'!$B:$O,MATCH(4452,'[6]Page 5'!$G:$G,0),4)+INDEX('[6]Page 5'!$B:$O,MATCH(4455,'[6]Page 5'!$G:$G,0),4)</f>
        <v>1163</v>
      </c>
      <c r="G20" s="13">
        <f>INDEX('[6]Page 5'!$B:$O,MATCH(4452,'[6]Page 5'!$G:$G,0),12)+INDEX('[6]Page 5'!$B:$O,MATCH(4455,'[6]Page 5'!$G:$G,0),12)</f>
        <v>42292</v>
      </c>
      <c r="H20" s="47">
        <f>'[7]PAGE 3'!$I13</f>
        <v>0</v>
      </c>
      <c r="I20" s="13">
        <f>'[7]PAGE 3'!$K13</f>
        <v>0</v>
      </c>
      <c r="J20" s="47">
        <f>'[8]PAGE 3'!$I13</f>
        <v>0</v>
      </c>
      <c r="K20" s="13">
        <f>'[8]PAGE 3'!$K13</f>
        <v>0</v>
      </c>
      <c r="L20" s="47"/>
      <c r="M20" s="13"/>
      <c r="N20" s="47">
        <f>'[9]Page 5'!$D32+'[9]Page 5'!$D35+'[9]Page 5'!$M32+'[9]Page 5'!$M35</f>
        <v>9630</v>
      </c>
      <c r="O20" s="13">
        <f>'[9]Page 5'!$G32+'[9]Page 5'!$G35+'[9]Page 5'!$P32+'[9]Page 5'!$P35</f>
        <v>132907</v>
      </c>
      <c r="P20" s="47">
        <f>'[2]PAGE 4'!$BQ$33+'[2]PAGE 4'!$BQ$34</f>
        <v>4882</v>
      </c>
      <c r="Q20" s="13">
        <f>'[2]PAGE 4'!$BX$33+'[2]PAGE 4'!$BX$34</f>
        <v>50803</v>
      </c>
      <c r="R20" s="47">
        <f>[3]P4!$BU$65</f>
        <v>2087</v>
      </c>
      <c r="S20" s="13">
        <f>[3]P4!$CA$65</f>
        <v>64401</v>
      </c>
      <c r="T20" s="47">
        <f>[13]P4!$BU$65</f>
        <v>749</v>
      </c>
      <c r="U20" s="13">
        <f>[13]P4!$CA$65</f>
        <v>22141</v>
      </c>
      <c r="V20" s="47">
        <f>SUM('[10]PAGE 5'!$E$12:$F$12,'[10]PAGE 5'!$E$14:$F$14,'[10]PAGE 5'!$E$20:$F$21)</f>
        <v>1881</v>
      </c>
      <c r="W20" s="13">
        <f>SUM('[10]PAGE 5'!$S$12:$T$12,'[10]PAGE 5'!$S$14:$T$14,'[10]PAGE 5'!$S$20:$T$21)</f>
        <v>13752</v>
      </c>
      <c r="X20" s="47">
        <f>'[11]Page 5'!$D32+'[11]Page 5'!$D35+'[11]Page 5'!$M32+'[11]Page 5'!$M35</f>
        <v>15886</v>
      </c>
      <c r="Y20" s="13">
        <f>'[11]Page 5'!$G32+'[11]Page 5'!$G35+'[11]Page 5'!$P32+'[11]Page 5'!$P35</f>
        <v>101796</v>
      </c>
      <c r="Z20" s="47">
        <f>'[12]Page 5'!$D32+'[12]Page 5'!$D35+'[12]Page 5'!$M32+'[12]Page 5'!$M35</f>
        <v>3088</v>
      </c>
      <c r="AA20" s="13">
        <f>'[12]Page 5'!$G32+'[12]Page 5'!$G35+'[12]Page 5'!$P32+'[12]Page 5'!$P35</f>
        <v>12451</v>
      </c>
      <c r="AB20" s="47">
        <f t="shared" si="0"/>
        <v>57393</v>
      </c>
      <c r="AC20" s="13">
        <f t="shared" si="1"/>
        <v>592265</v>
      </c>
    </row>
    <row r="21" spans="1:29">
      <c r="A21" s="49" t="s">
        <v>228</v>
      </c>
      <c r="B21" s="47">
        <f>-(INDEX('[4]Page 5'!$B:$O,MATCH(6470,'[4]Page 5'!$G:$G,0),4)+INDEX('[4]Page 5'!$B:$O,MATCH(6475,'[4]Page 5'!$G:$G,0),4))</f>
        <v>-12047</v>
      </c>
      <c r="C21" s="13">
        <f>-(INDEX('[4]Page 5'!$B:$O,MATCH(6470,'[4]Page 5'!$G:$G,0),12)+INDEX('[4]Page 5'!$B:$O,MATCH(6475,'[4]Page 5'!$G:$G,0),12))</f>
        <v>-128851</v>
      </c>
      <c r="D21" s="47">
        <f>-(INDEX('[5]Page 5'!$B:$O,MATCH(6470,'[5]Page 5'!$G:$G,0),4)+INDEX('[5]Page 5'!$B:$O,MATCH(6475,'[5]Page 5'!$G:$G,0),4))</f>
        <v>-14647</v>
      </c>
      <c r="E21" s="13">
        <f>-(INDEX('[5]Page 5'!$B:$O,MATCH(6470,'[5]Page 5'!$G:$G,0),12)+INDEX('[5]Page 5'!$B:$O,MATCH(6475,'[5]Page 5'!$G:$G,0),12))</f>
        <v>-86486</v>
      </c>
      <c r="F21" s="47">
        <f>-(INDEX('[6]Page 5'!$B:$O,MATCH(6470,'[6]Page 5'!$G:$G,0),4)+INDEX('[6]Page 5'!$B:$O,MATCH(6475,'[6]Page 5'!$G:$G,0),4))</f>
        <v>-9786</v>
      </c>
      <c r="G21" s="13">
        <f>-(INDEX('[6]Page 5'!$B:$O,MATCH(6470,'[6]Page 5'!$G:$G,0),12)+INDEX('[6]Page 5'!$B:$O,MATCH(6475,'[6]Page 5'!$G:$G,0),12))</f>
        <v>-148103</v>
      </c>
      <c r="H21" s="47">
        <f>'[7]PAGE 3'!$I12</f>
        <v>-6992</v>
      </c>
      <c r="I21" s="13">
        <f>'[7]PAGE 3'!$K12</f>
        <v>-100208</v>
      </c>
      <c r="J21" s="47">
        <f>'[8]PAGE 3'!$I12</f>
        <v>-8229</v>
      </c>
      <c r="K21" s="13">
        <f>'[8]PAGE 3'!$K12</f>
        <v>-68960</v>
      </c>
      <c r="L21" s="47"/>
      <c r="M21" s="13"/>
      <c r="N21" s="47">
        <f>'[9]Page 5'!$D$23-'[9]Page 5'!$D$22+'[9]Page 5'!$D$25-'[9]Page 5'!$D$24+'[9]Page 5'!$D$27-'[9]Page 5'!$D$26+'[9]Page 5'!$D$29-'[9]Page 5'!$D$28+'[9]Page 5'!$D$31-'[9]Page 5'!$D$30+'[9]Page 5'!$D$33-'[9]Page 5'!$D$32+'[9]Page 5'!$M$23-'[9]Page 5'!$M$22+'[9]Page 5'!$M$25-'[9]Page 5'!$M$24+'[9]Page 5'!$M$27-'[9]Page 5'!$M$26+'[9]Page 5'!$M$29-'[9]Page 5'!$M$28+'[9]Page 5'!$M$31-'[9]Page 5'!$M$30+'[9]Page 5'!$M$33-'[9]Page 5'!$M$32</f>
        <v>-11202</v>
      </c>
      <c r="O21" s="118">
        <f>'[9]Page 5'!$G$23-'[9]Page 5'!$G$22+'[9]Page 5'!$G$25-'[9]Page 5'!$G$24+'[9]Page 5'!$G$27-'[9]Page 5'!$G$26+'[9]Page 5'!$G$29-'[9]Page 5'!$G$28+'[9]Page 5'!$G$31-'[9]Page 5'!$G$30+'[9]Page 5'!$G$33-'[9]Page 5'!$G$32+'[9]Page 5'!$P$23-'[9]Page 5'!$P$22+'[9]Page 5'!$P$25-'[9]Page 5'!$P$24+'[9]Page 5'!$P$27-'[9]Page 5'!$P$26+'[9]Page 5'!$P$29-'[9]Page 5'!$P$28+'[9]Page 5'!$P$31-'[9]Page 5'!$P$30+'[9]Page 5'!$P$33-'[9]Page 5'!$P$32</f>
        <v>-165828</v>
      </c>
      <c r="P21" s="47">
        <f>'[2]PAGE 4'!$BQ$27+'[2]PAGE 4'!$BQ$30+'[2]PAGE 4'!$BQ$32</f>
        <v>-7862</v>
      </c>
      <c r="Q21" s="13">
        <f>'[2]PAGE 4'!$BX$27+'[2]PAGE 4'!$BX$30+'[2]PAGE 4'!$BX$32</f>
        <v>-76284</v>
      </c>
      <c r="R21" s="47">
        <f>-IFERROR([3]P4!$BU$53+[3]P4!$BU$63+[3]P4!$BU$59,0)</f>
        <v>-3160</v>
      </c>
      <c r="S21" s="13">
        <f>-IFERROR([3]P4!$CA$53+[3]P4!$CA$63+[3]P4!$CA$59,0)</f>
        <v>-56617</v>
      </c>
      <c r="T21" s="47">
        <f>-([13]P4!$BU$53*1+[13]P4!$BU$59*1+[13]P4!$BU$63*1)</f>
        <v>-3444</v>
      </c>
      <c r="U21" s="13">
        <f>-([13]P4!$CA$53+[13]P4!$CA$59+[13]P4!$CA$63)</f>
        <v>-38312</v>
      </c>
      <c r="V21" s="47">
        <f>SUM('[10]PAGE 5'!$E$19:$F$19)</f>
        <v>-1724</v>
      </c>
      <c r="W21" s="13">
        <f>SUM('[10]PAGE 5'!$S$19:$T$19)</f>
        <v>-10939</v>
      </c>
      <c r="X21" s="47">
        <f>'[11]Page 5'!$D$23-'[11]Page 5'!$D$22+'[11]Page 5'!$D$25-'[11]Page 5'!$D$24+'[11]Page 5'!$D$27-'[11]Page 5'!$D$26+'[11]Page 5'!$D$29-'[11]Page 5'!$D$28+'[11]Page 5'!$D$31-'[11]Page 5'!$D$30+'[11]Page 5'!$D$33-'[11]Page 5'!$D$32+'[11]Page 5'!$M$23-'[11]Page 5'!$M$22+'[11]Page 5'!$M$25-'[11]Page 5'!$M$24+'[11]Page 5'!$M$27-'[11]Page 5'!$M$26+'[11]Page 5'!$M$29-'[11]Page 5'!$M$28+'[11]Page 5'!$M$31-'[11]Page 5'!$M$30+'[11]Page 5'!$M$33-'[11]Page 5'!$M$32</f>
        <v>-2370</v>
      </c>
      <c r="Y21" s="118">
        <f>'[11]Page 5'!$G$23-'[11]Page 5'!$G$22+'[11]Page 5'!$G$25-'[11]Page 5'!$G$24+'[11]Page 5'!$G$27-'[11]Page 5'!$G$26+'[11]Page 5'!$G$29-'[11]Page 5'!$G$28+'[11]Page 5'!$G$31-'[11]Page 5'!$G$30+'[11]Page 5'!$G$33-'[11]Page 5'!$G$32+'[11]Page 5'!$P$23-'[11]Page 5'!$P$22+'[11]Page 5'!$P$25-'[11]Page 5'!$P$24+'[11]Page 5'!$P$27-'[11]Page 5'!$P$26+'[11]Page 5'!$P$29-'[11]Page 5'!$P$28+'[11]Page 5'!$P$31-'[11]Page 5'!$P$30+'[11]Page 5'!$P$33-'[11]Page 5'!$P$32</f>
        <v>-11522</v>
      </c>
      <c r="Z21" s="47">
        <f>'[12]Page 5'!$D$23-'[12]Page 5'!$D$22+'[12]Page 5'!$D$25-'[12]Page 5'!$D$24+'[12]Page 5'!$D$27-'[12]Page 5'!$D$26+'[12]Page 5'!$D$29-'[12]Page 5'!$D$28+'[12]Page 5'!$D$31-'[12]Page 5'!$D$30+'[12]Page 5'!$D$33-'[12]Page 5'!$D$32+'[12]Page 5'!$M$23-'[12]Page 5'!$M$22+'[12]Page 5'!$M$25-'[12]Page 5'!$M$24+'[12]Page 5'!$M$27-'[12]Page 5'!$M$26+'[12]Page 5'!$M$29-'[12]Page 5'!$M$28+'[12]Page 5'!$M$31-'[12]Page 5'!$M$30+'[12]Page 5'!$M$33-'[12]Page 5'!$M$32</f>
        <v>-1644</v>
      </c>
      <c r="AA21" s="118">
        <f>'[12]Page 5'!$G$23-'[12]Page 5'!$G$22+'[12]Page 5'!$G$25-'[12]Page 5'!$G$24+'[12]Page 5'!$G$27-'[12]Page 5'!$G$26+'[12]Page 5'!$G$29-'[12]Page 5'!$G$28+'[12]Page 5'!$G$31-'[12]Page 5'!$G$30+'[12]Page 5'!$G$33-'[12]Page 5'!$G$32+'[12]Page 5'!$P$23-'[12]Page 5'!$P$22+'[12]Page 5'!$P$25-'[12]Page 5'!$P$24+'[12]Page 5'!$P$27-'[12]Page 5'!$P$26+'[12]Page 5'!$P$29-'[12]Page 5'!$P$28+'[12]Page 5'!$P$31-'[12]Page 5'!$P$30+'[12]Page 5'!$P$33-'[12]Page 5'!$P$32</f>
        <v>-7611</v>
      </c>
      <c r="AB21" s="47">
        <f t="shared" si="0"/>
        <v>-83107</v>
      </c>
      <c r="AC21" s="13">
        <f t="shared" si="1"/>
        <v>-899721</v>
      </c>
    </row>
    <row r="22" spans="1:29" s="123" customFormat="1" hidden="1">
      <c r="A22" s="122" t="s">
        <v>275</v>
      </c>
      <c r="B22" s="24">
        <f>INDEX('[4]Page 5'!$B:$O,MATCH("TOTAL F &amp; I / SVC. CONT. INC. - USED",'[4]Page 5'!$H:$H,0),3)</f>
        <v>118432</v>
      </c>
      <c r="C22" s="25">
        <f>INDEX('[4]Page 5'!$B:$O,MATCH("TOTAL F &amp; I / SVC. CONT. INC. - USED",'[4]Page 5'!$H:$H,0),11)</f>
        <v>1412074</v>
      </c>
      <c r="D22" s="24">
        <f>INDEX('[5]Page 5'!$B:$O,MATCH("TOTAL F &amp; I / SVC. CONT. INC. - USED",'[5]Page 5'!$H:$H,0),3)</f>
        <v>137633</v>
      </c>
      <c r="E22" s="25">
        <f>INDEX('[5]Page 5'!$B:$O,MATCH("TOTAL F &amp; I / SVC. CONT. INC. - USED",'[5]Page 5'!$H:$H,0),11)</f>
        <v>1357201</v>
      </c>
      <c r="F22" s="24">
        <f>INDEX('[6]Page 5'!$B:$O,MATCH("TOTAL F &amp; I / SVC. CONT. INC. - USED",'[6]Page 5'!$H:$H,0),3)</f>
        <v>116926</v>
      </c>
      <c r="G22" s="25">
        <f>INDEX('[6]Page 5'!$B:$O,MATCH("TOTAL F &amp; I / SVC. CONT. INC. - USED",'[6]Page 5'!$H:$H,0),11)</f>
        <v>1852175</v>
      </c>
      <c r="H22" s="24"/>
      <c r="I22" s="25"/>
      <c r="J22" s="24"/>
      <c r="K22" s="25"/>
      <c r="L22" s="24"/>
      <c r="M22" s="25"/>
      <c r="N22" s="24"/>
      <c r="O22" s="25"/>
      <c r="P22" s="24"/>
      <c r="Q22" s="25"/>
      <c r="R22" s="24"/>
      <c r="S22" s="25"/>
      <c r="T22" s="24"/>
      <c r="U22" s="25"/>
      <c r="V22" s="24"/>
      <c r="W22" s="25"/>
      <c r="X22" s="24"/>
      <c r="Y22" s="25"/>
      <c r="Z22" s="24"/>
      <c r="AA22" s="25"/>
      <c r="AB22" s="24">
        <f t="shared" si="0"/>
        <v>372991</v>
      </c>
      <c r="AC22" s="25">
        <f t="shared" si="1"/>
        <v>4621450</v>
      </c>
    </row>
    <row r="23" spans="1:29">
      <c r="A23" s="48" t="s">
        <v>219</v>
      </c>
      <c r="B23" s="16">
        <f t="shared" ref="B23:C23" si="12">SUM(B16:B21)</f>
        <v>94500</v>
      </c>
      <c r="C23" s="17">
        <f t="shared" si="12"/>
        <v>1117150</v>
      </c>
      <c r="D23" s="16">
        <f t="shared" ref="D23:E23" si="13">SUM(D16:D21)</f>
        <v>80663</v>
      </c>
      <c r="E23" s="17">
        <f t="shared" si="13"/>
        <v>895503</v>
      </c>
      <c r="F23" s="16">
        <f t="shared" ref="F23:G23" si="14">SUM(F16:F21)</f>
        <v>73345</v>
      </c>
      <c r="G23" s="17">
        <f t="shared" si="14"/>
        <v>1071434</v>
      </c>
      <c r="H23" s="16">
        <f t="shared" ref="H23:K23" si="15">SUM(H16:H21)</f>
        <v>58735</v>
      </c>
      <c r="I23" s="17">
        <f t="shared" si="15"/>
        <v>808517</v>
      </c>
      <c r="J23" s="16">
        <f t="shared" si="15"/>
        <v>59281</v>
      </c>
      <c r="K23" s="17">
        <f t="shared" si="15"/>
        <v>714496</v>
      </c>
      <c r="L23" s="16"/>
      <c r="M23" s="17"/>
      <c r="N23" s="16">
        <f t="shared" ref="N23:S23" si="16">SUM(N16:N21)</f>
        <v>114754</v>
      </c>
      <c r="O23" s="17">
        <f t="shared" si="16"/>
        <v>1355551</v>
      </c>
      <c r="P23" s="16">
        <f t="shared" si="16"/>
        <v>64471</v>
      </c>
      <c r="Q23" s="17">
        <f t="shared" si="16"/>
        <v>704671</v>
      </c>
      <c r="R23" s="16">
        <f t="shared" si="16"/>
        <v>65500</v>
      </c>
      <c r="S23" s="17">
        <f t="shared" si="16"/>
        <v>935755</v>
      </c>
      <c r="T23" s="16">
        <f t="shared" ref="T23:U23" si="17">SUM(T16:T21)</f>
        <v>27469</v>
      </c>
      <c r="U23" s="17">
        <f t="shared" si="17"/>
        <v>750691</v>
      </c>
      <c r="V23" s="16">
        <f t="shared" ref="V23" si="18">SUM(V16:V21)</f>
        <v>24393</v>
      </c>
      <c r="W23" s="17">
        <f t="shared" ref="W23:AA23" si="19">SUM(W16:W21)</f>
        <v>192209</v>
      </c>
      <c r="X23" s="16">
        <f t="shared" si="19"/>
        <v>96906</v>
      </c>
      <c r="Y23" s="17">
        <f t="shared" si="19"/>
        <v>655713</v>
      </c>
      <c r="Z23" s="16">
        <f t="shared" si="19"/>
        <v>22447</v>
      </c>
      <c r="AA23" s="17">
        <f t="shared" si="19"/>
        <v>181409</v>
      </c>
      <c r="AB23" s="16">
        <f t="shared" si="0"/>
        <v>782464</v>
      </c>
      <c r="AC23" s="17">
        <f t="shared" si="1"/>
        <v>9383099</v>
      </c>
    </row>
    <row r="24" spans="1:29">
      <c r="A24" s="4"/>
      <c r="B24" s="24"/>
      <c r="C24" s="25"/>
      <c r="D24" s="24"/>
      <c r="E24" s="25"/>
      <c r="F24" s="24"/>
      <c r="G24" s="25"/>
      <c r="H24" s="24"/>
      <c r="I24" s="25"/>
      <c r="J24" s="24"/>
      <c r="K24" s="25"/>
      <c r="L24" s="24"/>
      <c r="M24" s="25"/>
      <c r="N24" s="24"/>
      <c r="O24" s="25"/>
      <c r="P24" s="24"/>
      <c r="Q24" s="25"/>
      <c r="R24" s="24"/>
      <c r="S24" s="25"/>
      <c r="T24" s="24"/>
      <c r="U24" s="25"/>
      <c r="V24" s="24"/>
      <c r="W24" s="25"/>
      <c r="X24" s="24"/>
      <c r="Y24" s="25"/>
      <c r="Z24" s="24"/>
      <c r="AA24" s="25"/>
      <c r="AB24" s="24">
        <f t="shared" si="0"/>
        <v>0</v>
      </c>
      <c r="AC24" s="25">
        <f t="shared" si="1"/>
        <v>0</v>
      </c>
    </row>
    <row r="25" spans="1:29" hidden="1">
      <c r="A25" s="1" t="s">
        <v>276</v>
      </c>
      <c r="B25" s="120">
        <f>INDEX('[4]Page 5'!$B:$O,MATCH(4420,'[4]Page 5'!$G:$G,0),3)</f>
        <v>523963</v>
      </c>
      <c r="C25" s="121">
        <f>INDEX('[4]Page 5'!$B:$O,MATCH(4420,'[4]Page 5'!$G:$G,0),11)</f>
        <v>4746579</v>
      </c>
      <c r="D25" s="120">
        <f>INDEX('[5]Page 5'!$B:$O,MATCH(4420,'[5]Page 5'!$G:$G,0),3)</f>
        <v>586584</v>
      </c>
      <c r="E25" s="121">
        <f>INDEX('[5]Page 5'!$B:$O,MATCH(4420,'[5]Page 5'!$G:$G,0),11)</f>
        <v>4764489</v>
      </c>
      <c r="F25" s="120">
        <f>INDEX('[6]Page 5'!$B:$O,MATCH(4420,'[6]Page 5'!$G:$G,0),3)</f>
        <v>724514</v>
      </c>
      <c r="G25" s="121">
        <f>INDEX('[6]Page 5'!$B:$O,MATCH(4420,'[6]Page 5'!$G:$G,0),11)</f>
        <v>6444309</v>
      </c>
      <c r="H25" s="120"/>
      <c r="I25" s="121"/>
      <c r="J25" s="120"/>
      <c r="K25" s="121"/>
      <c r="L25" s="120"/>
      <c r="M25" s="121"/>
      <c r="N25" s="120"/>
      <c r="O25" s="121"/>
      <c r="P25" s="120"/>
      <c r="Q25" s="121"/>
      <c r="R25" s="120"/>
      <c r="S25" s="121"/>
      <c r="T25" s="120"/>
      <c r="U25" s="121"/>
      <c r="V25" s="120"/>
      <c r="W25" s="121"/>
      <c r="X25" s="120"/>
      <c r="Y25" s="121"/>
      <c r="Z25" s="120"/>
      <c r="AA25" s="121"/>
      <c r="AB25" s="120">
        <f t="shared" si="0"/>
        <v>1835061</v>
      </c>
      <c r="AC25" s="121">
        <f t="shared" si="1"/>
        <v>15955377</v>
      </c>
    </row>
    <row r="26" spans="1:29">
      <c r="A26" s="4" t="s">
        <v>256</v>
      </c>
      <c r="B26" s="120">
        <f>INDEX('[4]Page 5'!$B:$O,MATCH(4420,'[4]Page 5'!$G:$G,0),4)</f>
        <v>-18889</v>
      </c>
      <c r="C26" s="121">
        <f>INDEX('[4]Page 5'!$B:$O,MATCH(4420,'[4]Page 5'!$G:$G,0),12)</f>
        <v>-22756</v>
      </c>
      <c r="D26" s="120">
        <f>INDEX('[5]Page 5'!$B:$O,MATCH(4420,'[5]Page 5'!$G:$G,0),4)</f>
        <v>-1512</v>
      </c>
      <c r="E26" s="121">
        <f>INDEX('[5]Page 5'!$B:$O,MATCH(4420,'[5]Page 5'!$G:$G,0),12)</f>
        <v>-110482</v>
      </c>
      <c r="F26" s="120">
        <f>INDEX('[6]Page 5'!$B:$O,MATCH(4420,'[6]Page 5'!$G:$G,0),4)</f>
        <v>-18315</v>
      </c>
      <c r="G26" s="121">
        <f>INDEX('[6]Page 5'!$B:$O,MATCH(4420,'[6]Page 5'!$G:$G,0),12)</f>
        <v>-123674</v>
      </c>
      <c r="H26" s="24">
        <f>'[7]PAGE 4'!$D$32</f>
        <v>10</v>
      </c>
      <c r="I26" s="25">
        <f>'[7]PAGE 4'!$N$32</f>
        <v>21305</v>
      </c>
      <c r="J26" s="24">
        <f>'[8]PAGE 4'!$D$32</f>
        <v>25</v>
      </c>
      <c r="K26" s="25">
        <f>'[8]PAGE 4'!$N$32</f>
        <v>-1540</v>
      </c>
      <c r="L26" s="24"/>
      <c r="M26" s="25"/>
      <c r="N26" s="24">
        <f>'[9]Page 6'!$E$17</f>
        <v>133</v>
      </c>
      <c r="O26" s="25">
        <f>'[9]Page 6'!$O$17</f>
        <v>3993</v>
      </c>
      <c r="P26" s="24">
        <f>'[2]PAGE 4'!$M$19</f>
        <v>15776</v>
      </c>
      <c r="Q26" s="25">
        <f>'[2]PAGE 4'!$BV$19</f>
        <v>139759</v>
      </c>
      <c r="R26" s="24">
        <f>[3]P4!$K$37</f>
        <v>-8013</v>
      </c>
      <c r="S26" s="25">
        <f>[3]P4!$BX$37</f>
        <v>-22990</v>
      </c>
      <c r="T26" s="24">
        <f>[13]P4!$K$37</f>
        <v>-12694</v>
      </c>
      <c r="U26" s="25">
        <f>[13]P4!$BX$37</f>
        <v>-33292</v>
      </c>
      <c r="V26" s="24">
        <f>SUM('[10]PAGE 5'!$E$11:$F$11)</f>
        <v>-9322</v>
      </c>
      <c r="W26" s="25">
        <f>SUM('[10]PAGE 5'!$S$11:$T$11)</f>
        <v>-44742</v>
      </c>
      <c r="X26" s="24">
        <f>'[11]Page 6'!$E$17</f>
        <v>-2363</v>
      </c>
      <c r="Y26" s="25">
        <f>'[11]Page 6'!$O$17</f>
        <v>5887</v>
      </c>
      <c r="Z26" s="24">
        <f>'[12]Page 6'!$E$17</f>
        <v>14189</v>
      </c>
      <c r="AA26" s="25">
        <f>'[12]Page 6'!$O$17</f>
        <v>61674</v>
      </c>
      <c r="AB26" s="24">
        <f t="shared" si="0"/>
        <v>-40975</v>
      </c>
      <c r="AC26" s="25">
        <f t="shared" si="1"/>
        <v>-126858</v>
      </c>
    </row>
    <row r="27" spans="1:29">
      <c r="A27" s="4"/>
      <c r="B27" s="24"/>
      <c r="C27" s="25"/>
      <c r="D27" s="24"/>
      <c r="E27" s="25"/>
      <c r="F27" s="24"/>
      <c r="G27" s="25"/>
      <c r="H27" s="24"/>
      <c r="I27" s="25"/>
      <c r="J27" s="24"/>
      <c r="K27" s="25"/>
      <c r="L27" s="24"/>
      <c r="M27" s="25"/>
      <c r="N27" s="24"/>
      <c r="O27" s="25"/>
      <c r="P27" s="24"/>
      <c r="Q27" s="25"/>
      <c r="R27" s="24"/>
      <c r="S27" s="25"/>
      <c r="T27" s="24"/>
      <c r="U27" s="25"/>
      <c r="V27" s="24"/>
      <c r="W27" s="25"/>
      <c r="X27" s="24"/>
      <c r="Y27" s="25"/>
      <c r="Z27" s="24"/>
      <c r="AA27" s="25"/>
      <c r="AB27" s="24">
        <f t="shared" si="0"/>
        <v>0</v>
      </c>
      <c r="AC27" s="25">
        <f t="shared" si="1"/>
        <v>0</v>
      </c>
    </row>
    <row r="28" spans="1:29">
      <c r="A28" s="12" t="s">
        <v>1</v>
      </c>
      <c r="B28" s="20">
        <f t="shared" ref="B28:C28" si="20">B14+B23</f>
        <v>165134</v>
      </c>
      <c r="C28" s="21">
        <f t="shared" si="20"/>
        <v>2426842</v>
      </c>
      <c r="D28" s="20">
        <f t="shared" ref="D28:E28" si="21">D14+D23</f>
        <v>161031</v>
      </c>
      <c r="E28" s="21">
        <f t="shared" si="21"/>
        <v>1536093</v>
      </c>
      <c r="F28" s="20">
        <f t="shared" ref="F28:G28" si="22">F14+F23</f>
        <v>205598</v>
      </c>
      <c r="G28" s="21">
        <f t="shared" si="22"/>
        <v>2709163</v>
      </c>
      <c r="H28" s="20">
        <f t="shared" ref="H28:K28" si="23">H14+H23</f>
        <v>164087</v>
      </c>
      <c r="I28" s="21">
        <f t="shared" si="23"/>
        <v>1868527</v>
      </c>
      <c r="J28" s="20">
        <f t="shared" si="23"/>
        <v>130610</v>
      </c>
      <c r="K28" s="21">
        <f t="shared" si="23"/>
        <v>1579775</v>
      </c>
      <c r="L28" s="20"/>
      <c r="M28" s="21"/>
      <c r="N28" s="20">
        <f t="shared" ref="N28:Q28" si="24">N14+N23</f>
        <v>222809</v>
      </c>
      <c r="O28" s="21">
        <f t="shared" si="24"/>
        <v>2529049</v>
      </c>
      <c r="P28" s="20">
        <f>P14+P23</f>
        <v>184346</v>
      </c>
      <c r="Q28" s="21">
        <f t="shared" si="24"/>
        <v>2215930</v>
      </c>
      <c r="R28" s="20">
        <f>R14+R23</f>
        <v>166934</v>
      </c>
      <c r="S28" s="21">
        <f>S14+S23</f>
        <v>2151292</v>
      </c>
      <c r="T28" s="20">
        <f>T14+T23</f>
        <v>88045</v>
      </c>
      <c r="U28" s="21">
        <f>U14+U23</f>
        <v>1355387</v>
      </c>
      <c r="V28" s="20">
        <f>V14+V23+V26</f>
        <v>18116</v>
      </c>
      <c r="W28" s="21">
        <f>W14+W23+W26</f>
        <v>248434</v>
      </c>
      <c r="X28" s="20">
        <f t="shared" ref="X28:AA28" si="25">X14+X23</f>
        <v>176366</v>
      </c>
      <c r="Y28" s="21">
        <f t="shared" si="25"/>
        <v>1120300</v>
      </c>
      <c r="Z28" s="20">
        <f t="shared" si="25"/>
        <v>82320</v>
      </c>
      <c r="AA28" s="21">
        <f t="shared" si="25"/>
        <v>389128</v>
      </c>
      <c r="AB28" s="20">
        <f t="shared" si="0"/>
        <v>1765396</v>
      </c>
      <c r="AC28" s="21">
        <f t="shared" si="1"/>
        <v>20129920</v>
      </c>
    </row>
    <row r="29" spans="1:29">
      <c r="B29" s="47"/>
      <c r="C29" s="13"/>
      <c r="D29" s="47"/>
      <c r="E29" s="13"/>
      <c r="F29" s="47"/>
      <c r="G29" s="13"/>
      <c r="H29" s="47"/>
      <c r="I29" s="13"/>
      <c r="J29" s="47"/>
      <c r="K29" s="13"/>
      <c r="L29" s="47"/>
      <c r="M29" s="13"/>
      <c r="N29" s="47"/>
      <c r="O29" s="13"/>
      <c r="P29" s="47"/>
      <c r="Q29" s="13"/>
      <c r="R29" s="47"/>
      <c r="S29" s="13"/>
      <c r="T29" s="129"/>
      <c r="U29" s="130"/>
      <c r="V29" s="129"/>
      <c r="W29" s="130"/>
      <c r="X29" s="47"/>
      <c r="Y29" s="13"/>
      <c r="Z29" s="47"/>
      <c r="AA29" s="13"/>
      <c r="AB29" s="129">
        <f t="shared" si="0"/>
        <v>0</v>
      </c>
      <c r="AC29" s="130">
        <f t="shared" si="1"/>
        <v>0</v>
      </c>
    </row>
    <row r="30" spans="1:29">
      <c r="A30" s="5" t="s">
        <v>4</v>
      </c>
      <c r="B30" s="47">
        <f>INDEX('[4]Page 2'!$B:$DP,MATCH("0100",'[4]Page 2'!$M:$M,0),74)</f>
        <v>41607</v>
      </c>
      <c r="C30" s="13">
        <f>INDEX('[4]Page 2'!$B:$DP,MATCH("0100",'[4]Page 2'!$M:$M,0),95)</f>
        <v>523970</v>
      </c>
      <c r="D30" s="47">
        <f>INDEX('[5]Page 2'!$B:$DP,MATCH("0100",'[5]Page 2'!$M:$M,0),74)</f>
        <v>33827</v>
      </c>
      <c r="E30" s="13">
        <f>INDEX('[5]Page 2'!$B:$DP,MATCH("0100",'[5]Page 2'!$M:$M,0),95)</f>
        <v>395391</v>
      </c>
      <c r="F30" s="47">
        <f>INDEX('[6]Page 2'!$B:$DP,MATCH("0100",'[6]Page 2'!$M:$M,0),74)</f>
        <v>58217</v>
      </c>
      <c r="G30" s="13">
        <f>INDEX('[6]Page 2'!$B:$DP,MATCH("0100",'[6]Page 2'!$M:$M,0),95)</f>
        <v>658405</v>
      </c>
      <c r="H30" s="47">
        <f>'[7]PAGE 3'!$I19</f>
        <v>26937</v>
      </c>
      <c r="I30" s="13">
        <f>'[7]PAGE 3'!$K19</f>
        <v>319460</v>
      </c>
      <c r="J30" s="47">
        <f>'[8]PAGE 3'!$I19</f>
        <v>22502</v>
      </c>
      <c r="K30" s="13">
        <f>'[8]PAGE 3'!$K19</f>
        <v>251204</v>
      </c>
      <c r="L30" s="47"/>
      <c r="M30" s="13"/>
      <c r="N30" s="47">
        <f>IFERROR(VLOOKUP("Sales Compensation",'[9]PAGE 2'!$B:$S,14,FALSE)+VLOOKUP("Sales Compensation - Scion only",'[9]PAGE 2'!$B:$S,14,FALSE),0)</f>
        <v>40218</v>
      </c>
      <c r="O30" s="13">
        <f>IFERROR(VLOOKUP("Sales Compensation",'[9]PAGE 2'!$B:$S,16,FALSE)+VLOOKUP("Sales Compensation - Scion only",'[9]PAGE 2'!$B:$S,16,FALSE),0)</f>
        <v>373167</v>
      </c>
      <c r="P30" s="47">
        <f>'[2]PAGE 4'!$BI$44</f>
        <v>24954</v>
      </c>
      <c r="Q30" s="13">
        <f>'[2]PAGE 4'!$BT$44</f>
        <v>315130</v>
      </c>
      <c r="R30" s="47">
        <f>[3]P4!$BM$87</f>
        <v>32786</v>
      </c>
      <c r="S30" s="13">
        <f>[3]P4!$BW$87</f>
        <v>464289</v>
      </c>
      <c r="T30" s="47">
        <f>[13]P4!$BM$87</f>
        <v>35042</v>
      </c>
      <c r="U30" s="13">
        <f>[13]P4!$BW$87</f>
        <v>526154</v>
      </c>
      <c r="V30" s="47">
        <f>INDEX('[10]PAGE 3'!$1:$1048576,MATCH("Salespeople: commission and Incentive",'[10]PAGE 3'!$B:$B,0),6)</f>
        <v>7735</v>
      </c>
      <c r="W30" s="13">
        <f>INDEX('[10]PAGE 3'!$1:$1048576,MATCH("Salespeople: commission and Incentive",'[10]PAGE 3'!$B:$B,0),8)</f>
        <v>52578</v>
      </c>
      <c r="X30" s="47">
        <f>IFERROR(VLOOKUP("Sales Compensation",'[11]PAGE 2'!$B:$S,14,FALSE)+VLOOKUP("Sales Compensation - Scion only",'[11]PAGE 2'!$B:$S,14,FALSE),0)</f>
        <v>21275</v>
      </c>
      <c r="Y30" s="13">
        <f>IFERROR(VLOOKUP("Sales Compensation",'[11]PAGE 2'!$B:$S,16,FALSE)+VLOOKUP("Sales Compensation - Scion only",'[11]PAGE 2'!$B:$S,16,FALSE),0)</f>
        <v>133771</v>
      </c>
      <c r="Z30" s="47">
        <f>IFERROR(VLOOKUP("Sales Compensation",'[12]PAGE 2'!$B:$S,14,FALSE)+VLOOKUP("Sales Compensation - Scion only",'[12]PAGE 2'!$B:$S,14,FALSE),0)</f>
        <v>2594</v>
      </c>
      <c r="AA30" s="13">
        <f>IFERROR(VLOOKUP("Sales Compensation",'[12]PAGE 2'!$B:$S,16,FALSE)+VLOOKUP("Sales Compensation - Scion only",'[12]PAGE 2'!$B:$S,16,FALSE),0)</f>
        <v>71681</v>
      </c>
      <c r="AB30" s="47">
        <f t="shared" si="0"/>
        <v>347694</v>
      </c>
      <c r="AC30" s="13">
        <f t="shared" si="1"/>
        <v>4085200</v>
      </c>
    </row>
    <row r="31" spans="1:29">
      <c r="A31" s="5" t="s">
        <v>5</v>
      </c>
      <c r="B31" s="47">
        <f>INDEX('[4]Page 2'!$B:$DP,MATCH("0280",'[4]Page 2'!$M:$M,0),74)</f>
        <v>0</v>
      </c>
      <c r="C31" s="13">
        <f>INDEX('[4]Page 2'!$B:$DP,MATCH("0280",'[4]Page 2'!$M:$M,0),95)</f>
        <v>0</v>
      </c>
      <c r="D31" s="47">
        <f>INDEX('[5]Page 2'!$B:$DP,MATCH("0280",'[5]Page 2'!$M:$M,0),74)</f>
        <v>0</v>
      </c>
      <c r="E31" s="13">
        <f>INDEX('[5]Page 2'!$B:$DP,MATCH("0280",'[5]Page 2'!$M:$M,0),95)</f>
        <v>0</v>
      </c>
      <c r="F31" s="47">
        <f>INDEX('[6]Page 2'!$B:$DP,MATCH("0280",'[6]Page 2'!$M:$M,0),74)</f>
        <v>0</v>
      </c>
      <c r="G31" s="13">
        <f>INDEX('[6]Page 2'!$B:$DP,MATCH("0280",'[6]Page 2'!$M:$M,0),95)</f>
        <v>0</v>
      </c>
      <c r="H31" s="47"/>
      <c r="I31" s="13"/>
      <c r="J31" s="47"/>
      <c r="K31" s="13"/>
      <c r="L31" s="47"/>
      <c r="M31" s="13"/>
      <c r="N31" s="47"/>
      <c r="O31" s="13"/>
      <c r="P31" s="47">
        <f>'[2]PAGE 4'!$BI52</f>
        <v>0</v>
      </c>
      <c r="Q31" s="13">
        <f>'[2]PAGE 4'!$BT52</f>
        <v>0</v>
      </c>
      <c r="R31" s="1">
        <f>[3]P4!$BM$103</f>
        <v>0</v>
      </c>
      <c r="S31" s="13">
        <f>[3]P4!$BW$103</f>
        <v>0</v>
      </c>
      <c r="T31" s="47">
        <f>[13]P4!$BM$103</f>
        <v>0</v>
      </c>
      <c r="U31" s="13">
        <f>[13]P4!$BW$103</f>
        <v>0</v>
      </c>
      <c r="V31" s="47"/>
      <c r="W31" s="13"/>
      <c r="X31" s="47"/>
      <c r="Y31" s="13"/>
      <c r="Z31" s="47"/>
      <c r="AA31" s="13"/>
      <c r="AB31" s="47">
        <f t="shared" si="0"/>
        <v>0</v>
      </c>
      <c r="AC31" s="13">
        <f t="shared" si="1"/>
        <v>0</v>
      </c>
    </row>
    <row r="32" spans="1:29">
      <c r="A32" s="5" t="s">
        <v>6</v>
      </c>
      <c r="B32" s="47">
        <f>INDEX('[4]Page 2'!$B:$DP,MATCH("0090",'[4]Page 2'!$M:$M,0),74)</f>
        <v>17014</v>
      </c>
      <c r="C32" s="13">
        <f>INDEX('[4]Page 2'!$B:$DP,MATCH("0090",'[4]Page 2'!$M:$M,0),95)</f>
        <v>213131</v>
      </c>
      <c r="D32" s="47">
        <f>INDEX('[5]Page 2'!$B:$DP,MATCH("0090",'[5]Page 2'!$M:$M,0),74)</f>
        <v>25202</v>
      </c>
      <c r="E32" s="13">
        <f>INDEX('[5]Page 2'!$B:$DP,MATCH("0090",'[5]Page 2'!$M:$M,0),95)</f>
        <v>239479</v>
      </c>
      <c r="F32" s="47">
        <f>INDEX('[6]Page 2'!$B:$DP,MATCH("0090",'[6]Page 2'!$M:$M,0),74)</f>
        <v>36293</v>
      </c>
      <c r="G32" s="13">
        <f>INDEX('[6]Page 2'!$B:$DP,MATCH("0090",'[6]Page 2'!$M:$M,0),95)</f>
        <v>248505</v>
      </c>
      <c r="H32" s="47">
        <f>'[7]PAGE 3'!$I21</f>
        <v>14734</v>
      </c>
      <c r="I32" s="13">
        <f>'[7]PAGE 3'!$K21</f>
        <v>167916</v>
      </c>
      <c r="J32" s="47">
        <f>'[8]PAGE 3'!$I21</f>
        <v>9866</v>
      </c>
      <c r="K32" s="13">
        <f>'[8]PAGE 3'!$K21</f>
        <v>122653</v>
      </c>
      <c r="L32" s="47"/>
      <c r="M32" s="13"/>
      <c r="N32" s="47">
        <f>IFERROR(VLOOKUP("Finance, Ins., &amp; Svc. Ctr. Commissions",'[9]PAGE 2'!$B:$S,14,FALSE)+VLOOKUP("Finc, Ins., &amp; Svc.Ctr.Com. - Scion only",'[9]PAGE 2'!$B:$S,14,FALSE),0)</f>
        <v>26890</v>
      </c>
      <c r="O32" s="13">
        <f>IFERROR(VLOOKUP("Finance, Ins., &amp; Svc. Ctr. Commissions",'[9]PAGE 2'!$B:$S,16,FALSE)+VLOOKUP("Finc, Ins., &amp; Svc.Ctr.Com. - Scion only",'[9]PAGE 2'!$B:$S,16,FALSE),0)</f>
        <v>249717</v>
      </c>
      <c r="P32" s="47">
        <f>'[2]PAGE 4'!$BI46+'[2]PAGE 4'!$BI55+'[2]PAGE 4'!$BI62</f>
        <v>-1473</v>
      </c>
      <c r="Q32" s="13">
        <f>'[2]PAGE 4'!$BT46+'[2]PAGE 4'!$BT55+'[2]PAGE 4'!$BT62</f>
        <v>131597</v>
      </c>
      <c r="R32" s="47">
        <f>[3]P4!$BM$109</f>
        <v>14341</v>
      </c>
      <c r="S32" s="13">
        <f>[3]P4!$BW$109</f>
        <v>158381</v>
      </c>
      <c r="T32" s="47">
        <f>[13]P4!$BM$109</f>
        <v>8640</v>
      </c>
      <c r="U32" s="13">
        <f>[13]P4!$BW$109</f>
        <v>89868</v>
      </c>
      <c r="V32" s="47">
        <f>+INDEX('[10]PAGE 3'!$1:$1048576,MATCH("F &amp; I MAnagers: Compensation and incentives",'[10]PAGE 3'!$B:$B,0),6)</f>
        <v>6914</v>
      </c>
      <c r="W32" s="13">
        <f>+INDEX('[10]PAGE 3'!$1:$1048576,MATCH("F &amp; I MAnagers: Compensation and incentives",'[10]PAGE 3'!$B:$B,0),8)</f>
        <v>26334</v>
      </c>
      <c r="X32" s="47">
        <f>IFERROR(VLOOKUP("Finance, Ins., &amp; Svc. Ctr. Commissions",'[11]PAGE 2'!$B:$S,14,FALSE)+VLOOKUP("Finc, Ins., &amp; Svc.Ctr.Com. - Scion only",'[11]PAGE 2'!$B:$S,14,FALSE),0)</f>
        <v>20000</v>
      </c>
      <c r="Y32" s="13">
        <f>IFERROR(VLOOKUP("Finance, Ins., &amp; Svc. Ctr. Commissions",'[11]PAGE 2'!$B:$S,16,FALSE)+VLOOKUP("Finc, Ins., &amp; Svc.Ctr.Com. - Scion only",'[11]PAGE 2'!$B:$S,16,FALSE),0)</f>
        <v>149208</v>
      </c>
      <c r="Z32" s="47">
        <f>IFERROR(VLOOKUP("Finance, Ins., &amp; Svc. Ctr. Commissions",'[12]PAGE 2'!$B:$S,14,FALSE)+VLOOKUP("Finc, Ins., &amp; Svc.Ctr.Com. - Scion only",'[12]PAGE 2'!$B:$S,14,FALSE),0)</f>
        <v>9764</v>
      </c>
      <c r="AA32" s="13">
        <f>IFERROR(VLOOKUP("Finance, Ins., &amp; Svc. Ctr. Commissions",'[12]PAGE 2'!$B:$S,16,FALSE)+VLOOKUP("Finc, Ins., &amp; Svc.Ctr.Com. - Scion only",'[12]PAGE 2'!$B:$S,16,FALSE),0)</f>
        <v>43711</v>
      </c>
      <c r="AB32" s="47">
        <f t="shared" si="0"/>
        <v>188185</v>
      </c>
      <c r="AC32" s="13">
        <f t="shared" si="1"/>
        <v>1840500</v>
      </c>
    </row>
    <row r="33" spans="1:29">
      <c r="A33" s="5" t="s">
        <v>7</v>
      </c>
      <c r="B33" s="47">
        <f>INDEX('[4]Page 2'!$B:$DP,MATCH("0110",'[4]Page 2'!$M:$M,0),74)</f>
        <v>-2097</v>
      </c>
      <c r="C33" s="13">
        <f>INDEX('[4]Page 2'!$B:$DP,MATCH("0110",'[4]Page 2'!$M:$M,0),95)</f>
        <v>552</v>
      </c>
      <c r="D33" s="47">
        <f>INDEX('[5]Page 2'!$B:$DP,MATCH("0110",'[5]Page 2'!$M:$M,0),74)</f>
        <v>18</v>
      </c>
      <c r="E33" s="13">
        <f>INDEX('[5]Page 2'!$B:$DP,MATCH("0110",'[5]Page 2'!$M:$M,0),95)</f>
        <v>3869</v>
      </c>
      <c r="F33" s="47">
        <f>INDEX('[6]Page 2'!$B:$DP,MATCH("0110",'[6]Page 2'!$M:$M,0),74)</f>
        <v>-1773</v>
      </c>
      <c r="G33" s="13">
        <f>INDEX('[6]Page 2'!$B:$DP,MATCH("0110",'[6]Page 2'!$M:$M,0),95)</f>
        <v>-9413</v>
      </c>
      <c r="H33" s="47">
        <f>'[7]PAGE 3'!$I22</f>
        <v>-1438</v>
      </c>
      <c r="I33" s="13">
        <f>'[7]PAGE 3'!$K22</f>
        <v>-20823</v>
      </c>
      <c r="J33" s="47">
        <f>'[8]PAGE 3'!$I22</f>
        <v>-1378</v>
      </c>
      <c r="K33" s="13">
        <f>'[8]PAGE 3'!$K22</f>
        <v>-32637</v>
      </c>
      <c r="L33" s="47"/>
      <c r="M33" s="13"/>
      <c r="N33" s="47">
        <f>IFERROR(VLOOKUP("Delivery Expenses",'[9]PAGE 2'!$B:$S,14,FALSE),0)</f>
        <v>-3373</v>
      </c>
      <c r="O33" s="13">
        <f>IFERROR(VLOOKUP("Delivery Expenses",'[9]PAGE 2'!$B:$S,16,FALSE),0)</f>
        <v>-27792</v>
      </c>
      <c r="P33" s="47"/>
      <c r="Q33" s="13"/>
      <c r="R33" s="47">
        <f>[3]P4!$BM$93</f>
        <v>0</v>
      </c>
      <c r="S33" s="13">
        <f>[3]P4!$BW$93</f>
        <v>0</v>
      </c>
      <c r="T33" s="47">
        <f>[13]P4!$BM$93</f>
        <v>0</v>
      </c>
      <c r="U33" s="13">
        <f>[13]P4!$BW$93</f>
        <v>0</v>
      </c>
      <c r="V33" s="47">
        <f>+INDEX('[10]PAGE 3'!$1:$1048576,MATCH("Delivery Expense",'[10]PAGE 3'!$B:$B,0),6)</f>
        <v>1397</v>
      </c>
      <c r="W33" s="13">
        <f>+INDEX('[10]PAGE 3'!$1:$1048576,MATCH("Delivery Expense",'[10]PAGE 3'!$B:$B,0),8)</f>
        <v>18038</v>
      </c>
      <c r="X33" s="47">
        <f>IFERROR(VLOOKUP("Delivery Expenses",'[11]PAGE 2'!$B:$S,14,FALSE),0)</f>
        <v>1383</v>
      </c>
      <c r="Y33" s="13">
        <f>IFERROR(VLOOKUP("Delivery Expenses",'[11]PAGE 2'!$B:$S,16,FALSE),0)</f>
        <v>8315</v>
      </c>
      <c r="Z33" s="47">
        <f>IFERROR(VLOOKUP("Delivery Expenses",'[12]PAGE 2'!$B:$S,14,FALSE),0)</f>
        <v>-1350</v>
      </c>
      <c r="AA33" s="13">
        <f>IFERROR(VLOOKUP("Delivery Expenses",'[12]PAGE 2'!$B:$S,16,FALSE),0)</f>
        <v>-1721</v>
      </c>
      <c r="AB33" s="47">
        <f t="shared" si="0"/>
        <v>-8611</v>
      </c>
      <c r="AC33" s="13">
        <f t="shared" si="1"/>
        <v>-61612</v>
      </c>
    </row>
    <row r="34" spans="1:29">
      <c r="A34" s="5" t="s">
        <v>8</v>
      </c>
      <c r="B34" s="47">
        <f>INDEX('[4]Page 2'!$B:$DP,MATCH("0130",'[4]Page 2'!$M:$M,0),74)</f>
        <v>2487</v>
      </c>
      <c r="C34" s="13">
        <f>INDEX('[4]Page 2'!$B:$DP,MATCH("0130",'[4]Page 2'!$M:$M,0),95)</f>
        <v>19255</v>
      </c>
      <c r="D34" s="47">
        <f>INDEX('[5]Page 2'!$B:$DP,MATCH("0130",'[5]Page 2'!$M:$M,0),74)</f>
        <v>1688</v>
      </c>
      <c r="E34" s="13">
        <f>INDEX('[5]Page 2'!$B:$DP,MATCH("0130",'[5]Page 2'!$M:$M,0),95)</f>
        <v>17654</v>
      </c>
      <c r="F34" s="47">
        <f>INDEX('[6]Page 2'!$B:$DP,MATCH("0130",'[6]Page 2'!$M:$M,0),74)</f>
        <v>0</v>
      </c>
      <c r="G34" s="13">
        <f>INDEX('[6]Page 2'!$B:$DP,MATCH("0130",'[6]Page 2'!$M:$M,0),95)</f>
        <v>299</v>
      </c>
      <c r="H34" s="47">
        <f>'[7]PAGE 3'!$I23</f>
        <v>34</v>
      </c>
      <c r="I34" s="13">
        <f>'[7]PAGE 3'!$K23</f>
        <v>52</v>
      </c>
      <c r="J34" s="47">
        <f>'[8]PAGE 3'!$I23</f>
        <v>0</v>
      </c>
      <c r="K34" s="13">
        <f>'[8]PAGE 3'!$K23</f>
        <v>0</v>
      </c>
      <c r="L34" s="47"/>
      <c r="M34" s="13"/>
      <c r="N34" s="47">
        <f>IFERROR(VLOOKUP("Policy &amp; Claims Adjustments  ",'[9]PAGE 2'!$B:$S,14,FALSE),0)</f>
        <v>0</v>
      </c>
      <c r="O34" s="13">
        <f>IFERROR(VLOOKUP("Policy &amp; Claims Adjustments  ",'[9]PAGE 2'!$B:$S,16,FALSE),0)</f>
        <v>0</v>
      </c>
      <c r="P34" s="47">
        <f>'[2]PAGE 4'!$BI49</f>
        <v>0</v>
      </c>
      <c r="Q34" s="13">
        <f>'[2]PAGE 4'!$BT49</f>
        <v>0</v>
      </c>
      <c r="R34" s="47">
        <f>SUM([3]P4!$BM$97)</f>
        <v>3520</v>
      </c>
      <c r="S34" s="13">
        <f>SUM([3]P4!$BW$97)</f>
        <v>50747</v>
      </c>
      <c r="T34" s="47">
        <f>SUM([13]P4!$BM$97)</f>
        <v>833</v>
      </c>
      <c r="U34" s="13">
        <f>SUM([13]P4!$BW$97)</f>
        <v>28741</v>
      </c>
      <c r="V34" s="47">
        <f>+INDEX('[10]PAGE 3'!$1:$1048576,MATCH("Policy Work - Vehicles",'[10]PAGE 3'!$B:$B,0),6)+INDEX('[10]PAGE 3'!$1:$1048576,MATCH("Policy Work - service, parts &amp; body shop depts",'[10]PAGE 3'!$B:$B,0),6)</f>
        <v>0</v>
      </c>
      <c r="W34" s="13">
        <f>+INDEX('[10]PAGE 3'!$1:$1048576,MATCH("Policy Work - Vehicles",'[10]PAGE 3'!$B:$B,0),8)+INDEX('[10]PAGE 3'!$1:$1048576,MATCH("Policy Work - service, parts &amp; body shop depts",'[10]PAGE 3'!$B:$B,0),8)</f>
        <v>941</v>
      </c>
      <c r="X34" s="47">
        <f>IFERROR(VLOOKUP("Policy &amp; Claims Adjustments  ",'[11]PAGE 2'!$B:$S,14,FALSE),0)</f>
        <v>0</v>
      </c>
      <c r="Y34" s="13">
        <f>IFERROR(VLOOKUP("Policy &amp; Claims Adjustments  ",'[11]PAGE 2'!$B:$S,16,FALSE),0)</f>
        <v>0</v>
      </c>
      <c r="Z34" s="47">
        <f>IFERROR(VLOOKUP("Policy &amp; Claims Adjustments  ",'[12]PAGE 2'!$B:$S,14,FALSE),0)</f>
        <v>1529</v>
      </c>
      <c r="AA34" s="13">
        <f>IFERROR(VLOOKUP("Policy &amp; Claims Adjustments  ",'[12]PAGE 2'!$B:$S,16,FALSE),0)</f>
        <v>2308</v>
      </c>
      <c r="AB34" s="47">
        <f t="shared" si="0"/>
        <v>10091</v>
      </c>
      <c r="AC34" s="13">
        <f t="shared" si="1"/>
        <v>119997</v>
      </c>
    </row>
    <row r="35" spans="1:29">
      <c r="A35" s="5" t="s">
        <v>9</v>
      </c>
      <c r="B35" s="47"/>
      <c r="C35" s="13"/>
      <c r="D35" s="47"/>
      <c r="E35" s="13"/>
      <c r="F35" s="47"/>
      <c r="G35" s="13"/>
      <c r="H35" s="47"/>
      <c r="I35" s="13"/>
      <c r="J35" s="47"/>
      <c r="K35" s="13"/>
      <c r="L35" s="47"/>
      <c r="M35" s="13"/>
      <c r="N35" s="47"/>
      <c r="O35" s="13"/>
      <c r="P35" s="47">
        <f>'[2]PAGE 4'!$BI60</f>
        <v>-1331</v>
      </c>
      <c r="Q35" s="13">
        <f>'[2]PAGE 4'!$BT60</f>
        <v>-4002</v>
      </c>
      <c r="R35" s="47"/>
      <c r="S35" s="13"/>
      <c r="T35" s="47"/>
      <c r="U35" s="13"/>
      <c r="V35" s="47">
        <f>+INDEX('[10]PAGE 3'!$1:$1048576,MATCH("Demonstrator Expense",'[10]PAGE 3'!$B:$B,0),6)</f>
        <v>0</v>
      </c>
      <c r="W35" s="13">
        <f>+INDEX('[10]PAGE 3'!$1:$1048576,MATCH("Demonstrator Expense",'[10]PAGE 3'!$B:$B,0),8)</f>
        <v>0</v>
      </c>
      <c r="X35" s="47"/>
      <c r="Y35" s="13"/>
      <c r="Z35" s="47"/>
      <c r="AA35" s="13"/>
      <c r="AB35" s="47">
        <f t="shared" si="0"/>
        <v>-1331</v>
      </c>
      <c r="AC35" s="13">
        <f t="shared" si="1"/>
        <v>-4002</v>
      </c>
    </row>
    <row r="36" spans="1:29">
      <c r="A36" s="5" t="s">
        <v>214</v>
      </c>
      <c r="B36" s="47">
        <f>INDEX('[4]Page 2'!$B:$DP,MATCH("0140",'[4]Page 2'!$M:$M,0),74)</f>
        <v>18160</v>
      </c>
      <c r="C36" s="13">
        <f>INDEX('[4]Page 2'!$B:$DP,MATCH("0140",'[4]Page 2'!$M:$M,0),95)</f>
        <v>184022</v>
      </c>
      <c r="D36" s="47">
        <f>INDEX('[5]Page 2'!$B:$DP,MATCH("0140",'[5]Page 2'!$M:$M,0),74)</f>
        <v>32556</v>
      </c>
      <c r="E36" s="13">
        <f>INDEX('[5]Page 2'!$B:$DP,MATCH("0140",'[5]Page 2'!$M:$M,0),95)</f>
        <v>345854</v>
      </c>
      <c r="F36" s="47">
        <f>INDEX('[6]Page 2'!$B:$DP,MATCH("0140",'[6]Page 2'!$M:$M,0),74)</f>
        <v>17389</v>
      </c>
      <c r="G36" s="13">
        <f>INDEX('[6]Page 2'!$B:$DP,MATCH("0140",'[6]Page 2'!$M:$M,0),95)</f>
        <v>219377</v>
      </c>
      <c r="H36" s="47">
        <f>IFERROR(VLOOKUP("Demo Expense",'[7]PAGE 3'!$B:$W,8,FALSE),0)</f>
        <v>13118</v>
      </c>
      <c r="I36" s="13">
        <f>IFERROR(VLOOKUP("Demo Expense",'[7]PAGE 3'!$B:$W,10,FALSE),0)</f>
        <v>155620</v>
      </c>
      <c r="J36" s="47">
        <f>IFERROR(VLOOKUP("Demo Expense",'[8]PAGE 3'!$B:$W,8,FALSE),0)</f>
        <v>13480</v>
      </c>
      <c r="K36" s="13">
        <f>IFERROR(VLOOKUP("Demo Expense",'[8]PAGE 3'!$B:$W,10,FALSE),0)</f>
        <v>150738</v>
      </c>
      <c r="L36" s="47"/>
      <c r="M36" s="13"/>
      <c r="N36" s="47">
        <f>IFERROR(VLOOKUP("Advertising - General &amp; Institutional",'[9]PAGE 2'!$B:$S,14,FALSE),0)</f>
        <v>19162</v>
      </c>
      <c r="O36" s="13">
        <f>IFERROR(VLOOKUP("Advertising - General &amp; Institutional",'[9]PAGE 2'!$B:$S,16,FALSE),0)</f>
        <v>229233</v>
      </c>
      <c r="P36" s="47">
        <f>+'[2]PAGE 4'!$BI58</f>
        <v>16455</v>
      </c>
      <c r="Q36" s="13">
        <f>+'[2]PAGE 4'!$BT58</f>
        <v>189894</v>
      </c>
      <c r="R36" s="47">
        <f>[3]P4!$BM$115</f>
        <v>0</v>
      </c>
      <c r="S36" s="13">
        <f>[3]P4!$BW$115</f>
        <v>0</v>
      </c>
      <c r="T36" s="47">
        <f>[13]P4!$BM$115</f>
        <v>0</v>
      </c>
      <c r="U36" s="13">
        <f>[13]P4!$BW$115</f>
        <v>0</v>
      </c>
      <c r="V36" s="47">
        <f>+INDEX('[10]PAGE 3'!$1:$1048576,MATCH("advertising expense - hyundai internet only",'[10]PAGE 3'!$B:$B,0),6)</f>
        <v>4650</v>
      </c>
      <c r="W36" s="13">
        <f>+INDEX('[10]PAGE 3'!$1:$1048576,MATCH("advertising expense - hyundai internet only",'[10]PAGE 3'!$B:$B,0),8)</f>
        <v>31977</v>
      </c>
      <c r="X36" s="47">
        <f>IFERROR(VLOOKUP("Advertising - General &amp; Institutional",'[11]PAGE 2'!$B:$S,14,FALSE),0)</f>
        <v>0</v>
      </c>
      <c r="Y36" s="13">
        <f>IFERROR(VLOOKUP("Advertising - General &amp; Institutional",'[11]PAGE 2'!$B:$S,16,FALSE),0)</f>
        <v>0</v>
      </c>
      <c r="Z36" s="47">
        <f>IFERROR(VLOOKUP("Advertising - General &amp; Institutional",'[12]PAGE 2'!$B:$S,14,FALSE),0)</f>
        <v>-5756</v>
      </c>
      <c r="AA36" s="13">
        <f>IFERROR(VLOOKUP("Advertising - General &amp; Institutional",'[12]PAGE 2'!$B:$S,16,FALSE),0)</f>
        <v>-5501</v>
      </c>
      <c r="AB36" s="47">
        <f t="shared" si="0"/>
        <v>129214</v>
      </c>
      <c r="AC36" s="13">
        <f t="shared" si="1"/>
        <v>1501214</v>
      </c>
    </row>
    <row r="37" spans="1:29">
      <c r="A37" s="5" t="s">
        <v>10</v>
      </c>
      <c r="B37" s="47">
        <f>INDEX('[4]Page 2'!$B:$DP,MATCH("0150",'[4]Page 2'!$M:$M,0),74)</f>
        <v>39719</v>
      </c>
      <c r="C37" s="13">
        <f>INDEX('[4]Page 2'!$B:$DP,MATCH("0150",'[4]Page 2'!$M:$M,0),95)</f>
        <v>403023</v>
      </c>
      <c r="D37" s="47">
        <f>INDEX('[5]Page 2'!$B:$DP,MATCH("0150",'[5]Page 2'!$M:$M,0),74)</f>
        <v>9220</v>
      </c>
      <c r="E37" s="13">
        <f>INDEX('[5]Page 2'!$B:$DP,MATCH("0150",'[5]Page 2'!$M:$M,0),95)</f>
        <v>142627</v>
      </c>
      <c r="F37" s="47">
        <f>INDEX('[6]Page 2'!$B:$DP,MATCH("0150",'[6]Page 2'!$M:$M,0),74)</f>
        <v>43707</v>
      </c>
      <c r="G37" s="13">
        <f>INDEX('[6]Page 2'!$B:$DP,MATCH("0150",'[6]Page 2'!$M:$M,0),95)</f>
        <v>93940</v>
      </c>
      <c r="H37" s="47">
        <f>'[7]PAGE 3'!$I26</f>
        <v>12366</v>
      </c>
      <c r="I37" s="13">
        <f>'[7]PAGE 3'!$K26</f>
        <v>139612</v>
      </c>
      <c r="J37" s="47">
        <f>'[8]PAGE 3'!$I26</f>
        <v>5450</v>
      </c>
      <c r="K37" s="13">
        <f>'[8]PAGE 3'!$K26</f>
        <v>69604</v>
      </c>
      <c r="L37" s="47"/>
      <c r="M37" s="13"/>
      <c r="N37" s="47">
        <f>IFERROR(VLOOKUP("Advertising - Departmental",'[9]PAGE 2'!$B:$S,14,FALSE),0)</f>
        <v>13676</v>
      </c>
      <c r="O37" s="13">
        <f>IFERROR(VLOOKUP("Advertising - Departmental",'[9]PAGE 2'!$B:$S,16,FALSE),0)</f>
        <v>175718</v>
      </c>
      <c r="P37" s="47">
        <f>'[2]PAGE 4'!$BI$56</f>
        <v>13785</v>
      </c>
      <c r="Q37" s="13">
        <f>'[2]PAGE 4'!$BT$56</f>
        <v>168853</v>
      </c>
      <c r="R37" s="47">
        <f>[3]P4!$BM$111</f>
        <v>29921</v>
      </c>
      <c r="S37" s="13">
        <f>[3]P4!$BW$111</f>
        <v>324683</v>
      </c>
      <c r="T37" s="47">
        <f>[13]P4!$BM$111</f>
        <v>19814</v>
      </c>
      <c r="U37" s="13">
        <f>[13]P4!$BW$111</f>
        <v>299208</v>
      </c>
      <c r="V37" s="47">
        <f>+INDEX('[10]PAGE 3'!$1:$1048576,MATCH("advertising expense - hyundai print, tv, other",'[10]PAGE 3'!$B:$B,0),6)+INDEX('[10]PAGE 3'!$1:$1048576,MATCH("advertising - other franchise(s)",'[10]PAGE 3'!$B:$B,0),6)</f>
        <v>1629</v>
      </c>
      <c r="W37" s="13">
        <f>+INDEX('[10]PAGE 3'!$1:$1048576,MATCH("advertising expense - hyundai print, tv, other",'[10]PAGE 3'!$B:$B,0),8)+INDEX('[10]PAGE 3'!$1:$1048576,MATCH("advertising - other franchise(s)",'[10]PAGE 3'!$B:$B,0),8)</f>
        <v>44404</v>
      </c>
      <c r="X37" s="47">
        <f>IFERROR(VLOOKUP("Advertising - Departmental",'[11]PAGE 2'!$B:$S,14,FALSE),0)</f>
        <v>10105</v>
      </c>
      <c r="Y37" s="13">
        <f>IFERROR(VLOOKUP("Advertising - Departmental",'[11]PAGE 2'!$B:$S,16,FALSE),0)</f>
        <v>155855</v>
      </c>
      <c r="Z37" s="47">
        <f>IFERROR(VLOOKUP("Advertising - Departmental",'[12]PAGE 2'!$B:$S,14,FALSE),0)</f>
        <v>1791</v>
      </c>
      <c r="AA37" s="13">
        <f>IFERROR(VLOOKUP("Advertising - Departmental",'[12]PAGE 2'!$B:$S,16,FALSE),0)</f>
        <v>23714</v>
      </c>
      <c r="AB37" s="47">
        <f t="shared" si="0"/>
        <v>201183</v>
      </c>
      <c r="AC37" s="13">
        <f t="shared" si="1"/>
        <v>2041241</v>
      </c>
    </row>
    <row r="38" spans="1:29">
      <c r="A38" s="6" t="s">
        <v>52</v>
      </c>
      <c r="B38" s="47">
        <f>-INDEX('[4]Page 2'!$B:$DP,MATCH("0170",'[4]Page 2'!$M:$M,0),74)</f>
        <v>-11375</v>
      </c>
      <c r="C38" s="13">
        <f>-INDEX('[4]Page 2'!$B:$DP,MATCH("0170",'[4]Page 2'!$M:$M,0),95)</f>
        <v>-137026</v>
      </c>
      <c r="D38" s="47">
        <f>-INDEX('[5]Page 2'!$B:$DP,MATCH("0170",'[5]Page 2'!$M:$M,0),74)</f>
        <v>0</v>
      </c>
      <c r="E38" s="13">
        <f>-INDEX('[5]Page 2'!$B:$DP,MATCH("0170",'[5]Page 2'!$M:$M,0),95)</f>
        <v>0</v>
      </c>
      <c r="F38" s="47">
        <f>-INDEX('[6]Page 2'!$B:$DP,MATCH("0170",'[6]Page 2'!$M:$M,0),74)</f>
        <v>0</v>
      </c>
      <c r="G38" s="13">
        <f>-INDEX('[6]Page 2'!$B:$DP,MATCH("0170",'[6]Page 2'!$M:$M,0),95)</f>
        <v>0</v>
      </c>
      <c r="H38" s="47"/>
      <c r="I38" s="13"/>
      <c r="J38" s="47"/>
      <c r="K38" s="13"/>
      <c r="L38" s="47"/>
      <c r="M38" s="13"/>
      <c r="N38" s="47"/>
      <c r="O38" s="13"/>
      <c r="P38" s="47">
        <f>'[2]PAGE 4'!$BI$57</f>
        <v>0</v>
      </c>
      <c r="Q38" s="13">
        <f>'[2]PAGE 4'!$BT$57</f>
        <v>0</v>
      </c>
      <c r="R38" s="47">
        <f>IFERROR(-[3]P4!$BM$113,0)</f>
        <v>0</v>
      </c>
      <c r="S38" s="13">
        <f>IFERROR(-[3]P4!$BW$113,0)</f>
        <v>0</v>
      </c>
      <c r="T38" s="47">
        <f>IFERROR(-[13]P4!$BM$113,0)</f>
        <v>0</v>
      </c>
      <c r="U38" s="13">
        <f>IFERROR(-[13]P4!$BW$113,0)</f>
        <v>0</v>
      </c>
      <c r="V38" s="47">
        <f>+INDEX('[10]PAGE 3'!$1:$1048576,MATCH("less advertising support from hyundai",'[10]PAGE 3'!$B:$B,0),6)</f>
        <v>0</v>
      </c>
      <c r="W38" s="13">
        <f>+INDEX('[10]PAGE 3'!$1:$1048576,MATCH("less advertising support from hyundai",'[10]PAGE 3'!$B:$B,0),8)</f>
        <v>0</v>
      </c>
      <c r="X38" s="47"/>
      <c r="Y38" s="13"/>
      <c r="Z38" s="47"/>
      <c r="AA38" s="13"/>
      <c r="AB38" s="47">
        <f t="shared" si="0"/>
        <v>-11375</v>
      </c>
      <c r="AC38" s="13">
        <f t="shared" si="1"/>
        <v>-137026</v>
      </c>
    </row>
    <row r="39" spans="1:29">
      <c r="A39" s="7" t="s">
        <v>11</v>
      </c>
      <c r="B39" s="47">
        <f>INDEX('[4]Page 2'!$B:$DP,MATCH("0160",'[4]Page 2'!$M:$M,0),74)</f>
        <v>2357</v>
      </c>
      <c r="C39" s="13">
        <f>INDEX('[4]Page 2'!$B:$DP,MATCH("0160",'[4]Page 2'!$M:$M,0),95)</f>
        <v>33113</v>
      </c>
      <c r="D39" s="47">
        <f>INDEX('[5]Page 2'!$B:$DP,MATCH("0160",'[5]Page 2'!$M:$M,0),74)</f>
        <v>4036</v>
      </c>
      <c r="E39" s="13">
        <f>INDEX('[5]Page 2'!$B:$DP,MATCH("0160",'[5]Page 2'!$M:$M,0),95)</f>
        <v>43956</v>
      </c>
      <c r="F39" s="47">
        <f>INDEX('[6]Page 2'!$B:$DP,MATCH("0160",'[6]Page 2'!$M:$M,0),74)</f>
        <v>5843</v>
      </c>
      <c r="G39" s="13">
        <f>INDEX('[6]Page 2'!$B:$DP,MATCH("0160",'[6]Page 2'!$M:$M,0),95)</f>
        <v>71115</v>
      </c>
      <c r="H39" s="47">
        <f>'[7]PAGE 3'!$I20</f>
        <v>816</v>
      </c>
      <c r="I39" s="13">
        <f>'[7]PAGE 3'!$K20</f>
        <v>6683</v>
      </c>
      <c r="J39" s="47">
        <f>'[8]PAGE 3'!$I20</f>
        <v>1094</v>
      </c>
      <c r="K39" s="13">
        <f>'[8]PAGE 3'!$K20</f>
        <v>3812</v>
      </c>
      <c r="L39" s="47"/>
      <c r="M39" s="13"/>
      <c r="N39" s="47">
        <f>IFERROR(VLOOKUP("Interest - Floor Plan",'[9]PAGE 2'!$B:$S,14,FALSE),0)</f>
        <v>2997</v>
      </c>
      <c r="O39" s="13">
        <f>IFERROR(VLOOKUP("Interest - Floor Plan",'[9]PAGE 2'!$B:$S,16,FALSE),0)</f>
        <v>27496</v>
      </c>
      <c r="P39" s="47">
        <f>'[2]PAGE 4'!$BI$63</f>
        <v>1795</v>
      </c>
      <c r="Q39" s="13">
        <f>'[2]PAGE 4'!$BT$63</f>
        <v>28410</v>
      </c>
      <c r="R39" s="47">
        <f>IFERROR([3]P4!$BM$125,0)</f>
        <v>6246</v>
      </c>
      <c r="S39" s="13">
        <f>[3]P4!$BW$125</f>
        <v>71064</v>
      </c>
      <c r="T39" s="47">
        <f>[13]P4!$BM$125</f>
        <v>4422</v>
      </c>
      <c r="U39" s="13">
        <f>[13]P4!$BW$125</f>
        <v>45485</v>
      </c>
      <c r="V39" s="47">
        <f>+INDEX('[10]PAGE 3'!$1:$1048576,MATCH("Interest - Floor Planning",'[10]PAGE 3'!$B:$B,0),6)</f>
        <v>1412</v>
      </c>
      <c r="W39" s="13">
        <f>+INDEX('[10]PAGE 3'!$1:$1048576,MATCH("Interest - Floor Planning",'[10]PAGE 3'!$B:$B,0),8)</f>
        <v>7117</v>
      </c>
      <c r="X39" s="47">
        <f>IFERROR(VLOOKUP("Interest - Floor Plan",'[11]PAGE 2'!$B:$S,14,FALSE),0)</f>
        <v>3774</v>
      </c>
      <c r="Y39" s="13">
        <f>IFERROR(VLOOKUP("Interest - Floor Plan",'[11]PAGE 2'!$B:$S,16,FALSE),0)</f>
        <v>36417</v>
      </c>
      <c r="Z39" s="47">
        <f>IFERROR(VLOOKUP("Interest - Floor Plan",'[12]PAGE 2'!$B:$S,14,FALSE),0)</f>
        <v>-2107</v>
      </c>
      <c r="AA39" s="13">
        <f>IFERROR(VLOOKUP("Interest - Floor Plan",'[12]PAGE 2'!$B:$S,16,FALSE),0)</f>
        <v>0</v>
      </c>
      <c r="AB39" s="47">
        <f t="shared" si="0"/>
        <v>32685</v>
      </c>
      <c r="AC39" s="13">
        <f t="shared" si="1"/>
        <v>374668</v>
      </c>
    </row>
    <row r="40" spans="1:29">
      <c r="A40" s="6" t="s">
        <v>53</v>
      </c>
      <c r="B40" s="47">
        <f>-INDEX('[4]Page 2'!$B:$DP,MATCH("0180",'[4]Page 2'!$M:$M,0),74)</f>
        <v>0</v>
      </c>
      <c r="C40" s="13">
        <f>-INDEX('[4]Page 2'!$B:$DP,MATCH("0180",'[4]Page 2'!$M:$M,0),95)</f>
        <v>0</v>
      </c>
      <c r="D40" s="47">
        <f>-INDEX('[5]Page 2'!$B:$DP,MATCH("0180",'[5]Page 2'!$M:$M,0),74)</f>
        <v>0</v>
      </c>
      <c r="E40" s="13">
        <f>-INDEX('[5]Page 2'!$B:$DP,MATCH("0180",'[5]Page 2'!$M:$M,0),95)</f>
        <v>0</v>
      </c>
      <c r="F40" s="47">
        <f>-INDEX('[6]Page 2'!$B:$DP,MATCH("0180",'[6]Page 2'!$M:$M,0),74)</f>
        <v>0</v>
      </c>
      <c r="G40" s="13">
        <f>-INDEX('[6]Page 2'!$B:$DP,MATCH("0180",'[6]Page 2'!$M:$M,0),95)</f>
        <v>0</v>
      </c>
      <c r="H40" s="47"/>
      <c r="I40" s="13"/>
      <c r="J40" s="47"/>
      <c r="K40" s="13"/>
      <c r="L40" s="47"/>
      <c r="M40" s="13"/>
      <c r="N40" s="47"/>
      <c r="O40" s="13"/>
      <c r="P40" s="47">
        <f>'[2]PAGE 4'!$BI$64</f>
        <v>0</v>
      </c>
      <c r="Q40" s="13">
        <f>'[2]PAGE 4'!$BT$64</f>
        <v>0</v>
      </c>
      <c r="R40" s="47">
        <f>IFERROR(-[3]P4!$BM$127,0)</f>
        <v>0</v>
      </c>
      <c r="S40" s="13">
        <f>IFERROR(-[3]P4!$BW$127,0)</f>
        <v>0</v>
      </c>
      <c r="T40" s="47">
        <f>IFERROR(-[13]P4!$BM$127,0)</f>
        <v>0</v>
      </c>
      <c r="U40" s="13">
        <f>IFERROR(-[13]P4!$BW$127,0)</f>
        <v>0</v>
      </c>
      <c r="V40" s="47"/>
      <c r="W40" s="13"/>
      <c r="X40" s="47"/>
      <c r="Y40" s="13"/>
      <c r="Z40" s="47"/>
      <c r="AA40" s="13"/>
      <c r="AB40" s="47">
        <f t="shared" si="0"/>
        <v>0</v>
      </c>
      <c r="AC40" s="13">
        <f t="shared" si="1"/>
        <v>0</v>
      </c>
    </row>
    <row r="41" spans="1:29">
      <c r="A41" s="5" t="s">
        <v>12</v>
      </c>
      <c r="B41" s="47">
        <f>INDEX('[4]Page 2'!$B:$DP,MATCH("0190",'[4]Page 2'!$M:$M,0),74)</f>
        <v>0</v>
      </c>
      <c r="C41" s="13">
        <f>INDEX('[4]Page 2'!$B:$DP,MATCH("0190",'[4]Page 2'!$M:$M,0),95)</f>
        <v>0</v>
      </c>
      <c r="D41" s="47">
        <f>-INDEX('[5]Page 2'!$B:$DP,MATCH("0190",'[5]Page 2'!$M:$M,0),74)</f>
        <v>0</v>
      </c>
      <c r="E41" s="13">
        <f>-INDEX('[5]Page 2'!$B:$DP,MATCH("0190",'[5]Page 2'!$M:$M,0),95)</f>
        <v>0</v>
      </c>
      <c r="F41" s="47">
        <f>-INDEX('[6]Page 2'!$B:$DP,MATCH("0190",'[6]Page 2'!$M:$M,0),74)</f>
        <v>0</v>
      </c>
      <c r="G41" s="13">
        <f>-INDEX('[6]Page 2'!$B:$DP,MATCH("0190",'[6]Page 2'!$M:$M,0),95)</f>
        <v>0</v>
      </c>
      <c r="H41" s="47"/>
      <c r="I41" s="13"/>
      <c r="J41" s="47"/>
      <c r="K41" s="13"/>
      <c r="L41" s="47"/>
      <c r="M41" s="13"/>
      <c r="N41" s="47">
        <f>IFERROR(VLOOKUP("Inventory Maintenance",'[9]PAGE 2'!$B:$S,14,FALSE),0)</f>
        <v>0</v>
      </c>
      <c r="O41" s="13">
        <f>IFERROR(VLOOKUP("Inventory Maintenance",'[9]PAGE 2'!$B:$S,16,FALSE),0)</f>
        <v>0</v>
      </c>
      <c r="P41" s="47"/>
      <c r="Q41" s="13"/>
      <c r="R41" s="47"/>
      <c r="S41" s="13"/>
      <c r="T41" s="119"/>
      <c r="U41" s="118"/>
      <c r="V41" s="119">
        <f>+INDEX('[10]PAGE 3'!$1:$1048576,MATCH("Used Vehicle Maintenance Expense",'[10]PAGE 3'!$B:$B,0),6)</f>
        <v>0</v>
      </c>
      <c r="W41" s="118">
        <f>+INDEX('[10]PAGE 3'!$1:$1048576,MATCH("Used Vehicle Maintenance Expense",'[10]PAGE 3'!$B:$B,0),8)</f>
        <v>0</v>
      </c>
      <c r="X41" s="47">
        <f>IFERROR(VLOOKUP("Inventory Maintenance",'[11]PAGE 2'!$B:$S,14,FALSE),0)</f>
        <v>0</v>
      </c>
      <c r="Y41" s="13">
        <f>IFERROR(VLOOKUP("Inventory Maintenance",'[11]PAGE 2'!$B:$S,16,FALSE),0)</f>
        <v>0</v>
      </c>
      <c r="Z41" s="47">
        <f>IFERROR(VLOOKUP("Inventory Maintenance",'[12]PAGE 2'!$B:$S,14,FALSE),0)</f>
        <v>0</v>
      </c>
      <c r="AA41" s="13">
        <f>IFERROR(VLOOKUP("Inventory Maintenance",'[12]PAGE 2'!$B:$S,16,FALSE),0)</f>
        <v>0</v>
      </c>
      <c r="AB41" s="119">
        <f t="shared" si="0"/>
        <v>0</v>
      </c>
      <c r="AC41" s="118">
        <f t="shared" si="1"/>
        <v>0</v>
      </c>
    </row>
    <row r="42" spans="1:29">
      <c r="A42" s="11" t="s">
        <v>54</v>
      </c>
      <c r="B42" s="16">
        <f t="shared" ref="B42:C42" si="26">SUM(B30:B41)</f>
        <v>107872</v>
      </c>
      <c r="C42" s="17">
        <f t="shared" si="26"/>
        <v>1240040</v>
      </c>
      <c r="D42" s="16">
        <f t="shared" ref="D42:E42" si="27">SUM(D30:D41)</f>
        <v>106547</v>
      </c>
      <c r="E42" s="17">
        <f t="shared" si="27"/>
        <v>1188830</v>
      </c>
      <c r="F42" s="16">
        <f t="shared" ref="F42:G42" si="28">SUM(F30:F41)</f>
        <v>159676</v>
      </c>
      <c r="G42" s="17">
        <f t="shared" si="28"/>
        <v>1282228</v>
      </c>
      <c r="H42" s="16">
        <f t="shared" ref="H42:I42" si="29">SUM(H30:H41)</f>
        <v>66567</v>
      </c>
      <c r="I42" s="17">
        <f t="shared" si="29"/>
        <v>768520</v>
      </c>
      <c r="J42" s="16">
        <f t="shared" ref="J42:Q42" si="30">SUM(J30:J41)</f>
        <v>51014</v>
      </c>
      <c r="K42" s="17">
        <f t="shared" si="30"/>
        <v>565374</v>
      </c>
      <c r="L42" s="16"/>
      <c r="M42" s="17"/>
      <c r="N42" s="16">
        <f t="shared" si="30"/>
        <v>99570</v>
      </c>
      <c r="O42" s="17">
        <f t="shared" si="30"/>
        <v>1027539</v>
      </c>
      <c r="P42" s="16">
        <f t="shared" si="30"/>
        <v>54185</v>
      </c>
      <c r="Q42" s="17">
        <f t="shared" si="30"/>
        <v>829882</v>
      </c>
      <c r="R42" s="16">
        <f>SUM(R29:R41)</f>
        <v>86814</v>
      </c>
      <c r="S42" s="17">
        <f t="shared" ref="S42:U42" si="31">SUM(S29:S41)</f>
        <v>1069164</v>
      </c>
      <c r="T42" s="16">
        <f>SUM(T29:T41)</f>
        <v>68751</v>
      </c>
      <c r="U42" s="17">
        <f t="shared" si="31"/>
        <v>989456</v>
      </c>
      <c r="V42" s="16">
        <f t="shared" ref="V42:W42" si="32">SUM(V29:V41)</f>
        <v>23737</v>
      </c>
      <c r="W42" s="17">
        <f t="shared" si="32"/>
        <v>181389</v>
      </c>
      <c r="X42" s="16">
        <f t="shared" ref="X42:AA42" si="33">SUM(X30:X41)</f>
        <v>56537</v>
      </c>
      <c r="Y42" s="17">
        <f t="shared" si="33"/>
        <v>483566</v>
      </c>
      <c r="Z42" s="16">
        <f t="shared" si="33"/>
        <v>6465</v>
      </c>
      <c r="AA42" s="17">
        <f t="shared" si="33"/>
        <v>134192</v>
      </c>
      <c r="AB42" s="16">
        <f t="shared" si="0"/>
        <v>887735</v>
      </c>
      <c r="AC42" s="17">
        <f t="shared" si="1"/>
        <v>9760180</v>
      </c>
    </row>
    <row r="43" spans="1:29">
      <c r="A43" s="4"/>
      <c r="B43" s="22"/>
      <c r="C43" s="23"/>
      <c r="D43" s="22"/>
      <c r="E43" s="23"/>
      <c r="F43" s="22"/>
      <c r="G43" s="23"/>
      <c r="H43" s="22"/>
      <c r="I43" s="23"/>
      <c r="J43" s="22"/>
      <c r="K43" s="23"/>
      <c r="L43" s="22"/>
      <c r="M43" s="23"/>
      <c r="N43" s="22"/>
      <c r="O43" s="23"/>
      <c r="P43" s="22"/>
      <c r="Q43" s="23"/>
      <c r="R43" s="22"/>
      <c r="S43" s="23"/>
      <c r="T43" s="22"/>
      <c r="U43" s="23"/>
      <c r="V43" s="22"/>
      <c r="W43" s="23"/>
      <c r="X43" s="22"/>
      <c r="Y43" s="23"/>
      <c r="Z43" s="22"/>
      <c r="AA43" s="23"/>
      <c r="AB43" s="22">
        <f t="shared" si="0"/>
        <v>0</v>
      </c>
      <c r="AC43" s="23">
        <f t="shared" si="1"/>
        <v>0</v>
      </c>
    </row>
    <row r="44" spans="1:29">
      <c r="A44" s="5" t="s">
        <v>13</v>
      </c>
      <c r="B44" s="47">
        <f>INDEX('[4]Page 2'!$B:$DP,MATCH("0200",'[4]Page 2'!$M:$M,0),74)</f>
        <v>13875</v>
      </c>
      <c r="C44" s="13">
        <f>INDEX('[4]Page 2'!$B:$DP,MATCH("0200",'[4]Page 2'!$M:$M,0),95)</f>
        <v>160830</v>
      </c>
      <c r="D44" s="47">
        <f>INDEX('[5]Page 2'!$B:$DP,MATCH("0200",'[5]Page 2'!$M:$M,0),74)</f>
        <v>13150</v>
      </c>
      <c r="E44" s="13">
        <f>INDEX('[5]Page 2'!$B:$DP,MATCH("0200",'[5]Page 2'!$M:$M,0),95)</f>
        <v>158140</v>
      </c>
      <c r="F44" s="47">
        <f>INDEX('[6]Page 2'!$B:$DP,MATCH("0200",'[6]Page 2'!$M:$M,0),74)</f>
        <v>10492</v>
      </c>
      <c r="G44" s="13">
        <f>INDEX('[6]Page 2'!$B:$DP,MATCH("0200",'[6]Page 2'!$M:$M,0),95)</f>
        <v>149246</v>
      </c>
      <c r="H44" s="47">
        <f>'[7]PAGE 3'!$I28</f>
        <v>6320</v>
      </c>
      <c r="I44" s="13">
        <f>'[7]PAGE 3'!$K28</f>
        <v>87795</v>
      </c>
      <c r="J44" s="47">
        <f>'[8]PAGE 3'!$I28</f>
        <v>5450</v>
      </c>
      <c r="K44" s="13">
        <f>'[8]PAGE 3'!$K28</f>
        <v>73013</v>
      </c>
      <c r="L44" s="47"/>
      <c r="M44" s="13"/>
      <c r="N44" s="47">
        <f>IFERROR(VLOOKUP("Owners Salaries",'[9]PAGE 2'!$B:$S,14,FALSE),0)</f>
        <v>10220</v>
      </c>
      <c r="O44" s="13">
        <f>IFERROR(VLOOKUP("Owners Salaries",'[9]PAGE 2'!$B:$S,16,FALSE),0)</f>
        <v>118545</v>
      </c>
      <c r="P44" s="47">
        <f>'[2]PAGE 2'!$AX$15</f>
        <v>5660</v>
      </c>
      <c r="Q44" s="13">
        <f>'[2]PAGE 2'!$AX$16</f>
        <v>81473</v>
      </c>
      <c r="R44" s="47">
        <f>[3]P2!$AL$29</f>
        <v>4990</v>
      </c>
      <c r="S44" s="13">
        <f>[3]P2!$AL$31</f>
        <v>65520</v>
      </c>
      <c r="T44" s="47">
        <f>[13]P2!$AL$29</f>
        <v>6466</v>
      </c>
      <c r="U44" s="13">
        <f>[13]P2!$AL$31</f>
        <v>94446</v>
      </c>
      <c r="V44" s="47">
        <f>+INDEX('[10]PAGE 3'!$1:$1048576,MATCH("Salaries - Owners/General Managers",'[10]PAGE 3'!$B:$B,0),6)</f>
        <v>0</v>
      </c>
      <c r="W44" s="13">
        <f>+INDEX('[10]PAGE 3'!$1:$1048576,MATCH("Salaries - Owners/General Managers",'[10]PAGE 3'!$B:$B,0),8)</f>
        <v>9165</v>
      </c>
      <c r="X44" s="47">
        <f>IFERROR(VLOOKUP("Owners Salaries",'[11]PAGE 2'!$B:$S,14,FALSE),0)</f>
        <v>0</v>
      </c>
      <c r="Y44" s="13">
        <f>IFERROR(VLOOKUP("Owners Salaries",'[11]PAGE 2'!$B:$S,16,FALSE),0)</f>
        <v>0</v>
      </c>
      <c r="Z44" s="47">
        <f>IFERROR(VLOOKUP("Owners Salaries",'[12]PAGE 2'!$B:$S,14,FALSE),0)</f>
        <v>3000</v>
      </c>
      <c r="AA44" s="13">
        <f>IFERROR(VLOOKUP("Owners Salaries",'[12]PAGE 2'!$B:$S,16,FALSE),0)</f>
        <v>13838</v>
      </c>
      <c r="AB44" s="47">
        <f t="shared" si="0"/>
        <v>79623</v>
      </c>
      <c r="AC44" s="13">
        <f t="shared" si="1"/>
        <v>1012011</v>
      </c>
    </row>
    <row r="45" spans="1:29">
      <c r="A45" s="5" t="s">
        <v>14</v>
      </c>
      <c r="B45" s="47">
        <f>INDEX('[4]Page 2'!$B:$DP,MATCH("0210",'[4]Page 2'!$M:$M,0),74)</f>
        <v>44568</v>
      </c>
      <c r="C45" s="13">
        <f>INDEX('[4]Page 2'!$B:$DP,MATCH("0210",'[4]Page 2'!$M:$M,0),95)</f>
        <v>552383</v>
      </c>
      <c r="D45" s="47">
        <f>INDEX('[5]Page 2'!$B:$DP,MATCH("0210",'[5]Page 2'!$M:$M,0),74)</f>
        <v>41514</v>
      </c>
      <c r="E45" s="13">
        <f>INDEX('[5]Page 2'!$B:$DP,MATCH("0210",'[5]Page 2'!$M:$M,0),95)</f>
        <v>397940</v>
      </c>
      <c r="F45" s="47">
        <f>INDEX('[6]Page 2'!$B:$DP,MATCH("0210",'[6]Page 2'!$M:$M,0),74)</f>
        <v>76307</v>
      </c>
      <c r="G45" s="13">
        <f>INDEX('[6]Page 2'!$B:$DP,MATCH("0210",'[6]Page 2'!$M:$M,0),95)</f>
        <v>584842</v>
      </c>
      <c r="H45" s="47">
        <f>'[7]PAGE 3'!$I29</f>
        <v>13409</v>
      </c>
      <c r="I45" s="13">
        <f>'[7]PAGE 3'!$K29</f>
        <v>187981</v>
      </c>
      <c r="J45" s="47">
        <f>'[8]PAGE 3'!$I29</f>
        <v>23270</v>
      </c>
      <c r="K45" s="13">
        <f>'[8]PAGE 3'!$K29</f>
        <v>223973</v>
      </c>
      <c r="L45" s="47"/>
      <c r="M45" s="13"/>
      <c r="N45" s="47">
        <f>IFERROR(VLOOKUP("Supervision Compensation",'[9]PAGE 2'!$B:$S,14,FALSE)+VLOOKUP("Supervision Compensation - Scion only",'[9]PAGE 2'!$B:$S,14,FALSE),0)</f>
        <v>34085</v>
      </c>
      <c r="O45" s="13">
        <f>IFERROR(VLOOKUP("Supervision Compensation",'[9]PAGE 2'!$B:$S,16,FALSE)+VLOOKUP("Supervision Compensation - Scion only",'[9]PAGE 2'!$B:$S,16,FALSE),0)</f>
        <v>409367</v>
      </c>
      <c r="P45" s="47">
        <f>'[2]PAGE 4'!$BI$53+'[2]PAGE 4'!$BI$45+$Q$3*('[2]PAGE 6'!$O$5)</f>
        <v>41068</v>
      </c>
      <c r="Q45" s="13">
        <f>'[2]PAGE 4'!$BT$53+'[2]PAGE 4'!$BT$45+'[2]PAGE 6'!$BB$5</f>
        <v>361541</v>
      </c>
      <c r="R45" s="47">
        <f>SUM([3]P4!$BM$105)+SUM([3]P6!$M$9)*S3</f>
        <v>34532</v>
      </c>
      <c r="S45" s="1">
        <f>SUM([3]P4!$BW$105)+SUM([3]P6!$AZ$9)</f>
        <v>353814</v>
      </c>
      <c r="T45" s="47">
        <f>SUM([13]P4!$BM$105)+SUM([13]P6!$M$9)*U3</f>
        <v>10363</v>
      </c>
      <c r="U45" s="13">
        <f>SUM([13]P4!$BW$105)+SUM([13]P6!$AZ$9)</f>
        <v>207019</v>
      </c>
      <c r="V45" s="47">
        <f>+INDEX('[10]PAGE 3'!$1:$1048576,MATCH("Salaries - Supervision",'[10]PAGE 3'!$B:$B,0),6)</f>
        <v>18500</v>
      </c>
      <c r="W45" s="13">
        <f>+INDEX('[10]PAGE 3'!$1:$1048576,MATCH("Salaries - Supervision",'[10]PAGE 3'!$B:$B,0),8)</f>
        <v>98289</v>
      </c>
      <c r="X45" s="47">
        <f>IFERROR(VLOOKUP("Supervision Compensation",'[11]PAGE 2'!$B:$S,14,FALSE)+VLOOKUP("Supervision Compensation - Scion only",'[11]PAGE 2'!$B:$S,14,FALSE),0)</f>
        <v>68000</v>
      </c>
      <c r="Y45" s="13">
        <f>IFERROR(VLOOKUP("Supervision Compensation",'[11]PAGE 2'!$B:$S,16,FALSE)+VLOOKUP("Supervision Compensation - Scion only",'[11]PAGE 2'!$B:$S,16,FALSE),0)</f>
        <v>404833</v>
      </c>
      <c r="Z45" s="47">
        <f>IFERROR(VLOOKUP("Supervision Compensation",'[12]PAGE 2'!$B:$S,14,FALSE)+VLOOKUP("Supervision Compensation - Scion only",'[12]PAGE 2'!$B:$S,14,FALSE),0)</f>
        <v>22958</v>
      </c>
      <c r="AA45" s="13">
        <f>IFERROR(VLOOKUP("Supervision Compensation",'[12]PAGE 2'!$B:$S,16,FALSE)+VLOOKUP("Supervision Compensation - Scion only",'[12]PAGE 2'!$B:$S,16,FALSE),0)</f>
        <v>58063</v>
      </c>
      <c r="AB45" s="47">
        <f t="shared" si="0"/>
        <v>428574</v>
      </c>
      <c r="AC45" s="13">
        <f t="shared" si="1"/>
        <v>3840045</v>
      </c>
    </row>
    <row r="46" spans="1:29">
      <c r="A46" s="5" t="s">
        <v>15</v>
      </c>
      <c r="B46" s="47">
        <f>INDEX('[4]Page 2'!$B:$DP,MATCH("0220",'[4]Page 2'!$M:$M,0),74)</f>
        <v>7599</v>
      </c>
      <c r="C46" s="13">
        <f>INDEX('[4]Page 2'!$B:$DP,MATCH("0220",'[4]Page 2'!$M:$M,0),95)</f>
        <v>60501</v>
      </c>
      <c r="D46" s="47">
        <f>INDEX('[5]Page 2'!$B:$DP,MATCH("0220",'[5]Page 2'!$M:$M,0),74)</f>
        <v>11903</v>
      </c>
      <c r="E46" s="13">
        <f>INDEX('[5]Page 2'!$B:$DP,MATCH("0220",'[5]Page 2'!$M:$M,0),95)</f>
        <v>98376</v>
      </c>
      <c r="F46" s="47">
        <f>INDEX('[6]Page 2'!$B:$DP,MATCH("0220",'[6]Page 2'!$M:$M,0),74)</f>
        <v>9606</v>
      </c>
      <c r="G46" s="13">
        <f>INDEX('[6]Page 2'!$B:$DP,MATCH("0220",'[6]Page 2'!$M:$M,0),95)</f>
        <v>92848</v>
      </c>
      <c r="H46" s="47">
        <f>'[7]PAGE 3'!$I30</f>
        <v>4973</v>
      </c>
      <c r="I46" s="13">
        <f>'[7]PAGE 3'!$K30</f>
        <v>56152</v>
      </c>
      <c r="J46" s="47">
        <f>'[8]PAGE 3'!$I30</f>
        <v>4161</v>
      </c>
      <c r="K46" s="13">
        <f>'[8]PAGE 3'!$K30</f>
        <v>39737</v>
      </c>
      <c r="L46" s="47"/>
      <c r="M46" s="13"/>
      <c r="N46" s="47">
        <f>IFERROR(VLOOKUP("Clerical Salaries",'[9]PAGE 2'!$B:$S,14,FALSE),0)</f>
        <v>0</v>
      </c>
      <c r="O46" s="13">
        <f>IFERROR(VLOOKUP("Clerical Salaries",'[9]PAGE 2'!$B:$S,16,FALSE),0)</f>
        <v>6885</v>
      </c>
      <c r="P46" s="47">
        <f>$Q$3*'[2]PAGE 6'!$O$6</f>
        <v>5065.7580993982992</v>
      </c>
      <c r="Q46" s="13">
        <f>'[2]PAGE 6'!$BB$6</f>
        <v>60041</v>
      </c>
      <c r="R46" s="47">
        <f>[3]P6!$M$11*S3</f>
        <v>5063.4254699470321</v>
      </c>
      <c r="S46" s="13">
        <f>[3]P6!$AZ$11</f>
        <v>45730</v>
      </c>
      <c r="T46" s="47">
        <f>[13]P6!$M$11*U3</f>
        <v>6014.4976738730993</v>
      </c>
      <c r="U46" s="13">
        <f>[13]P6!$AZ$11</f>
        <v>67510</v>
      </c>
      <c r="V46" s="47">
        <f>+INDEX('[10]PAGE 3'!$1:$1048576,MATCH("Salaries - clerical",'[10]PAGE 3'!$B:$B,0),6)</f>
        <v>0</v>
      </c>
      <c r="W46" s="13">
        <f>+INDEX('[10]PAGE 3'!$1:$1048576,MATCH("Salaries - clerical",'[10]PAGE 3'!$B:$B,0),8)</f>
        <v>0</v>
      </c>
      <c r="X46" s="47">
        <f>IFERROR(VLOOKUP("Clerical Salaries",'[11]PAGE 2'!$B:$S,14,FALSE),0)</f>
        <v>0</v>
      </c>
      <c r="Y46" s="13">
        <f>IFERROR(VLOOKUP("Clerical Salaries",'[11]PAGE 2'!$B:$S,16,FALSE),0)</f>
        <v>0</v>
      </c>
      <c r="Z46" s="47">
        <f>IFERROR(VLOOKUP("Clerical Salaries",'[12]PAGE 2'!$B:$S,14,FALSE),0)</f>
        <v>0</v>
      </c>
      <c r="AA46" s="13">
        <f>IFERROR(VLOOKUP("Clerical Salaries",'[12]PAGE 2'!$B:$S,16,FALSE),0)</f>
        <v>0</v>
      </c>
      <c r="AB46" s="47">
        <f t="shared" si="0"/>
        <v>54385.681243218431</v>
      </c>
      <c r="AC46" s="13">
        <f t="shared" si="1"/>
        <v>527780</v>
      </c>
    </row>
    <row r="47" spans="1:29">
      <c r="A47" s="5" t="s">
        <v>16</v>
      </c>
      <c r="B47" s="47">
        <f>INDEX('[4]Page 2'!$B:$DP,MATCH("0230",'[4]Page 2'!$M:$M,0),74)</f>
        <v>4148</v>
      </c>
      <c r="C47" s="13">
        <f>INDEX('[4]Page 2'!$B:$DP,MATCH("0230",'[4]Page 2'!$M:$M,0),95)</f>
        <v>39621</v>
      </c>
      <c r="D47" s="47">
        <f>INDEX('[5]Page 2'!$B:$DP,MATCH("0230",'[5]Page 2'!$M:$M,0),74)</f>
        <v>10799</v>
      </c>
      <c r="E47" s="13">
        <f>INDEX('[5]Page 2'!$B:$DP,MATCH("0230",'[5]Page 2'!$M:$M,0),95)</f>
        <v>125358</v>
      </c>
      <c r="F47" s="47">
        <f>INDEX('[6]Page 2'!$B:$DP,MATCH("0230",'[6]Page 2'!$M:$M,0),74)</f>
        <v>23553</v>
      </c>
      <c r="G47" s="13">
        <f>INDEX('[6]Page 2'!$B:$DP,MATCH("0230",'[6]Page 2'!$M:$M,0),95)</f>
        <v>171973</v>
      </c>
      <c r="H47" s="47">
        <f>'[7]PAGE 3'!$I31</f>
        <v>14230</v>
      </c>
      <c r="I47" s="13">
        <f>'[7]PAGE 3'!$K31</f>
        <v>167901</v>
      </c>
      <c r="J47" s="47">
        <f>'[8]PAGE 3'!$I31</f>
        <v>4068</v>
      </c>
      <c r="K47" s="13">
        <f>'[8]PAGE 3'!$K31</f>
        <v>53788</v>
      </c>
      <c r="L47" s="47"/>
      <c r="M47" s="13"/>
      <c r="N47" s="47">
        <f>IFERROR(VLOOKUP("Salaries &amp; Wages",'[9]PAGE 2'!$B:$S,14,FALSE)+VLOOKUP("Salaries &amp; Wages - Admin. &amp; General",'[9]PAGE 2'!$B:$S,14,FALSE),0)</f>
        <v>23267</v>
      </c>
      <c r="O47" s="13">
        <f>IFERROR(VLOOKUP("Salaries &amp; Wages",'[9]PAGE 2'!$B:$S,16,FALSE)+VLOOKUP("Salaries &amp; Wages - Admin. &amp; General",'[9]PAGE 2'!$B:$S,16,FALSE),0)</f>
        <v>183648</v>
      </c>
      <c r="P47" s="47">
        <f>'[2]PAGE 4'!$BI$54</f>
        <v>9931</v>
      </c>
      <c r="Q47" s="13">
        <f>'[2]PAGE 4'!$BT$54</f>
        <v>101577</v>
      </c>
      <c r="R47" s="47">
        <f>[3]P4!$BM$107</f>
        <v>3554</v>
      </c>
      <c r="S47" s="13">
        <f>[3]P4!$BW$107</f>
        <v>27767</v>
      </c>
      <c r="T47" s="47">
        <f>SUM([13]P4!$BM$107)</f>
        <v>4315</v>
      </c>
      <c r="U47" s="13">
        <f>SUM([13]P4!$BW$107)</f>
        <v>46013</v>
      </c>
      <c r="V47" s="47">
        <f>+INDEX('[10]PAGE 3'!$1:$1048576,MATCH("Other salaries and wages",'[10]PAGE 3'!$B:$B,0),6)</f>
        <v>486</v>
      </c>
      <c r="W47" s="13">
        <f>+INDEX('[10]PAGE 3'!$1:$1048576,MATCH("Other salaries and wages",'[10]PAGE 3'!$B:$B,0),8)</f>
        <v>2837</v>
      </c>
      <c r="X47" s="47">
        <f>IFERROR(VLOOKUP("Salaries &amp; Wages",'[11]PAGE 2'!$B:$S,14,FALSE)+VLOOKUP("Salaries &amp; Wages - Admin. &amp; General",'[11]PAGE 2'!$B:$S,14,FALSE),0)</f>
        <v>17528</v>
      </c>
      <c r="Y47" s="13">
        <f>IFERROR(VLOOKUP("Salaries &amp; Wages",'[11]PAGE 2'!$B:$S,16,FALSE)+VLOOKUP("Salaries &amp; Wages - Admin. &amp; General",'[11]PAGE 2'!$B:$S,16,FALSE),0)</f>
        <v>96050</v>
      </c>
      <c r="Z47" s="47">
        <f>IFERROR(VLOOKUP("Salaries &amp; Wages",'[12]PAGE 2'!$B:$S,14,FALSE)+VLOOKUP("Salaries &amp; Wages - Admin. &amp; General",'[12]PAGE 2'!$B:$S,14,FALSE),0)</f>
        <v>9486</v>
      </c>
      <c r="AA47" s="13">
        <f>IFERROR(VLOOKUP("Salaries &amp; Wages",'[12]PAGE 2'!$B:$S,16,FALSE)+VLOOKUP("Salaries &amp; Wages - Admin. &amp; General",'[12]PAGE 2'!$B:$S,16,FALSE),0)</f>
        <v>24654</v>
      </c>
      <c r="AB47" s="47">
        <f t="shared" si="0"/>
        <v>125365</v>
      </c>
      <c r="AC47" s="13">
        <f t="shared" si="1"/>
        <v>1041187</v>
      </c>
    </row>
    <row r="48" spans="1:29">
      <c r="A48" s="5" t="s">
        <v>17</v>
      </c>
      <c r="B48" s="47">
        <f>INDEX('[4]Page 2'!$B:$DP,MATCH("0240",'[4]Page 2'!$M:$M,0),74)</f>
        <v>0</v>
      </c>
      <c r="C48" s="13">
        <f>INDEX('[4]Page 2'!$B:$DP,MATCH("0240",'[4]Page 2'!$M:$M,0),95)</f>
        <v>0</v>
      </c>
      <c r="D48" s="47">
        <f>INDEX('[5]Page 2'!$B:$DP,MATCH("0240",'[5]Page 2'!$M:$M,0),74)</f>
        <v>0</v>
      </c>
      <c r="E48" s="13">
        <f>INDEX('[5]Page 2'!$B:$DP,MATCH("0240",'[5]Page 2'!$M:$M,0),95)</f>
        <v>0</v>
      </c>
      <c r="F48" s="47">
        <f>INDEX('[6]Page 2'!$B:$DP,MATCH("0240",'[6]Page 2'!$M:$M,0),74)</f>
        <v>0</v>
      </c>
      <c r="G48" s="13">
        <f>INDEX('[6]Page 2'!$B:$DP,MATCH("0240",'[6]Page 2'!$M:$M,0),95)</f>
        <v>0</v>
      </c>
      <c r="H48" s="47">
        <f>'[7]PAGE 3'!$I34</f>
        <v>35</v>
      </c>
      <c r="I48" s="13">
        <f>'[7]PAGE 3'!$K34</f>
        <v>10210</v>
      </c>
      <c r="J48" s="47">
        <f>'[8]PAGE 3'!$I34</f>
        <v>-532</v>
      </c>
      <c r="K48" s="13">
        <f>'[8]PAGE 3'!$K34</f>
        <v>4468</v>
      </c>
      <c r="L48" s="47"/>
      <c r="M48" s="13"/>
      <c r="N48" s="47">
        <f>IFERROR(VLOOKUP("Vacation &amp; Time Off Pay",'[9]PAGE 2'!$B:$S,14,FALSE),0)</f>
        <v>1500</v>
      </c>
      <c r="O48" s="13">
        <f>IFERROR(VLOOKUP("Vacation &amp; Time Off Pay",'[9]PAGE 2'!$B:$S,16,FALSE),0)</f>
        <v>13125</v>
      </c>
      <c r="P48" s="47"/>
      <c r="Q48" s="13"/>
      <c r="R48" s="47"/>
      <c r="S48" s="13"/>
      <c r="T48" s="47"/>
      <c r="U48" s="13"/>
      <c r="V48" s="47">
        <f>+INDEX('[10]PAGE 3'!$1:$1048576,MATCH("Leave - vacation, sick &amp; holiday compensation",'[10]PAGE 3'!$B:$B,0),6)</f>
        <v>0</v>
      </c>
      <c r="W48" s="13">
        <f>+INDEX('[10]PAGE 3'!$1:$1048576,MATCH("Leave - vacation, sick &amp; holiday compensation",'[10]PAGE 3'!$B:$B,0),8)</f>
        <v>299</v>
      </c>
      <c r="X48" s="47">
        <f>IFERROR(VLOOKUP("Vacation &amp; Time Off Pay",'[11]PAGE 2'!$B:$S,14,FALSE),0)</f>
        <v>0</v>
      </c>
      <c r="Y48" s="13">
        <f>IFERROR(VLOOKUP("Vacation &amp; Time Off Pay",'[11]PAGE 2'!$B:$S,16,FALSE),0)</f>
        <v>0</v>
      </c>
      <c r="Z48" s="47">
        <f>IFERROR(VLOOKUP("Vacation &amp; Time Off Pay",'[12]PAGE 2'!$B:$S,14,FALSE),0)</f>
        <v>656</v>
      </c>
      <c r="AA48" s="13">
        <f>IFERROR(VLOOKUP("Vacation &amp; Time Off Pay",'[12]PAGE 2'!$B:$S,16,FALSE),0)</f>
        <v>843</v>
      </c>
      <c r="AB48" s="47">
        <f t="shared" si="0"/>
        <v>1659</v>
      </c>
      <c r="AC48" s="13">
        <f t="shared" si="1"/>
        <v>28945</v>
      </c>
    </row>
    <row r="49" spans="1:29">
      <c r="A49" s="5" t="s">
        <v>18</v>
      </c>
      <c r="B49" s="47">
        <f>INDEX('[4]Page 2'!$B:$DP,MATCH("0250",'[4]Page 2'!$M:$M,0),74)</f>
        <v>-498</v>
      </c>
      <c r="C49" s="13">
        <f>INDEX('[4]Page 2'!$B:$DP,MATCH("0250",'[4]Page 2'!$M:$M,0),95)</f>
        <v>20794</v>
      </c>
      <c r="D49" s="47">
        <f>INDEX('[5]Page 2'!$B:$DP,MATCH("0250",'[5]Page 2'!$M:$M,0),74)</f>
        <v>7107</v>
      </c>
      <c r="E49" s="13">
        <f>INDEX('[5]Page 2'!$B:$DP,MATCH("0250",'[5]Page 2'!$M:$M,0),95)</f>
        <v>100691</v>
      </c>
      <c r="F49" s="47">
        <f>INDEX('[6]Page 2'!$B:$DP,MATCH("0250",'[6]Page 2'!$M:$M,0),74)</f>
        <v>6239</v>
      </c>
      <c r="G49" s="13">
        <f>INDEX('[6]Page 2'!$B:$DP,MATCH("0250",'[6]Page 2'!$M:$M,0),95)</f>
        <v>84597</v>
      </c>
      <c r="H49" s="47">
        <f>'[7]PAGE 3'!$I32</f>
        <v>5589</v>
      </c>
      <c r="I49" s="13">
        <f>'[7]PAGE 3'!$K32</f>
        <v>80661</v>
      </c>
      <c r="J49" s="47">
        <f>'[8]PAGE 3'!$I32</f>
        <v>5577</v>
      </c>
      <c r="K49" s="13">
        <f>'[8]PAGE 3'!$K32</f>
        <v>67642</v>
      </c>
      <c r="L49" s="47"/>
      <c r="M49" s="13"/>
      <c r="N49" s="47">
        <f>IFERROR(VLOOKUP("Payroll Taxes",'[9]PAGE 2'!$B:$S,14,FALSE),0)</f>
        <v>7380</v>
      </c>
      <c r="O49" s="13">
        <f>IFERROR(VLOOKUP("Payroll Taxes",'[9]PAGE 2'!$B:$S,16,FALSE),0)</f>
        <v>102904</v>
      </c>
      <c r="P49" s="47">
        <f>$Q$3*'[2]PAGE 6'!$O$8</f>
        <v>5656.5949979657817</v>
      </c>
      <c r="Q49" s="13">
        <f>'[2]PAGE 6'!$BB$8</f>
        <v>81831</v>
      </c>
      <c r="R49" s="47">
        <f>[3]P6!$M$15*S3</f>
        <v>4758.8239377461659</v>
      </c>
      <c r="S49" s="13">
        <f>[3]P6!$AZ$15</f>
        <v>67092</v>
      </c>
      <c r="T49" s="47">
        <f>[13]P6!$M$15*U3</f>
        <v>3407.9326791508661</v>
      </c>
      <c r="U49" s="13">
        <f>[13]P6!$AZ$15</f>
        <v>51532</v>
      </c>
      <c r="V49" s="47">
        <f>+INDEX('[10]PAGE 3'!$1:$1048576,MATCH("taxes payroll",'[10]PAGE 3'!$B:$B,0),6)</f>
        <v>1436</v>
      </c>
      <c r="W49" s="13">
        <f>+INDEX('[10]PAGE 3'!$1:$1048576,MATCH("taxes payroll",'[10]PAGE 3'!$B:$B,0),8)</f>
        <v>8513</v>
      </c>
      <c r="X49" s="47">
        <f>IFERROR(VLOOKUP("Payroll Taxes",'[11]PAGE 2'!$B:$S,14,FALSE),0)</f>
        <v>8734</v>
      </c>
      <c r="Y49" s="13">
        <f>IFERROR(VLOOKUP("Payroll Taxes",'[11]PAGE 2'!$B:$S,16,FALSE),0)</f>
        <v>51561</v>
      </c>
      <c r="Z49" s="47">
        <f>IFERROR(VLOOKUP("Payroll Taxes",'[12]PAGE 2'!$B:$S,14,FALSE),0)</f>
        <v>5888</v>
      </c>
      <c r="AA49" s="13">
        <f>IFERROR(VLOOKUP("Payroll Taxes",'[12]PAGE 2'!$B:$S,16,FALSE),0)</f>
        <v>17452</v>
      </c>
      <c r="AB49" s="47">
        <f t="shared" si="0"/>
        <v>61275.351614862811</v>
      </c>
      <c r="AC49" s="13">
        <f t="shared" si="1"/>
        <v>735270</v>
      </c>
    </row>
    <row r="50" spans="1:29">
      <c r="A50" s="5" t="s">
        <v>19</v>
      </c>
      <c r="B50" s="47">
        <f>INDEX('[4]Page 2'!$B:$DP,MATCH("0260",'[4]Page 2'!$M:$M,0),74)</f>
        <v>9541</v>
      </c>
      <c r="C50" s="13">
        <f>INDEX('[4]Page 2'!$B:$DP,MATCH("0260",'[4]Page 2'!$M:$M,0),95)</f>
        <v>93732</v>
      </c>
      <c r="D50" s="47">
        <f>INDEX('[5]Page 2'!$B:$DP,MATCH("0260",'[5]Page 2'!$M:$M,0),74)</f>
        <v>8133</v>
      </c>
      <c r="E50" s="13">
        <f>INDEX('[5]Page 2'!$B:$DP,MATCH("0260",'[5]Page 2'!$M:$M,0),95)</f>
        <v>72418</v>
      </c>
      <c r="F50" s="47">
        <f>INDEX('[6]Page 2'!$B:$DP,MATCH("0260",'[6]Page 2'!$M:$M,0),74)</f>
        <v>8720</v>
      </c>
      <c r="G50" s="13">
        <f>INDEX('[6]Page 2'!$B:$DP,MATCH("0260",'[6]Page 2'!$M:$M,0),95)</f>
        <v>116363</v>
      </c>
      <c r="H50" s="47">
        <f>'[7]PAGE 3'!$I33</f>
        <v>6856</v>
      </c>
      <c r="I50" s="13">
        <f>'[7]PAGE 3'!$K33</f>
        <v>58284</v>
      </c>
      <c r="J50" s="47">
        <f>'[8]PAGE 3'!$I33</f>
        <v>4387</v>
      </c>
      <c r="K50" s="13">
        <f>'[8]PAGE 3'!$K33</f>
        <v>36437</v>
      </c>
      <c r="L50" s="47"/>
      <c r="M50" s="13"/>
      <c r="N50" s="47">
        <f>IFERROR(VLOOKUP("Employee Benefits",'[9]PAGE 2'!$B:$S,14,FALSE),0)</f>
        <v>8479</v>
      </c>
      <c r="O50" s="13">
        <f>IFERROR(VLOOKUP("Employee Benefits",'[9]PAGE 2'!$B:$S,16,FALSE),0)</f>
        <v>73779</v>
      </c>
      <c r="P50" s="47">
        <f>$Q$3*'[2]PAGE 6'!$O$7</f>
        <v>6044.4851502109159</v>
      </c>
      <c r="Q50" s="13">
        <f>'[2]PAGE 6'!$BB$7</f>
        <v>53734</v>
      </c>
      <c r="R50" s="47">
        <f>[3]P6!$M$13*S3</f>
        <v>4393.0220976966684</v>
      </c>
      <c r="S50" s="13">
        <f>[3]P6!$AZ$13</f>
        <v>47344</v>
      </c>
      <c r="T50" s="47">
        <f>[13]P6!$M$13*U3</f>
        <v>3588.1344071308499</v>
      </c>
      <c r="U50" s="13">
        <f>[13]P6!$AZ$13</f>
        <v>57713</v>
      </c>
      <c r="V50" s="47">
        <f>+INDEX('[10]PAGE 3'!$1:$1048576,MATCH("employee benefits",'[10]PAGE 3'!$B:$B,0),6)</f>
        <v>1492</v>
      </c>
      <c r="W50" s="13">
        <f>+INDEX('[10]PAGE 3'!$1:$1048576,MATCH("employee benefits",'[10]PAGE 3'!$B:$B,0),8)</f>
        <v>6745</v>
      </c>
      <c r="X50" s="47">
        <f>IFERROR(VLOOKUP("Employee Benefits",'[11]PAGE 2'!$B:$S,14,FALSE),0)</f>
        <v>2210</v>
      </c>
      <c r="Y50" s="13">
        <f>IFERROR(VLOOKUP("Employee Benefits",'[11]PAGE 2'!$B:$S,16,FALSE),0)</f>
        <v>19331</v>
      </c>
      <c r="Z50" s="47">
        <f>IFERROR(VLOOKUP("Employee Benefits",'[12]PAGE 2'!$B:$S,14,FALSE),0)</f>
        <v>3579</v>
      </c>
      <c r="AA50" s="13">
        <f>IFERROR(VLOOKUP("Employee Benefits",'[12]PAGE 2'!$B:$S,16,FALSE),0)</f>
        <v>7688</v>
      </c>
      <c r="AB50" s="47">
        <f t="shared" si="0"/>
        <v>67422.641655038431</v>
      </c>
      <c r="AC50" s="13">
        <f t="shared" si="1"/>
        <v>643568</v>
      </c>
    </row>
    <row r="51" spans="1:29">
      <c r="A51" s="5" t="s">
        <v>20</v>
      </c>
      <c r="B51" s="47"/>
      <c r="C51" s="13"/>
      <c r="D51" s="47"/>
      <c r="E51" s="13"/>
      <c r="F51" s="47"/>
      <c r="G51" s="13"/>
      <c r="H51" s="47"/>
      <c r="I51" s="13"/>
      <c r="J51" s="47"/>
      <c r="K51" s="13"/>
      <c r="L51" s="47"/>
      <c r="M51" s="13"/>
      <c r="N51" s="47">
        <f>IFERROR(VLOOKUP("Pension Fund/Profit Sharing",'[9]PAGE 2'!$B:$S,14,FALSE),0)</f>
        <v>475</v>
      </c>
      <c r="O51" s="13">
        <f>IFERROR(VLOOKUP("Pension Fund/Profit Sharing",'[9]PAGE 2'!$B:$S,16,FALSE),0)</f>
        <v>6538</v>
      </c>
      <c r="P51" s="47">
        <f>$Q$3*'[2]PAGE 6'!$O$9</f>
        <v>580.47133894349156</v>
      </c>
      <c r="Q51" s="13">
        <f>'[2]PAGE 6'!$BB$9</f>
        <v>7300</v>
      </c>
      <c r="R51" s="47">
        <f>[3]P6!$M$17*S3</f>
        <v>531.60267405771663</v>
      </c>
      <c r="S51" s="13">
        <f>[3]P6!$AZ$17</f>
        <v>7110</v>
      </c>
      <c r="T51" s="47">
        <f>[13]P6!$M$17*U3</f>
        <v>149.46143320692758</v>
      </c>
      <c r="U51" s="13">
        <f>[13]P6!$AZ$17</f>
        <v>2273</v>
      </c>
      <c r="V51" s="47">
        <f>+INDEX('[10]PAGE 3'!$1:$1048576,MATCH("pension &amp; profit sharing",'[10]PAGE 3'!$B:$B,0),6)</f>
        <v>0</v>
      </c>
      <c r="W51" s="13">
        <f>+INDEX('[10]PAGE 3'!$1:$1048576,MATCH("pension &amp; profit sharing",'[10]PAGE 3'!$B:$B,0),8)</f>
        <v>138</v>
      </c>
      <c r="X51" s="47">
        <f>IFERROR(VLOOKUP("Pension Fund/Profit Sharing",'[11]PAGE 2'!$B:$S,14,FALSE),0)</f>
        <v>0</v>
      </c>
      <c r="Y51" s="13">
        <f>IFERROR(VLOOKUP("Pension Fund/Profit Sharing",'[11]PAGE 2'!$B:$S,16,FALSE),0)</f>
        <v>0</v>
      </c>
      <c r="Z51" s="47">
        <f>IFERROR(VLOOKUP("Pension Fund/Profit Sharing",'[12]PAGE 2'!$B:$S,14,FALSE),0)</f>
        <v>0</v>
      </c>
      <c r="AA51" s="13">
        <f>IFERROR(VLOOKUP("Pension Fund/Profit Sharing",'[12]PAGE 2'!$B:$S,16,FALSE),0)</f>
        <v>0</v>
      </c>
      <c r="AB51" s="47">
        <f t="shared" si="0"/>
        <v>1736.5354462081357</v>
      </c>
      <c r="AC51" s="13">
        <f t="shared" si="1"/>
        <v>23359</v>
      </c>
    </row>
    <row r="52" spans="1:29">
      <c r="A52" s="4" t="s">
        <v>55</v>
      </c>
      <c r="B52" s="24">
        <f t="shared" ref="B52:C52" si="34">SUM(B44:B51)</f>
        <v>79233</v>
      </c>
      <c r="C52" s="25">
        <f t="shared" si="34"/>
        <v>927861</v>
      </c>
      <c r="D52" s="24">
        <f t="shared" ref="D52:E52" si="35">SUM(D44:D51)</f>
        <v>92606</v>
      </c>
      <c r="E52" s="25">
        <f t="shared" si="35"/>
        <v>952923</v>
      </c>
      <c r="F52" s="24">
        <f t="shared" ref="F52:G52" si="36">SUM(F44:F51)</f>
        <v>134917</v>
      </c>
      <c r="G52" s="25">
        <f t="shared" si="36"/>
        <v>1199869</v>
      </c>
      <c r="H52" s="24">
        <f t="shared" ref="H52:K52" si="37">SUM(H44:H51)</f>
        <v>51412</v>
      </c>
      <c r="I52" s="25">
        <f t="shared" si="37"/>
        <v>648984</v>
      </c>
      <c r="J52" s="24">
        <f t="shared" si="37"/>
        <v>46381</v>
      </c>
      <c r="K52" s="25">
        <f t="shared" si="37"/>
        <v>499058</v>
      </c>
      <c r="L52" s="24"/>
      <c r="M52" s="25"/>
      <c r="N52" s="24">
        <f t="shared" ref="N52:Q52" si="38">SUM(N44:N51)</f>
        <v>85406</v>
      </c>
      <c r="O52" s="25">
        <f t="shared" si="38"/>
        <v>914791</v>
      </c>
      <c r="P52" s="24">
        <f t="shared" si="38"/>
        <v>74006.309586518473</v>
      </c>
      <c r="Q52" s="25">
        <f t="shared" si="38"/>
        <v>747497</v>
      </c>
      <c r="R52" s="24">
        <f t="shared" ref="R52:S52" si="39">SUM(R43:R51)</f>
        <v>57822.874179447579</v>
      </c>
      <c r="S52" s="25">
        <f t="shared" si="39"/>
        <v>614377</v>
      </c>
      <c r="T52" s="24">
        <f t="shared" ref="T52:W52" si="40">SUM(T43:T51)</f>
        <v>34304.026193361737</v>
      </c>
      <c r="U52" s="25">
        <f t="shared" si="40"/>
        <v>526506</v>
      </c>
      <c r="V52" s="24">
        <f t="shared" si="40"/>
        <v>21914</v>
      </c>
      <c r="W52" s="25">
        <f t="shared" si="40"/>
        <v>125986</v>
      </c>
      <c r="X52" s="24">
        <f t="shared" ref="X52:AA52" si="41">SUM(X44:X51)</f>
        <v>96472</v>
      </c>
      <c r="Y52" s="25">
        <f t="shared" si="41"/>
        <v>571775</v>
      </c>
      <c r="Z52" s="24">
        <f t="shared" si="41"/>
        <v>45567</v>
      </c>
      <c r="AA52" s="25">
        <f t="shared" si="41"/>
        <v>122538</v>
      </c>
      <c r="AB52" s="24">
        <f t="shared" si="0"/>
        <v>820041.20995932771</v>
      </c>
      <c r="AC52" s="25">
        <f t="shared" si="1"/>
        <v>7852165</v>
      </c>
    </row>
    <row r="53" spans="1:29">
      <c r="A53" s="5" t="s">
        <v>21</v>
      </c>
      <c r="B53" s="47">
        <f>INDEX('[4]Page 2'!$B:$DP,MATCH("0310",'[4]Page 2'!$M:$M,0),74)</f>
        <v>525</v>
      </c>
      <c r="C53" s="13">
        <f>INDEX('[4]Page 2'!$B:$DP,MATCH("0310",'[4]Page 2'!$M:$M,0),95)</f>
        <v>4212</v>
      </c>
      <c r="D53" s="47">
        <f>INDEX('[5]Page 2'!$B:$DP,MATCH("0310",'[5]Page 2'!$M:$M,0),74)</f>
        <v>69</v>
      </c>
      <c r="E53" s="13">
        <f>INDEX('[5]Page 2'!$B:$DP,MATCH("0310",'[5]Page 2'!$M:$M,0),95)</f>
        <v>1056</v>
      </c>
      <c r="F53" s="47">
        <f>INDEX('[6]Page 2'!$B:$DP,MATCH("0310",'[6]Page 2'!$M:$M,0),74)</f>
        <v>200</v>
      </c>
      <c r="G53" s="13">
        <f>INDEX('[6]Page 2'!$B:$DP,MATCH("0310",'[6]Page 2'!$M:$M,0),95)</f>
        <v>298</v>
      </c>
      <c r="H53" s="47">
        <f>'[7]PAGE 3'!$I36</f>
        <v>7</v>
      </c>
      <c r="I53" s="13">
        <f>'[7]PAGE 3'!$K36</f>
        <v>407</v>
      </c>
      <c r="J53" s="47">
        <f>'[8]PAGE 3'!$I36</f>
        <v>7</v>
      </c>
      <c r="K53" s="13">
        <f>'[8]PAGE 3'!$K36</f>
        <v>584</v>
      </c>
      <c r="L53" s="47"/>
      <c r="M53" s="13"/>
      <c r="N53" s="47">
        <f>IFERROR(VLOOKUP("Demos &amp; Company Vehicles - Dept'l",'[9]PAGE 2'!$B:$S,14,FALSE)+VLOOKUP("Company Vehicles - Administration",'[9]PAGE 2'!$B:$S,14,FALSE),0)</f>
        <v>2204</v>
      </c>
      <c r="O53" s="13">
        <f>IFERROR(VLOOKUP("Demos &amp; Company Vehicles - Dept'l",'[9]PAGE 2'!$B:$S,16,FALSE)+VLOOKUP("Company Vehicles - Administration",'[9]PAGE 2'!$B:$S,16,FALSE),0)</f>
        <v>13049</v>
      </c>
      <c r="P53" s="47"/>
      <c r="Q53" s="13"/>
      <c r="R53" s="47">
        <f>SUM([3]P4!$BM$119)</f>
        <v>0</v>
      </c>
      <c r="S53" s="13">
        <f>SUM([3]P4!$BW$119)</f>
        <v>0</v>
      </c>
      <c r="T53" s="47">
        <f>[13]P4!$BM$119</f>
        <v>0</v>
      </c>
      <c r="U53" s="13">
        <f>[13]P4!$BW$119</f>
        <v>0</v>
      </c>
      <c r="V53" s="47">
        <f>+INDEX('[10]PAGE 3'!$1:$1048576,MATCH("company vehicle expense",'[10]PAGE 3'!$B:$B,0),6)</f>
        <v>0</v>
      </c>
      <c r="W53" s="13">
        <f>+INDEX('[10]PAGE 3'!$1:$1048576,MATCH("company vehicle expense",'[10]PAGE 3'!$B:$B,0),8)</f>
        <v>0</v>
      </c>
      <c r="X53" s="47">
        <f>IFERROR(VLOOKUP("Demos &amp; Company Vehicles - Dept'l",'[11]PAGE 2'!$B:$S,14,FALSE)+VLOOKUP("Company Vehicles - Administration",'[11]PAGE 2'!$B:$S,14,FALSE),0)</f>
        <v>0</v>
      </c>
      <c r="Y53" s="13">
        <f>IFERROR(VLOOKUP("Demos &amp; Company Vehicles - Dept'l",'[11]PAGE 2'!$B:$S,16,FALSE)+VLOOKUP("Company Vehicles - Administration",'[11]PAGE 2'!$B:$S,16,FALSE),0)</f>
        <v>234</v>
      </c>
      <c r="Z53" s="47">
        <f>IFERROR(VLOOKUP("Demos &amp; Company Vehicles - Dept'l",'[12]PAGE 2'!$B:$S,14,FALSE)+VLOOKUP("Company Vehicles - Administration",'[12]PAGE 2'!$B:$S,14,FALSE),0)</f>
        <v>8823</v>
      </c>
      <c r="AA53" s="13">
        <f>IFERROR(VLOOKUP("Demos &amp; Company Vehicles - Dept'l",'[12]PAGE 2'!$B:$S,16,FALSE)+VLOOKUP("Company Vehicles - Administration",'[12]PAGE 2'!$B:$S,16,FALSE),0)</f>
        <v>14583</v>
      </c>
      <c r="AB53" s="47">
        <f t="shared" si="0"/>
        <v>11835</v>
      </c>
      <c r="AC53" s="13">
        <f t="shared" si="1"/>
        <v>34423</v>
      </c>
    </row>
    <row r="54" spans="1:29">
      <c r="A54" s="5" t="s">
        <v>22</v>
      </c>
      <c r="B54" s="47">
        <f>INDEX('[4]Page 2'!$B:$DP,MATCH("0320",'[4]Page 2'!$M:$M,0),74)</f>
        <v>0</v>
      </c>
      <c r="C54" s="13">
        <f>INDEX('[4]Page 2'!$B:$DP,MATCH("0320",'[4]Page 2'!$M:$M,0),95)</f>
        <v>0</v>
      </c>
      <c r="D54" s="47">
        <f>INDEX('[5]Page 2'!$B:$DP,MATCH("0320",'[5]Page 2'!$M:$M,0),74)</f>
        <v>0</v>
      </c>
      <c r="E54" s="13">
        <f>INDEX('[5]Page 2'!$B:$DP,MATCH("0320",'[5]Page 2'!$M:$M,0),95)</f>
        <v>0</v>
      </c>
      <c r="F54" s="47">
        <f>INDEX('[6]Page 2'!$B:$DP,MATCH("0320",'[6]Page 2'!$M:$M,0),74)</f>
        <v>0</v>
      </c>
      <c r="G54" s="13">
        <f>INDEX('[6]Page 2'!$B:$DP,MATCH("0320",'[6]Page 2'!$M:$M,0),95)</f>
        <v>0</v>
      </c>
      <c r="H54" s="47">
        <f>'[7]PAGE 3'!$I38</f>
        <v>2339</v>
      </c>
      <c r="I54" s="13">
        <f>'[7]PAGE 3'!$K38</f>
        <v>28798</v>
      </c>
      <c r="J54" s="47">
        <f>'[8]PAGE 3'!$I38</f>
        <v>461</v>
      </c>
      <c r="K54" s="13">
        <f>'[8]PAGE 3'!$K38</f>
        <v>8989</v>
      </c>
      <c r="L54" s="47"/>
      <c r="M54" s="13"/>
      <c r="N54" s="47">
        <f>IFERROR(VLOOKUP("Supplies &amp; Small Tools",'[9]PAGE 2'!$B:$S,14,FALSE),0)</f>
        <v>1014</v>
      </c>
      <c r="O54" s="13">
        <f>IFERROR(VLOOKUP("Supplies &amp; Small Tools",'[9]PAGE 2'!$B:$S,16,FALSE),0)</f>
        <v>25002</v>
      </c>
      <c r="P54" s="47"/>
      <c r="Q54" s="13"/>
      <c r="R54" s="47"/>
      <c r="S54" s="13"/>
      <c r="T54" s="47"/>
      <c r="U54" s="13"/>
      <c r="V54" s="47">
        <f>+INDEX('[10]PAGE 3'!$1:$1048576,MATCH("small tools &amp; other supplies",'[10]PAGE 3'!$B:$B,0),6)</f>
        <v>758</v>
      </c>
      <c r="W54" s="13">
        <f>+INDEX('[10]PAGE 3'!$1:$1048576,MATCH("small tools &amp; other supplies",'[10]PAGE 3'!$B:$B,0),8)</f>
        <v>2997</v>
      </c>
      <c r="X54" s="47">
        <f>IFERROR(VLOOKUP("Supplies &amp; Small Tools",'[11]PAGE 2'!$B:$S,14,FALSE),0)</f>
        <v>2445</v>
      </c>
      <c r="Y54" s="13">
        <f>IFERROR(VLOOKUP("Supplies &amp; Small Tools",'[11]PAGE 2'!$B:$S,16,FALSE),0)</f>
        <v>21868</v>
      </c>
      <c r="Z54" s="47">
        <f>IFERROR(VLOOKUP("Supplies &amp; Small Tools",'[12]PAGE 2'!$B:$S,14,FALSE),0)</f>
        <v>705</v>
      </c>
      <c r="AA54" s="13">
        <f>IFERROR(VLOOKUP("Supplies &amp; Small Tools",'[12]PAGE 2'!$B:$S,16,FALSE),0)</f>
        <v>6909</v>
      </c>
      <c r="AB54" s="47">
        <f t="shared" si="0"/>
        <v>7722</v>
      </c>
      <c r="AC54" s="13">
        <f t="shared" si="1"/>
        <v>94563</v>
      </c>
    </row>
    <row r="55" spans="1:29">
      <c r="A55" s="5" t="s">
        <v>23</v>
      </c>
      <c r="B55" s="47">
        <f>INDEX('[4]Page 2'!$B:$DP,MATCH("0340",'[4]Page 2'!$M:$M,0),74)</f>
        <v>0</v>
      </c>
      <c r="C55" s="13">
        <f>INDEX('[4]Page 2'!$B:$DP,MATCH("0340",'[4]Page 2'!$M:$M,0),95)</f>
        <v>0</v>
      </c>
      <c r="D55" s="47">
        <f>INDEX('[5]Page 2'!$B:$DP,MATCH("0340",'[5]Page 2'!$M:$M,0),74)</f>
        <v>0</v>
      </c>
      <c r="E55" s="13">
        <f>INDEX('[5]Page 2'!$B:$DP,MATCH("0340",'[5]Page 2'!$M:$M,0),95)</f>
        <v>0</v>
      </c>
      <c r="F55" s="47">
        <f>INDEX('[6]Page 2'!$B:$DP,MATCH("0340",'[6]Page 2'!$M:$M,0),74)</f>
        <v>0</v>
      </c>
      <c r="G55" s="13">
        <f>INDEX('[6]Page 2'!$B:$DP,MATCH("0340",'[6]Page 2'!$M:$M,0),95)</f>
        <v>0</v>
      </c>
      <c r="H55" s="47">
        <f>'[7]PAGE 3'!$I49</f>
        <v>1794</v>
      </c>
      <c r="I55" s="13">
        <f>'[7]PAGE 3'!$K49</f>
        <v>22891</v>
      </c>
      <c r="J55" s="47">
        <f>'[8]PAGE 3'!$I49</f>
        <v>1286</v>
      </c>
      <c r="K55" s="13">
        <f>'[8]PAGE 3'!$K49</f>
        <v>17519</v>
      </c>
      <c r="L55" s="47"/>
      <c r="M55" s="13"/>
      <c r="N55" s="47">
        <f>IFERROR(VLOOKUP("Freight",'[9]PAGE 2'!$B:$S,14,FALSE),0)</f>
        <v>0</v>
      </c>
      <c r="O55" s="13">
        <f>IFERROR(VLOOKUP("Freight",'[9]PAGE 2'!$B:$S,16,FALSE),0)</f>
        <v>0</v>
      </c>
      <c r="P55" s="47"/>
      <c r="Q55" s="13"/>
      <c r="R55" s="47"/>
      <c r="S55" s="13"/>
      <c r="T55" s="47"/>
      <c r="U55" s="13"/>
      <c r="V55" s="47">
        <f>+INDEX('[10]PAGE 3'!$1:$1048576,MATCH("freight, express and cartage - parts department",'[10]PAGE 3'!$B:$B,0),6)</f>
        <v>0</v>
      </c>
      <c r="W55" s="13">
        <f>+INDEX('[10]PAGE 3'!$1:$1048576,MATCH("freight, express and cartage - parts department",'[10]PAGE 3'!$B:$B,0),8)</f>
        <v>0</v>
      </c>
      <c r="X55" s="47">
        <f>IFERROR(VLOOKUP("Freight",'[11]PAGE 2'!$B:$S,14,FALSE),0)</f>
        <v>0</v>
      </c>
      <c r="Y55" s="13">
        <f>IFERROR(VLOOKUP("Freight",'[11]PAGE 2'!$B:$S,16,FALSE),0)</f>
        <v>0</v>
      </c>
      <c r="Z55" s="47">
        <f>IFERROR(VLOOKUP("Freight",'[12]PAGE 2'!$B:$S,14,FALSE),0)</f>
        <v>0</v>
      </c>
      <c r="AA55" s="13">
        <f>IFERROR(VLOOKUP("Freight",'[12]PAGE 2'!$B:$S,16,FALSE),0)</f>
        <v>0</v>
      </c>
      <c r="AB55" s="47">
        <f t="shared" si="0"/>
        <v>3080</v>
      </c>
      <c r="AC55" s="13">
        <f t="shared" si="1"/>
        <v>40410</v>
      </c>
    </row>
    <row r="56" spans="1:29">
      <c r="A56" s="5" t="s">
        <v>24</v>
      </c>
      <c r="B56" s="47">
        <f>INDEX('[4]Page 2'!$B:$DP,MATCH("0350",'[4]Page 2'!$M:$M,0),74)</f>
        <v>0</v>
      </c>
      <c r="C56" s="13">
        <f>INDEX('[4]Page 2'!$B:$DP,MATCH("0350",'[4]Page 2'!$M:$M,0),95)</f>
        <v>410</v>
      </c>
      <c r="D56" s="47">
        <f>INDEX('[5]Page 2'!$B:$DP,MATCH("0350",'[5]Page 2'!$M:$M,0),74)</f>
        <v>2714</v>
      </c>
      <c r="E56" s="13">
        <f>INDEX('[5]Page 2'!$B:$DP,MATCH("0350",'[5]Page 2'!$M:$M,0),95)</f>
        <v>14853</v>
      </c>
      <c r="F56" s="47">
        <f>INDEX('[6]Page 2'!$B:$DP,MATCH("0350",'[6]Page 2'!$M:$M,0),74)</f>
        <v>742</v>
      </c>
      <c r="G56" s="13">
        <f>INDEX('[6]Page 2'!$B:$DP,MATCH("0350",'[6]Page 2'!$M:$M,0),95)</f>
        <v>1513</v>
      </c>
      <c r="H56" s="47"/>
      <c r="I56" s="13"/>
      <c r="J56" s="47"/>
      <c r="K56" s="13"/>
      <c r="N56" s="47"/>
      <c r="O56" s="13"/>
      <c r="P56" s="47">
        <f>$Q$3*'[2]PAGE 6'!$O$10</f>
        <v>0</v>
      </c>
      <c r="Q56" s="13">
        <f>'[2]PAGE 6'!$BB$10</f>
        <v>4457</v>
      </c>
      <c r="R56" s="47">
        <f>IFERROR([3]P6!$M$19*S3,0)</f>
        <v>0</v>
      </c>
      <c r="S56" s="13"/>
      <c r="T56" s="47">
        <f>IFERROR([13]P6!$M$19*U3,0)</f>
        <v>0</v>
      </c>
      <c r="U56" s="13"/>
      <c r="V56" s="47"/>
      <c r="W56" s="13"/>
      <c r="X56" s="47"/>
      <c r="Y56" s="13"/>
      <c r="Z56" s="47"/>
      <c r="AA56" s="13"/>
      <c r="AB56" s="47">
        <f t="shared" si="0"/>
        <v>3456</v>
      </c>
      <c r="AC56" s="13">
        <f t="shared" si="1"/>
        <v>21233</v>
      </c>
    </row>
    <row r="57" spans="1:29">
      <c r="A57" s="5" t="s">
        <v>25</v>
      </c>
      <c r="B57" s="47">
        <f>INDEX('[4]Page 2'!$B:$DP,MATCH("0360",'[4]Page 2'!$M:$M,0),74)</f>
        <v>1683</v>
      </c>
      <c r="C57" s="13">
        <f>INDEX('[4]Page 2'!$B:$DP,MATCH("0360",'[4]Page 2'!$M:$M,0),95)</f>
        <v>26195</v>
      </c>
      <c r="D57" s="47">
        <f>INDEX('[5]Page 2'!$B:$DP,MATCH("0360",'[5]Page 2'!$M:$M,0),74)</f>
        <v>2237</v>
      </c>
      <c r="E57" s="13">
        <f>INDEX('[5]Page 2'!$B:$DP,MATCH("0360",'[5]Page 2'!$M:$M,0),95)</f>
        <v>16914</v>
      </c>
      <c r="F57" s="47">
        <f>INDEX('[6]Page 2'!$B:$DP,MATCH("0360",'[6]Page 2'!$M:$M,0),74)</f>
        <v>2449</v>
      </c>
      <c r="G57" s="13">
        <f>INDEX('[6]Page 2'!$B:$DP,MATCH("0360",'[6]Page 2'!$M:$M,0),95)</f>
        <v>29657</v>
      </c>
      <c r="H57" s="47">
        <f>'[7]PAGE 3'!$I37</f>
        <v>1595</v>
      </c>
      <c r="I57" s="13">
        <f>'[7]PAGE 3'!$K37</f>
        <v>6424</v>
      </c>
      <c r="J57" s="47">
        <f>'[8]PAGE 3'!$I37</f>
        <v>525</v>
      </c>
      <c r="K57" s="13">
        <f>'[8]PAGE 3'!$K37</f>
        <v>3609</v>
      </c>
      <c r="L57" s="47"/>
      <c r="M57" s="13"/>
      <c r="N57" s="47">
        <f>IFERROR(VLOOKUP("Stationery &amp; Office Supplies",'[9]PAGE 2'!$B:$S,14,FALSE),0)</f>
        <v>1081</v>
      </c>
      <c r="O57" s="13">
        <f>IFERROR(VLOOKUP("Stationery &amp; Office Supplies",'[9]PAGE 2'!$B:$S,16,FALSE),0)</f>
        <v>7006</v>
      </c>
      <c r="P57" s="47">
        <f>$Q$3*'[2]PAGE 6'!$O$16</f>
        <v>1145.3943384509967</v>
      </c>
      <c r="Q57" s="13">
        <f>'[2]PAGE 6'!$BB$16</f>
        <v>18391</v>
      </c>
      <c r="R57" s="47">
        <f>[3]P6!$M$31*S3</f>
        <v>726.60365494796258</v>
      </c>
      <c r="S57" s="13">
        <f>[3]P6!$AZ$31</f>
        <v>14740</v>
      </c>
      <c r="T57" s="47">
        <f>[13]P6!$M$31*U3</f>
        <v>1345.6829039446422</v>
      </c>
      <c r="U57" s="13">
        <f>[13]P6!$AZ$31</f>
        <v>15913</v>
      </c>
      <c r="V57" s="47">
        <f>+INDEX('[10]PAGE 3'!$1:$1048576,MATCH("stationery, office supplies &amp; postage",'[10]PAGE 3'!$B:$B,0),6)</f>
        <v>1178</v>
      </c>
      <c r="W57" s="13">
        <f>+INDEX('[10]PAGE 3'!$1:$1048576,MATCH("stationery, office supplies &amp; postage",'[10]PAGE 3'!$B:$B,0),8)</f>
        <v>5460</v>
      </c>
      <c r="X57" s="47">
        <f>IFERROR(VLOOKUP("Stationery &amp; Office Supplies",'[11]PAGE 2'!$B:$S,14,FALSE),0)</f>
        <v>5236</v>
      </c>
      <c r="Y57" s="13">
        <f>IFERROR(VLOOKUP("Stationery &amp; Office Supplies",'[11]PAGE 2'!$B:$S,16,FALSE),0)</f>
        <v>18943</v>
      </c>
      <c r="Z57" s="47">
        <f>IFERROR(VLOOKUP("Stationery &amp; Office Supplies",'[12]PAGE 2'!$B:$S,14,FALSE),0)</f>
        <v>358</v>
      </c>
      <c r="AA57" s="13">
        <f>IFERROR(VLOOKUP("Stationery &amp; Office Supplies",'[12]PAGE 2'!$B:$S,16,FALSE),0)</f>
        <v>1512</v>
      </c>
      <c r="AB57" s="47">
        <f t="shared" si="0"/>
        <v>19559.680897343602</v>
      </c>
      <c r="AC57" s="13">
        <f t="shared" si="1"/>
        <v>164764</v>
      </c>
    </row>
    <row r="58" spans="1:29">
      <c r="A58" s="5" t="s">
        <v>26</v>
      </c>
      <c r="B58" s="47">
        <f>INDEX('[4]Page 2'!$B:$DP,MATCH("0370",'[4]Page 2'!$M:$M,0),74)</f>
        <v>-625</v>
      </c>
      <c r="C58" s="13">
        <f>INDEX('[4]Page 2'!$B:$DP,MATCH("0370",'[4]Page 2'!$M:$M,0),95)</f>
        <v>15160</v>
      </c>
      <c r="D58" s="47">
        <f>INDEX('[5]Page 2'!$B:$DP,MATCH("0370",'[5]Page 2'!$M:$M,0),74)</f>
        <v>1007</v>
      </c>
      <c r="E58" s="13">
        <f>INDEX('[5]Page 2'!$B:$DP,MATCH("0370",'[5]Page 2'!$M:$M,0),95)</f>
        <v>20082</v>
      </c>
      <c r="F58" s="47">
        <f>INDEX('[6]Page 2'!$B:$DP,MATCH("0370",'[6]Page 2'!$M:$M,0),74)</f>
        <v>408</v>
      </c>
      <c r="G58" s="13">
        <f>INDEX('[6]Page 2'!$B:$DP,MATCH("0370",'[6]Page 2'!$M:$M,0),95)</f>
        <v>25990</v>
      </c>
      <c r="H58" s="47">
        <f>'[7]PAGE 3'!$I44</f>
        <v>0</v>
      </c>
      <c r="I58" s="13">
        <f>'[7]PAGE 3'!$K44</f>
        <v>0</v>
      </c>
      <c r="J58" s="47">
        <f>'[8]PAGE 3'!$I44</f>
        <v>0</v>
      </c>
      <c r="K58" s="13">
        <f>'[8]PAGE 3'!$K44</f>
        <v>0</v>
      </c>
      <c r="L58" s="47"/>
      <c r="M58" s="13"/>
      <c r="N58" s="47">
        <f>IFERROR(VLOOKUP("Laundry &amp; Uniforms",'[9]PAGE 2'!$B:$S,14,FALSE),0)</f>
        <v>26</v>
      </c>
      <c r="O58" s="13">
        <f>IFERROR(VLOOKUP("Laundry &amp; Uniforms",'[9]PAGE 2'!$B:$S,16,FALSE),0)</f>
        <v>3846</v>
      </c>
      <c r="P58" s="47"/>
      <c r="Q58" s="13"/>
      <c r="R58" s="47"/>
      <c r="S58" s="13"/>
      <c r="T58" s="47"/>
      <c r="U58" s="13"/>
      <c r="V58" s="47">
        <f>+INDEX('[10]PAGE 3'!$1:$1048576,MATCH("laundry &amp; uniforms",'[10]PAGE 3'!$B:$B,0),6)</f>
        <v>28</v>
      </c>
      <c r="W58" s="13">
        <f>+INDEX('[10]PAGE 3'!$1:$1048576,MATCH("laundry &amp; uniforms",'[10]PAGE 3'!$B:$B,0),8)</f>
        <v>128</v>
      </c>
      <c r="X58" s="47">
        <f>IFERROR(VLOOKUP("Laundry &amp; Uniforms",'[11]PAGE 2'!$B:$S,14,FALSE),0)</f>
        <v>0</v>
      </c>
      <c r="Y58" s="13">
        <f>IFERROR(VLOOKUP("Laundry &amp; Uniforms",'[11]PAGE 2'!$B:$S,16,FALSE),0)</f>
        <v>0</v>
      </c>
      <c r="Z58" s="47">
        <f>IFERROR(VLOOKUP("Laundry &amp; Uniforms",'[12]PAGE 2'!$B:$S,14,FALSE),0)</f>
        <v>-92</v>
      </c>
      <c r="AA58" s="13">
        <f>IFERROR(VLOOKUP("Laundry &amp; Uniforms",'[12]PAGE 2'!$B:$S,16,FALSE),0)</f>
        <v>1049</v>
      </c>
      <c r="AB58" s="47">
        <f t="shared" si="0"/>
        <v>752</v>
      </c>
      <c r="AC58" s="13">
        <f t="shared" si="1"/>
        <v>66255</v>
      </c>
    </row>
    <row r="59" spans="1:29">
      <c r="A59" s="5" t="s">
        <v>27</v>
      </c>
      <c r="B59" s="47">
        <f>INDEX('[4]Page 2'!$B:$DP,MATCH("0380",'[4]Page 2'!$M:$M,0),74)</f>
        <v>11211</v>
      </c>
      <c r="C59" s="13">
        <f>INDEX('[4]Page 2'!$B:$DP,MATCH("0380",'[4]Page 2'!$M:$M,0),95)</f>
        <v>122360</v>
      </c>
      <c r="D59" s="47">
        <f>INDEX('[5]Page 2'!$B:$DP,MATCH("0380",'[5]Page 2'!$M:$M,0),74)</f>
        <v>15743</v>
      </c>
      <c r="E59" s="13">
        <f>INDEX('[5]Page 2'!$B:$DP,MATCH("0380",'[5]Page 2'!$M:$M,0),95)</f>
        <v>170694</v>
      </c>
      <c r="F59" s="47">
        <f>INDEX('[6]Page 2'!$B:$DP,MATCH("0380",'[6]Page 2'!$M:$M,0),74)</f>
        <v>13062</v>
      </c>
      <c r="G59" s="13">
        <f>INDEX('[6]Page 2'!$B:$DP,MATCH("0380",'[6]Page 2'!$M:$M,0),95)</f>
        <v>178531</v>
      </c>
      <c r="H59" s="47">
        <f>'[7]PAGE 3'!$I43</f>
        <v>-14164</v>
      </c>
      <c r="I59" s="13">
        <f>'[7]PAGE 3'!$K43</f>
        <v>73987</v>
      </c>
      <c r="J59" s="47">
        <f>'[8]PAGE 3'!$I43</f>
        <v>7615</v>
      </c>
      <c r="K59" s="13">
        <f>'[8]PAGE 3'!$K43</f>
        <v>107512</v>
      </c>
      <c r="L59" s="47"/>
      <c r="M59" s="13"/>
      <c r="N59" s="47">
        <f>IFERROR(VLOOKUP("Outside Services - Departmental",'[9]PAGE 2'!$B:$S,14,FALSE)+VLOOKUP("Outside Services - Gen. &amp; Inst.",'[9]PAGE 2'!$B:$S,14,FALSE),0)</f>
        <v>9164</v>
      </c>
      <c r="O59" s="13">
        <f>IFERROR(VLOOKUP("Outside Services - Departmental",'[9]PAGE 2'!$B:$S,16,FALSE)+VLOOKUP("Outside Services - Gen. &amp; Inst.",'[9]PAGE 2'!$B:$S,16,FALSE),0)</f>
        <v>145172</v>
      </c>
      <c r="P59" s="47">
        <f>$Q$3*'[2]PAGE 6'!$O$17</f>
        <v>-1527.2833772296096</v>
      </c>
      <c r="Q59" s="13">
        <f>'[2]PAGE 6'!$BB$17</f>
        <v>64008</v>
      </c>
      <c r="R59" s="47">
        <f>[3]P6!$M$33*S3</f>
        <v>7710.6387859093857</v>
      </c>
      <c r="S59" s="13">
        <f>[3]P6!$AZ$33</f>
        <v>109703</v>
      </c>
      <c r="T59" s="47">
        <f>[13]P6!$M$33*U3</f>
        <v>2026.2094296102273</v>
      </c>
      <c r="U59" s="13">
        <f>[13]P6!$AZ$33</f>
        <v>58553</v>
      </c>
      <c r="V59" s="47">
        <f>+INDEX('[10]PAGE 3'!$1:$1048576,MATCH("outside services",'[10]PAGE 3'!$B:$B,0),6)</f>
        <v>0</v>
      </c>
      <c r="W59" s="13">
        <f>+INDEX('[10]PAGE 3'!$1:$1048576,MATCH("outside services",'[10]PAGE 3'!$B:$B,0),8)</f>
        <v>2000</v>
      </c>
      <c r="X59" s="47">
        <f>IFERROR(VLOOKUP("Outside Services - Departmental",'[11]PAGE 2'!$B:$S,14,FALSE)+VLOOKUP("Outside Services - Gen. &amp; Inst.",'[11]PAGE 2'!$B:$S,14,FALSE),0)</f>
        <v>16288</v>
      </c>
      <c r="Y59" s="13">
        <f>IFERROR(VLOOKUP("Outside Services - Departmental",'[11]PAGE 2'!$B:$S,16,FALSE)+VLOOKUP("Outside Services - Gen. &amp; Inst.",'[11]PAGE 2'!$B:$S,16,FALSE),0)</f>
        <v>104211</v>
      </c>
      <c r="Z59" s="47">
        <f>IFERROR(VLOOKUP("Outside Services - Departmental",'[12]PAGE 2'!$B:$S,14,FALSE)+VLOOKUP("Outside Services - Gen. &amp; Inst.",'[12]PAGE 2'!$B:$S,14,FALSE),0)</f>
        <v>4069</v>
      </c>
      <c r="AA59" s="13">
        <f>IFERROR(VLOOKUP("Outside Services - Departmental",'[12]PAGE 2'!$B:$S,16,FALSE)+VLOOKUP("Outside Services - Gen. &amp; Inst.",'[12]PAGE 2'!$B:$S,16,FALSE),0)</f>
        <v>14032</v>
      </c>
      <c r="AB59" s="47">
        <f t="shared" si="0"/>
        <v>71197.564838290011</v>
      </c>
      <c r="AC59" s="13">
        <f t="shared" si="1"/>
        <v>1150763</v>
      </c>
    </row>
    <row r="60" spans="1:29">
      <c r="A60" s="5" t="s">
        <v>28</v>
      </c>
      <c r="B60" s="47">
        <f>INDEX('[4]Page 2'!$B:$DP,MATCH("0390",'[4]Page 2'!$M:$M,0),74)</f>
        <v>962</v>
      </c>
      <c r="C60" s="13">
        <f>INDEX('[4]Page 2'!$B:$DP,MATCH("0390",'[4]Page 2'!$M:$M,0),95)</f>
        <v>9485</v>
      </c>
      <c r="D60" s="47">
        <f>INDEX('[5]Page 2'!$B:$DP,MATCH("0390",'[5]Page 2'!$M:$M,0),74)</f>
        <v>1849</v>
      </c>
      <c r="E60" s="13">
        <f>INDEX('[5]Page 2'!$B:$DP,MATCH("0390",'[5]Page 2'!$M:$M,0),95)</f>
        <v>21003</v>
      </c>
      <c r="F60" s="47">
        <f>INDEX('[6]Page 2'!$B:$DP,MATCH("0390",'[6]Page 2'!$M:$M,0),74)</f>
        <v>2544</v>
      </c>
      <c r="G60" s="13">
        <f>INDEX('[6]Page 2'!$B:$DP,MATCH("0390",'[6]Page 2'!$M:$M,0),95)</f>
        <v>23432</v>
      </c>
      <c r="H60" s="47">
        <f>'[7]PAGE 3'!$I45</f>
        <v>0</v>
      </c>
      <c r="I60" s="13">
        <f>'[7]PAGE 3'!$K45</f>
        <v>53</v>
      </c>
      <c r="J60" s="47">
        <f>'[8]PAGE 3'!$I45</f>
        <v>0</v>
      </c>
      <c r="K60" s="13">
        <f>'[8]PAGE 3'!$K45</f>
        <v>5</v>
      </c>
      <c r="L60" s="47"/>
      <c r="M60" s="13"/>
      <c r="N60" s="47">
        <f>IFERROR(VLOOKUP("Travel &amp; Entertainment",'[9]PAGE 2'!$B:$S,14,FALSE),0)</f>
        <v>0</v>
      </c>
      <c r="O60" s="13">
        <f>IFERROR(VLOOKUP("Travel &amp; Entertainment",'[9]PAGE 2'!$B:$S,16,FALSE),0)</f>
        <v>7</v>
      </c>
      <c r="P60" s="47">
        <f>$Q$3*'[2]PAGE 6'!$O$24</f>
        <v>362.79458683968221</v>
      </c>
      <c r="Q60" s="13">
        <f>'[2]PAGE 6'!$BB$24</f>
        <v>6528</v>
      </c>
      <c r="R60" s="47">
        <f>[3]P6!$M$47*S3</f>
        <v>459.00230886473275</v>
      </c>
      <c r="S60" s="13">
        <f>[3]P6!$AZ$47</f>
        <v>5750</v>
      </c>
      <c r="T60" s="47">
        <f>[13]P6!$M$47*U3</f>
        <v>210.41201767074554</v>
      </c>
      <c r="U60" s="13">
        <f>[13]P6!$AZ$47</f>
        <v>3429</v>
      </c>
      <c r="V60" s="47">
        <f>+INDEX('[10]PAGE 3'!$1:$1048576,MATCH("travel and entertainment",'[10]PAGE 3'!$B:$B,0),6)</f>
        <v>180</v>
      </c>
      <c r="W60" s="13">
        <f>+INDEX('[10]PAGE 3'!$1:$1048576,MATCH("travel and entertainment",'[10]PAGE 3'!$B:$B,0),8)</f>
        <v>980</v>
      </c>
      <c r="X60" s="47">
        <f>IFERROR(VLOOKUP("Travel &amp; Entertainment",'[11]PAGE 2'!$B:$S,14,FALSE),0)</f>
        <v>1398</v>
      </c>
      <c r="Y60" s="13">
        <f>IFERROR(VLOOKUP("Travel &amp; Entertainment",'[11]PAGE 2'!$B:$S,16,FALSE),0)</f>
        <v>4815</v>
      </c>
      <c r="Z60" s="47">
        <f>IFERROR(VLOOKUP("Travel &amp; Entertainment",'[12]PAGE 2'!$B:$S,14,FALSE),0)</f>
        <v>205</v>
      </c>
      <c r="AA60" s="13">
        <f>IFERROR(VLOOKUP("Travel &amp; Entertainment",'[12]PAGE 2'!$B:$S,16,FALSE),0)</f>
        <v>827</v>
      </c>
      <c r="AB60" s="47">
        <f t="shared" si="0"/>
        <v>8170.2089133751606</v>
      </c>
      <c r="AC60" s="13">
        <f t="shared" si="1"/>
        <v>76314</v>
      </c>
    </row>
    <row r="61" spans="1:29">
      <c r="A61" s="5" t="s">
        <v>29</v>
      </c>
      <c r="B61" s="47">
        <f>INDEX('[4]Page 2'!$B:$DP,MATCH("0400",'[4]Page 2'!$M:$M,0),74)</f>
        <v>934</v>
      </c>
      <c r="C61" s="13">
        <f>INDEX('[4]Page 2'!$B:$DP,MATCH("0400",'[4]Page 2'!$M:$M,0),95)</f>
        <v>14366</v>
      </c>
      <c r="D61" s="47">
        <f>INDEX('[5]Page 2'!$B:$DP,MATCH("0400",'[5]Page 2'!$M:$M,0),74)</f>
        <v>1332</v>
      </c>
      <c r="E61" s="13">
        <f>INDEX('[5]Page 2'!$B:$DP,MATCH("0400",'[5]Page 2'!$M:$M,0),95)</f>
        <v>16148</v>
      </c>
      <c r="F61" s="47">
        <f>INDEX('[6]Page 2'!$B:$DP,MATCH("0400",'[6]Page 2'!$M:$M,0),74)</f>
        <v>0</v>
      </c>
      <c r="G61" s="13">
        <f>INDEX('[6]Page 2'!$B:$DP,MATCH("0400",'[6]Page 2'!$M:$M,0),95)</f>
        <v>26139</v>
      </c>
      <c r="H61" s="47">
        <f>'[7]PAGE 3'!$I47</f>
        <v>-616</v>
      </c>
      <c r="I61" s="13">
        <f>'[7]PAGE 3'!$K47</f>
        <v>12429</v>
      </c>
      <c r="J61" s="47">
        <f>'[8]PAGE 3'!$I47</f>
        <v>2622</v>
      </c>
      <c r="K61" s="13">
        <f>'[8]PAGE 3'!$K47</f>
        <v>13829</v>
      </c>
      <c r="L61" s="47"/>
      <c r="M61" s="13"/>
      <c r="N61" s="47">
        <f>IFERROR(VLOOKUP("Legal &amp; Auditing",'[9]PAGE 2'!$B:$S,14,FALSE),0)</f>
        <v>-1280</v>
      </c>
      <c r="O61" s="13">
        <f>IFERROR(VLOOKUP("Legal &amp; Auditing",'[9]PAGE 2'!$B:$S,16,FALSE),0)</f>
        <v>12220</v>
      </c>
      <c r="P61" s="47"/>
      <c r="Q61" s="13"/>
      <c r="R61" s="47"/>
      <c r="S61" s="13"/>
      <c r="T61" s="47"/>
      <c r="U61" s="13"/>
      <c r="V61" s="47">
        <f>+INDEX('[10]PAGE 3'!$1:$1048576,MATCH("legal, accounting and auditing expense",'[10]PAGE 3'!$B:$B,0),6)</f>
        <v>8109</v>
      </c>
      <c r="W61" s="13">
        <f>+INDEX('[10]PAGE 3'!$1:$1048576,MATCH("legal, accounting and auditing expense",'[10]PAGE 3'!$B:$B,0),8)</f>
        <v>18840</v>
      </c>
      <c r="X61" s="47">
        <f>IFERROR(VLOOKUP("Legal &amp; Auditing",'[11]PAGE 2'!$B:$S,14,FALSE),0)</f>
        <v>500</v>
      </c>
      <c r="Y61" s="13">
        <f>IFERROR(VLOOKUP("Legal &amp; Auditing",'[11]PAGE 2'!$B:$S,16,FALSE),0)</f>
        <v>22198</v>
      </c>
      <c r="Z61" s="47">
        <f>IFERROR(VLOOKUP("Legal &amp; Auditing",'[12]PAGE 2'!$B:$S,14,FALSE),0)</f>
        <v>-641</v>
      </c>
      <c r="AA61" s="13">
        <f>IFERROR(VLOOKUP("Legal &amp; Auditing",'[12]PAGE 2'!$B:$S,16,FALSE),0)</f>
        <v>1627</v>
      </c>
      <c r="AB61" s="47">
        <f t="shared" si="0"/>
        <v>10960</v>
      </c>
      <c r="AC61" s="13">
        <f t="shared" si="1"/>
        <v>137796</v>
      </c>
    </row>
    <row r="62" spans="1:29">
      <c r="A62" s="5" t="s">
        <v>30</v>
      </c>
      <c r="B62" s="47">
        <f>INDEX('[4]Page 2'!$B:$DP,MATCH("0410",'[4]Page 2'!$M:$M,0),74)</f>
        <v>10456</v>
      </c>
      <c r="C62" s="13">
        <f>INDEX('[4]Page 2'!$B:$DP,MATCH("0410",'[4]Page 2'!$M:$M,0),95)</f>
        <v>142047</v>
      </c>
      <c r="D62" s="47">
        <f>INDEX('[5]Page 2'!$B:$DP,MATCH("0410",'[5]Page 2'!$M:$M,0),74)</f>
        <v>4847</v>
      </c>
      <c r="E62" s="13">
        <f>INDEX('[5]Page 2'!$B:$DP,MATCH("0410",'[5]Page 2'!$M:$M,0),95)</f>
        <v>62634</v>
      </c>
      <c r="F62" s="47">
        <f>INDEX('[6]Page 2'!$B:$DP,MATCH("0410",'[6]Page 2'!$M:$M,0),74)</f>
        <v>11868</v>
      </c>
      <c r="G62" s="13">
        <f>INDEX('[6]Page 2'!$B:$DP,MATCH("0410",'[6]Page 2'!$M:$M,0),95)</f>
        <v>123083</v>
      </c>
      <c r="H62" s="47">
        <f>'[7]PAGE 3'!$I48</f>
        <v>195</v>
      </c>
      <c r="I62" s="13">
        <f>'[7]PAGE 3'!$K48</f>
        <v>2568</v>
      </c>
      <c r="J62" s="47">
        <f>'[8]PAGE 3'!$I48</f>
        <v>269</v>
      </c>
      <c r="K62" s="13">
        <f>'[8]PAGE 3'!$K48</f>
        <v>4397</v>
      </c>
      <c r="L62" s="47"/>
      <c r="M62" s="13"/>
      <c r="N62" s="47">
        <f>IFERROR(VLOOKUP("Telephone  ",'[9]PAGE 2'!$B:$S,14,FALSE),0)</f>
        <v>378</v>
      </c>
      <c r="O62" s="13">
        <f>IFERROR(VLOOKUP("Telephone  ",'[9]PAGE 2'!$B:$S,16,FALSE),0)</f>
        <v>3813</v>
      </c>
      <c r="P62" s="47">
        <f>$Q$3*'[2]PAGE 6'!$O$13</f>
        <v>1359.7977559367037</v>
      </c>
      <c r="Q62" s="13">
        <f>'[2]PAGE 6'!$BB$13</f>
        <v>14513</v>
      </c>
      <c r="R62" s="47">
        <f>[3]P6!$M$25*S3</f>
        <v>101.40051006292788</v>
      </c>
      <c r="S62" s="13">
        <f>[3]P6!$AZ$25</f>
        <v>3282</v>
      </c>
      <c r="T62" s="47">
        <f>IFERROR([13]P6!$M$25*U3,0)</f>
        <v>198.75190586027603</v>
      </c>
      <c r="U62" s="13">
        <f>[13]P6!$AZ$25</f>
        <v>5585</v>
      </c>
      <c r="V62" s="47">
        <f>+INDEX('[10]PAGE 3'!$1:$1048576,MATCH("Telephone ",'[10]PAGE 3'!$B:$B,0),6)</f>
        <v>282</v>
      </c>
      <c r="W62" s="13">
        <f>+INDEX('[10]PAGE 3'!$1:$1048576,MATCH("Telephone ",'[10]PAGE 3'!$B:$B,0),8)</f>
        <v>1719</v>
      </c>
      <c r="X62" s="47">
        <f>IFERROR(VLOOKUP("Telephone  ",'[11]PAGE 2'!$B:$S,14,FALSE),0)</f>
        <v>1206</v>
      </c>
      <c r="Y62" s="13">
        <f>IFERROR(VLOOKUP("Telephone  ",'[11]PAGE 2'!$B:$S,16,FALSE),0)</f>
        <v>6722</v>
      </c>
      <c r="Z62" s="47">
        <f>IFERROR(VLOOKUP("Telephone  ",'[12]PAGE 2'!$B:$S,14,FALSE),0)</f>
        <v>209</v>
      </c>
      <c r="AA62" s="13">
        <f>IFERROR(VLOOKUP("Telephone  ",'[12]PAGE 2'!$B:$S,16,FALSE),0)</f>
        <v>1348</v>
      </c>
      <c r="AB62" s="47">
        <f t="shared" si="0"/>
        <v>31369.950171859909</v>
      </c>
      <c r="AC62" s="13">
        <f t="shared" si="1"/>
        <v>371711</v>
      </c>
    </row>
    <row r="63" spans="1:29">
      <c r="A63" s="5" t="s">
        <v>31</v>
      </c>
      <c r="B63" s="47">
        <f>INDEX('[4]Page 2'!$B:$DP,MATCH("0420",'[4]Page 2'!$M:$M,0),74)</f>
        <v>777</v>
      </c>
      <c r="C63" s="13">
        <f>INDEX('[4]Page 2'!$B:$DP,MATCH("0420",'[4]Page 2'!$M:$M,0),95)</f>
        <v>6160</v>
      </c>
      <c r="D63" s="47">
        <f>INDEX('[5]Page 2'!$B:$DP,MATCH("0420",'[5]Page 2'!$M:$M,0),74)</f>
        <v>2959</v>
      </c>
      <c r="E63" s="13">
        <f>INDEX('[5]Page 2'!$B:$DP,MATCH("0420",'[5]Page 2'!$M:$M,0),95)</f>
        <v>9349</v>
      </c>
      <c r="F63" s="47">
        <f>INDEX('[6]Page 2'!$B:$DP,MATCH("0420",'[6]Page 2'!$M:$M,0),74)</f>
        <v>1100</v>
      </c>
      <c r="G63" s="13">
        <f>INDEX('[6]Page 2'!$B:$DP,MATCH("0420",'[6]Page 2'!$M:$M,0),95)</f>
        <v>21601</v>
      </c>
      <c r="H63" s="47">
        <f>'[7]PAGE 3'!$I50</f>
        <v>381</v>
      </c>
      <c r="I63" s="13">
        <f>'[7]PAGE 3'!$K50</f>
        <v>19625</v>
      </c>
      <c r="J63" s="47">
        <f>'[8]PAGE 3'!$I50</f>
        <v>439</v>
      </c>
      <c r="K63" s="13">
        <f>'[8]PAGE 3'!$K50</f>
        <v>19407</v>
      </c>
      <c r="L63" s="47"/>
      <c r="M63" s="13"/>
      <c r="N63" s="47">
        <f>IFERROR(VLOOKUP("Personnel Training",'[9]PAGE 2'!$B:$S,14,FALSE),0)</f>
        <v>1305</v>
      </c>
      <c r="O63" s="13">
        <f>IFERROR(VLOOKUP("Personnel Training",'[9]PAGE 2'!$B:$S,16,FALSE),0)</f>
        <v>22458</v>
      </c>
      <c r="P63" s="47">
        <f>'[2]PAGE 4'!$BI59</f>
        <v>988</v>
      </c>
      <c r="Q63" s="13">
        <f>'[2]PAGE 4'!$BT59</f>
        <v>20090</v>
      </c>
      <c r="R63" s="47">
        <f>SUM([3]P4!$BM$117)</f>
        <v>0</v>
      </c>
      <c r="S63" s="13">
        <f>SUM([3]P4!$BW$117)</f>
        <v>1894</v>
      </c>
      <c r="T63" s="47">
        <f>SUM([13]P4!$BM$117)</f>
        <v>0</v>
      </c>
      <c r="U63" s="13">
        <f>SUM([13]P4!$BW$117)</f>
        <v>0</v>
      </c>
      <c r="V63" s="47">
        <f>+INDEX('[10]PAGE 3'!$1:$1048576,MATCH("Training",'[10]PAGE 3'!$B:$B,0),6)</f>
        <v>0</v>
      </c>
      <c r="W63" s="13">
        <f>+INDEX('[10]PAGE 3'!$1:$1048576,MATCH("Training",'[10]PAGE 3'!$B:$B,0),8)</f>
        <v>240</v>
      </c>
      <c r="X63" s="47">
        <f>IFERROR(VLOOKUP("Personnel Training",'[11]PAGE 2'!$B:$S,14,FALSE),0)</f>
        <v>25</v>
      </c>
      <c r="Y63" s="13">
        <f>IFERROR(VLOOKUP("Personnel Training",'[11]PAGE 2'!$B:$S,16,FALSE),0)</f>
        <v>18513</v>
      </c>
      <c r="Z63" s="47">
        <f>IFERROR(VLOOKUP("Personnel Training",'[12]PAGE 2'!$B:$S,14,FALSE),0)</f>
        <v>375</v>
      </c>
      <c r="AA63" s="13">
        <f>IFERROR(VLOOKUP("Personnel Training",'[12]PAGE 2'!$B:$S,16,FALSE),0)</f>
        <v>750</v>
      </c>
      <c r="AB63" s="47">
        <f t="shared" si="0"/>
        <v>8349</v>
      </c>
      <c r="AC63" s="13">
        <f t="shared" si="1"/>
        <v>140087</v>
      </c>
    </row>
    <row r="64" spans="1:29">
      <c r="A64" s="5" t="s">
        <v>32</v>
      </c>
      <c r="B64" s="47">
        <f>INDEX('[4]Page 2'!$B:$DP,MATCH("0430",'[4]Page 2'!$M:$M,0),74)</f>
        <v>0</v>
      </c>
      <c r="C64" s="13">
        <f>INDEX('[4]Page 2'!$B:$DP,MATCH("0430",'[4]Page 2'!$M:$M,0),95)</f>
        <v>0</v>
      </c>
      <c r="D64" s="47">
        <f>INDEX('[5]Page 2'!$B:$DP,MATCH("0430",'[5]Page 2'!$M:$M,0),74)</f>
        <v>0</v>
      </c>
      <c r="E64" s="13">
        <f>INDEX('[5]Page 2'!$B:$DP,MATCH("0430",'[5]Page 2'!$M:$M,0),95)</f>
        <v>3867</v>
      </c>
      <c r="F64" s="47">
        <f>INDEX('[6]Page 2'!$B:$DP,MATCH("0430",'[6]Page 2'!$M:$M,0),74)</f>
        <v>0</v>
      </c>
      <c r="G64" s="13">
        <f>INDEX('[6]Page 2'!$B:$DP,MATCH("0430",'[6]Page 2'!$M:$M,0),95)</f>
        <v>0</v>
      </c>
      <c r="H64" s="47">
        <f>'[7]PAGE 3'!$I40</f>
        <v>-128</v>
      </c>
      <c r="I64" s="13">
        <f>'[7]PAGE 3'!$K40</f>
        <v>0</v>
      </c>
      <c r="J64" s="47">
        <f>'[8]PAGE 3'!$I40</f>
        <v>-150</v>
      </c>
      <c r="K64" s="13">
        <f>'[8]PAGE 3'!$K40</f>
        <v>0</v>
      </c>
      <c r="L64" s="47"/>
      <c r="M64" s="13"/>
      <c r="N64" s="47">
        <f>IFERROR(VLOOKUP(0,'[9]PAGE 2'!$B:$S,14,FALSE),0)</f>
        <v>0</v>
      </c>
      <c r="O64" s="13">
        <f>IFERROR(VLOOKUP(0,'[9]PAGE 2'!$B:$S,16,FALSE),0)</f>
        <v>0</v>
      </c>
      <c r="P64" s="47">
        <f>'[2]PAGE 6'!$O$19*Q3</f>
        <v>-121.93171452431424</v>
      </c>
      <c r="Q64" s="13">
        <f>'[2]PAGE 6'!$Z$19*Q3</f>
        <v>0</v>
      </c>
      <c r="R64" s="47">
        <f>IFERROR([3]P6!$M$37*S3,0)</f>
        <v>0</v>
      </c>
      <c r="S64" s="13">
        <f>IFERROR([3]P6!$AZ$37,0)</f>
        <v>0</v>
      </c>
      <c r="T64" s="47">
        <f>IFERROR([13]P6!$M$37*U3,0)</f>
        <v>0</v>
      </c>
      <c r="U64" s="13">
        <f>IFERROR([13]P6!$AZ$37,0)</f>
        <v>0</v>
      </c>
      <c r="V64" s="47">
        <f>+INDEX('[10]PAGE 3'!$1:$1048576,MATCH("adjustments for doubtful accounts",'[10]PAGE 3'!$B:$B,0),6)+INDEX('[10]PAGE 3'!$1:$1048576,MATCH("bad debts recovered",'[10]PAGE 3'!$B:$B,0),6)</f>
        <v>0</v>
      </c>
      <c r="W64" s="13">
        <f>+INDEX('[10]PAGE 3'!$1:$1048576,MATCH("adjustments for doubtful accounts",'[10]PAGE 3'!$B:$B,0),8)+INDEX('[10]PAGE 3'!$1:$1048576,MATCH("bad debts recovered",'[10]PAGE 3'!$B:$B,0),8)</f>
        <v>0</v>
      </c>
      <c r="X64" s="47">
        <f>IFERROR(VLOOKUP(0,'[11]PAGE 2'!$B:$S,14,FALSE),0)</f>
        <v>0</v>
      </c>
      <c r="Y64" s="13">
        <f>IFERROR(VLOOKUP(0,'[11]PAGE 2'!$B:$S,16,FALSE),0)</f>
        <v>0</v>
      </c>
      <c r="Z64" s="47">
        <f>IFERROR(VLOOKUP(0,'[12]PAGE 2'!$B:$S,14,FALSE),0)</f>
        <v>0</v>
      </c>
      <c r="AA64" s="13">
        <f>IFERROR(VLOOKUP(0,'[12]PAGE 2'!$B:$S,16,FALSE),0)</f>
        <v>0</v>
      </c>
      <c r="AB64" s="47">
        <f t="shared" si="0"/>
        <v>-399.93171452431426</v>
      </c>
      <c r="AC64" s="13">
        <f t="shared" si="1"/>
        <v>3867</v>
      </c>
    </row>
    <row r="65" spans="1:29">
      <c r="A65" s="7" t="s">
        <v>33</v>
      </c>
      <c r="B65" s="47">
        <f>INDEX('[4]Page 2'!$B:$DP,MATCH("0440",'[4]Page 2'!$M:$M,0),74)</f>
        <v>1819</v>
      </c>
      <c r="C65" s="13">
        <f>INDEX('[4]Page 2'!$B:$DP,MATCH("0440",'[4]Page 2'!$M:$M,0),95)</f>
        <v>23977</v>
      </c>
      <c r="D65" s="47">
        <f>INDEX('[5]Page 2'!$B:$DP,MATCH("0440",'[5]Page 2'!$M:$M,0),74)</f>
        <v>2413</v>
      </c>
      <c r="E65" s="13">
        <f>INDEX('[5]Page 2'!$B:$DP,MATCH("0440",'[5]Page 2'!$M:$M,0),95)</f>
        <v>21839</v>
      </c>
      <c r="F65" s="47">
        <f>INDEX('[6]Page 2'!$B:$DP,MATCH("0440",'[6]Page 2'!$M:$M,0),74)</f>
        <v>2076</v>
      </c>
      <c r="G65" s="13">
        <f>INDEX('[6]Page 2'!$B:$DP,MATCH("0440",'[6]Page 2'!$M:$M,0),95)</f>
        <v>22725</v>
      </c>
      <c r="H65" s="47">
        <f>VLOOKUP("Miscellaneous",'[7]PAGE 3'!$B:$X,8,FALSE)</f>
        <v>432</v>
      </c>
      <c r="I65" s="13">
        <f>VLOOKUP("Miscellaneous",'[7]PAGE 3'!$B:$X,10,FALSE)</f>
        <v>863</v>
      </c>
      <c r="J65" s="47">
        <f>VLOOKUP("Miscellaneous",'[8]PAGE 3'!$B:$X,8,FALSE)</f>
        <v>0</v>
      </c>
      <c r="K65" s="13">
        <f>VLOOKUP("Miscellaneous",'[8]PAGE 3'!$B:$X,10,FALSE)</f>
        <v>0</v>
      </c>
      <c r="L65" s="47"/>
      <c r="M65" s="13"/>
      <c r="N65" s="47">
        <f>IFERROR(VLOOKUP("Miscellaneous Expenses",'[9]PAGE 2'!$B:$S,14,FALSE)+VLOOKUP("Postage",'[9]PAGE 2'!$B:$S,14,FALSE),0)</f>
        <v>2059</v>
      </c>
      <c r="O65" s="13">
        <f>IFERROR(VLOOKUP("Miscellaneous Expenses",'[9]PAGE 2'!$B:$S,16,FALSE)+VLOOKUP("Postage",'[9]PAGE 2'!$B:$S,16,FALSE),0)</f>
        <v>25073</v>
      </c>
      <c r="P65" s="47">
        <f>$Q$3*'[2]PAGE 6'!$O$25</f>
        <v>3151.9484593477655</v>
      </c>
      <c r="Q65" s="13">
        <f>'[2]PAGE 6'!$BB$25</f>
        <v>33273</v>
      </c>
      <c r="R65" s="47"/>
      <c r="S65" s="13"/>
      <c r="T65" s="47"/>
      <c r="U65" s="13"/>
      <c r="V65" s="47">
        <f>+INDEX('[10]PAGE 3'!$1:$1048576,MATCH("miscellaneous",'[10]PAGE 3'!$B:$B,0),6)</f>
        <v>446</v>
      </c>
      <c r="W65" s="13">
        <f>+INDEX('[10]PAGE 3'!$1:$1048576,MATCH("miscellaneous",'[10]PAGE 3'!$B:$B,0),8)</f>
        <v>1592</v>
      </c>
      <c r="X65" s="47">
        <f>IFERROR(VLOOKUP("Miscellaneous Expenses",'[11]PAGE 2'!$B:$S,14,FALSE)+VLOOKUP("Postage",'[11]PAGE 2'!$B:$S,14,FALSE),0)</f>
        <v>2149</v>
      </c>
      <c r="Y65" s="13">
        <f>IFERROR(VLOOKUP("Miscellaneous Expenses",'[11]PAGE 2'!$B:$S,16,FALSE)+VLOOKUP("Postage",'[11]PAGE 2'!$B:$S,16,FALSE),0)</f>
        <v>17745</v>
      </c>
      <c r="Z65" s="47">
        <f>IFERROR(VLOOKUP("Miscellaneous Expenses",'[12]PAGE 2'!$B:$S,14,FALSE)+VLOOKUP("Postage",'[12]PAGE 2'!$B:$S,14,FALSE),0)</f>
        <v>290</v>
      </c>
      <c r="AA65" s="13">
        <f>IFERROR(VLOOKUP("Miscellaneous Expenses",'[12]PAGE 2'!$B:$S,16,FALSE)+VLOOKUP("Postage",'[12]PAGE 2'!$B:$S,16,FALSE),0)</f>
        <v>841</v>
      </c>
      <c r="AB65" s="47">
        <f t="shared" si="0"/>
        <v>14835.948459347765</v>
      </c>
      <c r="AC65" s="13">
        <f t="shared" si="1"/>
        <v>147928</v>
      </c>
    </row>
    <row r="66" spans="1:29">
      <c r="A66" s="5" t="s">
        <v>34</v>
      </c>
      <c r="B66" s="47"/>
      <c r="C66" s="13"/>
      <c r="D66" s="47"/>
      <c r="E66" s="13"/>
      <c r="F66" s="47"/>
      <c r="G66" s="13"/>
      <c r="H66" s="47">
        <f>'[7]PAGE 3'!$I51</f>
        <v>5314</v>
      </c>
      <c r="I66" s="13">
        <f>'[7]PAGE 3'!$K51</f>
        <v>44326</v>
      </c>
      <c r="J66" s="47">
        <f>'[8]PAGE 3'!$I51</f>
        <v>3249</v>
      </c>
      <c r="K66" s="13">
        <f>'[8]PAGE 3'!$K51</f>
        <v>44681</v>
      </c>
      <c r="L66" s="47"/>
      <c r="M66" s="13"/>
      <c r="N66" s="47">
        <f>IFERROR(VLOOKUP("Data Processing Services",'[9]PAGE 2'!$B:$S,14,FALSE),0)</f>
        <v>6942</v>
      </c>
      <c r="O66" s="13">
        <f>IFERROR(VLOOKUP("Data Processing Services",'[9]PAGE 2'!$B:$S,16,FALSE),0)</f>
        <v>67725</v>
      </c>
      <c r="P66" s="47">
        <f>$Q$3*'[2]PAGE 6'!$O$18</f>
        <v>6457.7436457463436</v>
      </c>
      <c r="Q66" s="13">
        <f>'[2]PAGE 6'!$BB$18</f>
        <v>69607</v>
      </c>
      <c r="R66" s="47">
        <f>[3]P6!$M$35*S3</f>
        <v>2884.4145091273094</v>
      </c>
      <c r="S66" s="13">
        <f>[3]P6!$AZ$35</f>
        <v>31546</v>
      </c>
      <c r="T66" s="47">
        <f>[13]P6!$M$35*U3</f>
        <v>2739.0662652957508</v>
      </c>
      <c r="U66" s="13">
        <f>[13]P6!$AZ$35</f>
        <v>36028</v>
      </c>
      <c r="V66" s="47">
        <f>+INDEX('[10]PAGE 3'!$1:$1048576,MATCH("data processing",'[10]PAGE 3'!$B:$B,0),6)</f>
        <v>4330</v>
      </c>
      <c r="W66" s="13">
        <f>+INDEX('[10]PAGE 3'!$1:$1048576,MATCH("data processing",'[10]PAGE 3'!$B:$B,0),8)</f>
        <v>19172</v>
      </c>
      <c r="X66" s="47">
        <f>IFERROR(VLOOKUP("Data Processing Services",'[11]PAGE 2'!$B:$S,14,FALSE),0)</f>
        <v>8601</v>
      </c>
      <c r="Y66" s="13">
        <f>IFERROR(VLOOKUP("Data Processing Services",'[11]PAGE 2'!$B:$S,16,FALSE),0)</f>
        <v>42104</v>
      </c>
      <c r="Z66" s="47">
        <f>IFERROR(VLOOKUP("Data Processing Services",'[12]PAGE 2'!$B:$S,14,FALSE),0)</f>
        <v>-2288</v>
      </c>
      <c r="AA66" s="13">
        <f>IFERROR(VLOOKUP("Data Processing Services",'[12]PAGE 2'!$B:$S,16,FALSE),0)</f>
        <v>7079</v>
      </c>
      <c r="AB66" s="47">
        <f t="shared" si="0"/>
        <v>38229.224420169405</v>
      </c>
      <c r="AC66" s="13">
        <f t="shared" si="1"/>
        <v>362268</v>
      </c>
    </row>
    <row r="67" spans="1:29">
      <c r="A67" s="5" t="s">
        <v>35</v>
      </c>
      <c r="B67" s="47"/>
      <c r="C67" s="13"/>
      <c r="D67" s="47"/>
      <c r="E67" s="13"/>
      <c r="F67" s="47"/>
      <c r="G67" s="13"/>
      <c r="H67" s="47">
        <f>'[7]PAGE 3'!$I41</f>
        <v>146</v>
      </c>
      <c r="I67" s="13">
        <f>'[7]PAGE 3'!$K41</f>
        <v>5844</v>
      </c>
      <c r="J67" s="47">
        <f>'[8]PAGE 3'!$I41</f>
        <v>0</v>
      </c>
      <c r="K67" s="13">
        <f>'[8]PAGE 3'!$K41</f>
        <v>1445</v>
      </c>
      <c r="L67" s="47"/>
      <c r="M67" s="13"/>
      <c r="N67" s="47">
        <f>IFERROR(VLOOKUP("Contributions",'[9]PAGE 2'!$B:$S,14,FALSE),0)</f>
        <v>0</v>
      </c>
      <c r="O67" s="13">
        <f>IFERROR(VLOOKUP("Contributions",'[9]PAGE 2'!$B:$S,16,FALSE),0)</f>
        <v>8173</v>
      </c>
      <c r="P67" s="47">
        <f>$Q$3*'[2]PAGE 6'!$O$20</f>
        <v>0</v>
      </c>
      <c r="Q67" s="13">
        <f>'[2]PAGE 6'!$BB$20</f>
        <v>2398</v>
      </c>
      <c r="R67" s="47">
        <f>IFERROR([3]P6!$M$39*S3,0)</f>
        <v>0</v>
      </c>
      <c r="S67" s="13">
        <f>[3]P6!$AZ$39</f>
        <v>236</v>
      </c>
      <c r="T67" s="47">
        <f>SUM([13]P6!$M$39)*U3</f>
        <v>0</v>
      </c>
      <c r="U67" s="13">
        <f>SUM([13]P6!$AZ$39)</f>
        <v>0</v>
      </c>
      <c r="V67" s="47">
        <f>+INDEX('[10]PAGE 3'!$1:$1048576,MATCH("contributions",'[10]PAGE 3'!$B:$B,0),6)</f>
        <v>0</v>
      </c>
      <c r="W67" s="13">
        <f>+INDEX('[10]PAGE 3'!$1:$1048576,MATCH("contributions",'[10]PAGE 3'!$B:$B,0),8)</f>
        <v>0</v>
      </c>
      <c r="X67" s="47">
        <f>IFERROR(VLOOKUP("Contributions",'[11]PAGE 2'!$B:$S,14,FALSE),0)</f>
        <v>0</v>
      </c>
      <c r="Y67" s="13">
        <f>IFERROR(VLOOKUP("Contributions",'[11]PAGE 2'!$B:$S,16,FALSE),0)</f>
        <v>2500</v>
      </c>
      <c r="Z67" s="47">
        <f>IFERROR(VLOOKUP("Contributions",'[12]PAGE 2'!$B:$S,14,FALSE),0)</f>
        <v>30</v>
      </c>
      <c r="AA67" s="13">
        <f>IFERROR(VLOOKUP("Contributions",'[12]PAGE 2'!$B:$S,16,FALSE),0)</f>
        <v>96</v>
      </c>
      <c r="AB67" s="47">
        <f t="shared" si="0"/>
        <v>176</v>
      </c>
      <c r="AC67" s="13">
        <f t="shared" si="1"/>
        <v>20692</v>
      </c>
    </row>
    <row r="68" spans="1:29">
      <c r="A68" s="5" t="s">
        <v>36</v>
      </c>
      <c r="B68" s="47">
        <f>INDEX('[4]Page 2'!$B:$DP,MATCH("0480",'[4]Page 2'!$M:$M,0),74)</f>
        <v>374</v>
      </c>
      <c r="C68" s="13">
        <f>INDEX('[4]Page 2'!$B:$DP,MATCH("0480",'[4]Page 2'!$M:$M,0),95)</f>
        <v>8172</v>
      </c>
      <c r="D68" s="47">
        <f>INDEX('[5]Page 2'!$B:$DP,MATCH("0480",'[5]Page 2'!$M:$M,0),74)</f>
        <v>520</v>
      </c>
      <c r="E68" s="13">
        <f>INDEX('[5]Page 2'!$B:$DP,MATCH("0480",'[5]Page 2'!$M:$M,0),95)</f>
        <v>9040</v>
      </c>
      <c r="F68" s="47">
        <f>INDEX('[6]Page 2'!$B:$DP,MATCH("0480",'[6]Page 2'!$M:$M,0),74)</f>
        <v>1550</v>
      </c>
      <c r="G68" s="13">
        <f>INDEX('[6]Page 2'!$B:$DP,MATCH("0480",'[6]Page 2'!$M:$M,0),95)</f>
        <v>13110</v>
      </c>
      <c r="H68" s="47">
        <f>'[7]PAGE 3'!$I46</f>
        <v>0</v>
      </c>
      <c r="I68" s="13">
        <f>'[7]PAGE 3'!$K46</f>
        <v>954</v>
      </c>
      <c r="J68" s="47">
        <f>'[8]PAGE 3'!$I46</f>
        <v>119</v>
      </c>
      <c r="K68" s="13">
        <f>'[8]PAGE 3'!$K46</f>
        <v>1085</v>
      </c>
      <c r="L68" s="47"/>
      <c r="M68" s="13"/>
      <c r="N68" s="47">
        <f>IFERROR(VLOOKUP("Dues &amp; Subscriptions",'[9]PAGE 2'!$B:$S,14,FALSE),0)</f>
        <v>267</v>
      </c>
      <c r="O68" s="13">
        <f>IFERROR(VLOOKUP("Dues &amp; Subscriptions",'[9]PAGE 2'!$B:$S,16,FALSE),0)</f>
        <v>3332</v>
      </c>
      <c r="P68" s="47"/>
      <c r="Q68" s="13"/>
      <c r="R68" s="47"/>
      <c r="S68" s="13"/>
      <c r="T68" s="47"/>
      <c r="U68" s="13"/>
      <c r="V68" s="47">
        <f>+INDEX('[10]PAGE 3'!$1:$1048576,MATCH("membership, dues and publications",'[10]PAGE 3'!$B:$B,0),6)</f>
        <v>0</v>
      </c>
      <c r="W68" s="13">
        <f>+INDEX('[10]PAGE 3'!$1:$1048576,MATCH("membership, dues and publications",'[10]PAGE 3'!$B:$B,0),8)</f>
        <v>312</v>
      </c>
      <c r="X68" s="47">
        <f>IFERROR(VLOOKUP("Dues &amp; Subscriptions",'[11]PAGE 2'!$B:$S,14,FALSE),0)</f>
        <v>399</v>
      </c>
      <c r="Y68" s="13">
        <f>IFERROR(VLOOKUP("Dues &amp; Subscriptions",'[11]PAGE 2'!$B:$S,16,FALSE),0)</f>
        <v>1907</v>
      </c>
      <c r="Z68" s="47">
        <f>IFERROR(VLOOKUP("Dues &amp; Subscriptions",'[12]PAGE 2'!$B:$S,14,FALSE),0)</f>
        <v>127</v>
      </c>
      <c r="AA68" s="13">
        <f>IFERROR(VLOOKUP("Dues &amp; Subscriptions",'[12]PAGE 2'!$B:$S,16,FALSE),0)</f>
        <v>440</v>
      </c>
      <c r="AB68" s="47">
        <f t="shared" si="0"/>
        <v>3356</v>
      </c>
      <c r="AC68" s="13">
        <f t="shared" si="1"/>
        <v>38352</v>
      </c>
    </row>
    <row r="69" spans="1:29">
      <c r="A69" s="4" t="s">
        <v>56</v>
      </c>
      <c r="B69" s="24">
        <f t="shared" ref="B69:C69" si="42">SUM(B53:B68)</f>
        <v>28116</v>
      </c>
      <c r="C69" s="25">
        <f t="shared" si="42"/>
        <v>372544</v>
      </c>
      <c r="D69" s="24">
        <f t="shared" ref="D69:E69" si="43">SUM(D53:D68)</f>
        <v>35690</v>
      </c>
      <c r="E69" s="25">
        <f t="shared" si="43"/>
        <v>367479</v>
      </c>
      <c r="F69" s="24">
        <f t="shared" ref="F69:G69" si="44">SUM(F53:F68)</f>
        <v>35999</v>
      </c>
      <c r="G69" s="25">
        <f t="shared" si="44"/>
        <v>466079</v>
      </c>
      <c r="H69" s="24">
        <f t="shared" ref="H69:K69" si="45">SUM(H53:H68)</f>
        <v>-2705</v>
      </c>
      <c r="I69" s="25">
        <f t="shared" si="45"/>
        <v>219169</v>
      </c>
      <c r="J69" s="24">
        <f t="shared" si="45"/>
        <v>16442</v>
      </c>
      <c r="K69" s="25">
        <f t="shared" si="45"/>
        <v>223062</v>
      </c>
      <c r="L69" s="24"/>
      <c r="M69" s="25"/>
      <c r="N69" s="24">
        <f t="shared" ref="N69:Q69" si="46">SUM(N53:N68)</f>
        <v>23160</v>
      </c>
      <c r="O69" s="25">
        <f t="shared" si="46"/>
        <v>336876</v>
      </c>
      <c r="P69" s="24">
        <f t="shared" si="46"/>
        <v>11816.463694567567</v>
      </c>
      <c r="Q69" s="25">
        <f t="shared" si="46"/>
        <v>233265</v>
      </c>
      <c r="R69" s="24">
        <f t="shared" ref="R69:S69" si="47">SUM(R53:R68)</f>
        <v>11882.059768912317</v>
      </c>
      <c r="S69" s="25">
        <f t="shared" si="47"/>
        <v>167151</v>
      </c>
      <c r="T69" s="24">
        <f t="shared" ref="T69:AA69" si="48">SUM(T53:T68)</f>
        <v>6520.1225223816418</v>
      </c>
      <c r="U69" s="25">
        <f t="shared" si="48"/>
        <v>119508</v>
      </c>
      <c r="V69" s="24">
        <f t="shared" si="48"/>
        <v>15311</v>
      </c>
      <c r="W69" s="25">
        <f t="shared" si="48"/>
        <v>53440</v>
      </c>
      <c r="X69" s="24">
        <f t="shared" si="48"/>
        <v>38247</v>
      </c>
      <c r="Y69" s="25">
        <f t="shared" si="48"/>
        <v>261760</v>
      </c>
      <c r="Z69" s="24">
        <f t="shared" si="48"/>
        <v>12170</v>
      </c>
      <c r="AA69" s="25">
        <f t="shared" si="48"/>
        <v>51093</v>
      </c>
      <c r="AB69" s="24">
        <f t="shared" si="0"/>
        <v>232648.64598586151</v>
      </c>
      <c r="AC69" s="25">
        <f t="shared" si="1"/>
        <v>2871426</v>
      </c>
    </row>
    <row r="70" spans="1:29">
      <c r="A70" s="5" t="s">
        <v>37</v>
      </c>
      <c r="B70" s="47">
        <f>INDEX('[4]Page 2'!$B:$DP,MATCH("0500",'[4]Page 2'!$M:$M,0),74)</f>
        <v>16950</v>
      </c>
      <c r="C70" s="13">
        <f>INDEX('[4]Page 2'!$B:$DP,MATCH("0500",'[4]Page 2'!$M:$M,0),95)</f>
        <v>205050</v>
      </c>
      <c r="D70" s="47">
        <f>INDEX('[5]Page 2'!$B:$DP,MATCH("0500",'[5]Page 2'!$M:$M,0),74)</f>
        <v>7500</v>
      </c>
      <c r="E70" s="13">
        <f>INDEX('[5]Page 2'!$B:$DP,MATCH("0500",'[5]Page 2'!$M:$M,0),95)</f>
        <v>90000</v>
      </c>
      <c r="F70" s="47">
        <f>INDEX('[6]Page 2'!$B:$DP,MATCH("0500",'[6]Page 2'!$M:$M,0),74)</f>
        <v>27010</v>
      </c>
      <c r="G70" s="13">
        <f>INDEX('[6]Page 2'!$B:$DP,MATCH("0500",'[6]Page 2'!$M:$M,0),95)</f>
        <v>319943</v>
      </c>
      <c r="H70" s="47">
        <f>'[7]PAGE 3'!$I54</f>
        <v>12561</v>
      </c>
      <c r="I70" s="13">
        <f>'[7]PAGE 3'!$K54</f>
        <v>147577</v>
      </c>
      <c r="J70" s="47">
        <f>'[8]PAGE 3'!$I54</f>
        <v>12278</v>
      </c>
      <c r="K70" s="13">
        <f>'[8]PAGE 3'!$K54</f>
        <v>137291</v>
      </c>
      <c r="L70" s="47"/>
      <c r="M70" s="13"/>
      <c r="N70" s="47">
        <f>IFERROR(VLOOKUP("Rent &amp; Equivalent",'[9]PAGE 2'!$B:$S,14,FALSE),0)</f>
        <v>19844</v>
      </c>
      <c r="O70" s="13">
        <f>IFERROR(VLOOKUP("Rent &amp; Equivalent",'[9]PAGE 2'!$B:$S,16,FALSE),0)</f>
        <v>204701</v>
      </c>
      <c r="P70" s="47">
        <f>$Q$3*'[2]PAGE 6'!$O$11</f>
        <v>11309.371105543778</v>
      </c>
      <c r="Q70" s="13">
        <f>'[2]PAGE 6'!$BB$11</f>
        <v>126040</v>
      </c>
      <c r="R70" s="47">
        <f>[3]P6!$M$21*S3</f>
        <v>6634.4333724012695</v>
      </c>
      <c r="S70" s="13">
        <f>[3]P6!$AZ$21</f>
        <v>90054</v>
      </c>
      <c r="T70" s="47">
        <f>[13]P6!$M$21*U3</f>
        <v>5677.9444466163659</v>
      </c>
      <c r="U70" s="13">
        <f>[13]P6!$AZ$21</f>
        <v>110422</v>
      </c>
      <c r="V70" s="47">
        <f>+INDEX('[10]PAGE 3'!$1:$1048576,MATCH("rent",'[10]PAGE 3'!$B:$B,0),6)</f>
        <v>8000</v>
      </c>
      <c r="W70" s="13">
        <f>+INDEX('[10]PAGE 3'!$1:$1048576,MATCH("rent",'[10]PAGE 3'!$B:$B,0),8)</f>
        <v>56400</v>
      </c>
      <c r="X70" s="47">
        <f>IFERROR(VLOOKUP("Rent &amp; Equivalent",'[11]PAGE 2'!$B:$S,14,FALSE),0)</f>
        <v>0</v>
      </c>
      <c r="Y70" s="13">
        <f>IFERROR(VLOOKUP("Rent &amp; Equivalent",'[11]PAGE 2'!$B:$S,16,FALSE),0)</f>
        <v>23900</v>
      </c>
      <c r="Z70" s="47">
        <f>IFERROR(VLOOKUP("Rent &amp; Equivalent",'[12]PAGE 2'!$B:$S,14,FALSE),0)</f>
        <v>4500</v>
      </c>
      <c r="AA70" s="13">
        <f>IFERROR(VLOOKUP("Rent &amp; Equivalent",'[12]PAGE 2'!$B:$S,16,FALSE),0)</f>
        <v>17996</v>
      </c>
      <c r="AB70" s="47">
        <f t="shared" si="0"/>
        <v>132264.74892456143</v>
      </c>
      <c r="AC70" s="13">
        <f t="shared" si="1"/>
        <v>1529374</v>
      </c>
    </row>
    <row r="71" spans="1:29">
      <c r="A71" s="5" t="s">
        <v>38</v>
      </c>
      <c r="B71" s="47">
        <f>INDEX('[4]Page 2'!$B:$DP,MATCH("0510",'[4]Page 2'!$M:$M,0),74)</f>
        <v>-76</v>
      </c>
      <c r="C71" s="13">
        <f>INDEX('[4]Page 2'!$B:$DP,MATCH("0510",'[4]Page 2'!$M:$M,0),95)</f>
        <v>579</v>
      </c>
      <c r="D71" s="47">
        <f>INDEX('[5]Page 2'!$B:$DP,MATCH("0510",'[5]Page 2'!$M:$M,0),74)</f>
        <v>0</v>
      </c>
      <c r="E71" s="13">
        <f>INDEX('[5]Page 2'!$B:$DP,MATCH("0510",'[5]Page 2'!$M:$M,0),95)</f>
        <v>0</v>
      </c>
      <c r="F71" s="47">
        <f>INDEX('[6]Page 2'!$B:$DP,MATCH("0510",'[6]Page 2'!$M:$M,0),74)</f>
        <v>0</v>
      </c>
      <c r="G71" s="13">
        <f>INDEX('[6]Page 2'!$B:$DP,MATCH("0510",'[6]Page 2'!$M:$M,0),95)</f>
        <v>0</v>
      </c>
      <c r="H71" s="47">
        <f>'[7]PAGE 3'!$I55</f>
        <v>0</v>
      </c>
      <c r="I71" s="13">
        <f>'[7]PAGE 3'!$K55</f>
        <v>0</v>
      </c>
      <c r="J71" s="47">
        <f>'[8]PAGE 3'!$I55</f>
        <v>0</v>
      </c>
      <c r="K71" s="13">
        <f>'[8]PAGE 3'!$K55</f>
        <v>0</v>
      </c>
      <c r="L71" s="47"/>
      <c r="M71" s="13"/>
      <c r="N71" s="47">
        <f>IFERROR(VLOOKUP(0,'[9]PAGE 2'!$B:$S,14,FALSE),0)</f>
        <v>0</v>
      </c>
      <c r="O71" s="13">
        <f>IFERROR(VLOOKUP(0,'[9]PAGE 2'!$B:$S,16,FALSE),0)</f>
        <v>0</v>
      </c>
      <c r="P71" s="47"/>
      <c r="Q71" s="13"/>
      <c r="R71" s="47"/>
      <c r="S71" s="13"/>
      <c r="T71" s="47"/>
      <c r="U71" s="13"/>
      <c r="V71" s="47">
        <f>+INDEX('[10]PAGE 3'!$1:$1048576,MATCH("amortization - leaseholds",'[10]PAGE 3'!$B:$B,0),6)</f>
        <v>0</v>
      </c>
      <c r="W71" s="13">
        <f>+INDEX('[10]PAGE 3'!$1:$1048576,MATCH("amortization - leaseholds",'[10]PAGE 3'!$B:$B,0),8)</f>
        <v>0</v>
      </c>
      <c r="X71" s="47">
        <f>IFERROR(VLOOKUP(0,'[11]PAGE 2'!$B:$S,14,FALSE),0)</f>
        <v>0</v>
      </c>
      <c r="Y71" s="13">
        <f>IFERROR(VLOOKUP(0,'[11]PAGE 2'!$B:$S,16,FALSE),0)</f>
        <v>0</v>
      </c>
      <c r="Z71" s="47">
        <f>IFERROR(VLOOKUP(0,'[12]PAGE 2'!$B:$S,14,FALSE),0)</f>
        <v>0</v>
      </c>
      <c r="AA71" s="13">
        <f>IFERROR(VLOOKUP(0,'[12]PAGE 2'!$B:$S,16,FALSE),0)</f>
        <v>0</v>
      </c>
      <c r="AB71" s="47">
        <f t="shared" ref="AB71:AB91" si="49">SUMIF($B$5:$AA$5,"Month",B71:AA71)</f>
        <v>-76</v>
      </c>
      <c r="AC71" s="13">
        <f t="shared" ref="AC71:AC91" si="50">SUMIF($B$5:$AA$5,"YTD",B71:AA71)</f>
        <v>579</v>
      </c>
    </row>
    <row r="72" spans="1:29">
      <c r="A72" s="5" t="s">
        <v>39</v>
      </c>
      <c r="B72" s="47">
        <f>INDEX('[4]Page 2'!$B:$DP,MATCH("0520",'[4]Page 2'!$M:$M,0),74)</f>
        <v>0</v>
      </c>
      <c r="C72" s="13">
        <f>INDEX('[4]Page 2'!$B:$DP,MATCH("0520",'[4]Page 2'!$M:$M,0),95)</f>
        <v>2412</v>
      </c>
      <c r="D72" s="47">
        <f>INDEX('[5]Page 2'!$B:$DP,MATCH("0520",'[5]Page 2'!$M:$M,0),74)</f>
        <v>0</v>
      </c>
      <c r="E72" s="13">
        <f>INDEX('[5]Page 2'!$B:$DP,MATCH("0520",'[5]Page 2'!$M:$M,0),95)</f>
        <v>828</v>
      </c>
      <c r="F72" s="47">
        <f>INDEX('[6]Page 2'!$B:$DP,MATCH("0520",'[6]Page 2'!$M:$M,0),74)</f>
        <v>0</v>
      </c>
      <c r="G72" s="13">
        <f>INDEX('[6]Page 2'!$B:$DP,MATCH("0520",'[6]Page 2'!$M:$M,0),95)</f>
        <v>661</v>
      </c>
      <c r="H72" s="47">
        <f>'[7]PAGE 3'!$I56</f>
        <v>0</v>
      </c>
      <c r="I72" s="13">
        <f>'[7]PAGE 3'!$K56</f>
        <v>216</v>
      </c>
      <c r="J72" s="47">
        <f>'[8]PAGE 3'!$I56</f>
        <v>97</v>
      </c>
      <c r="K72" s="13">
        <f>'[8]PAGE 3'!$K56</f>
        <v>155</v>
      </c>
      <c r="L72" s="47"/>
      <c r="M72" s="13"/>
      <c r="N72" s="47">
        <f>IFERROR(VLOOKUP(0,'[9]PAGE 2'!$B:$S,14,FALSE),0)</f>
        <v>0</v>
      </c>
      <c r="O72" s="13">
        <f>IFERROR(VLOOKUP(0,'[9]PAGE 2'!$B:$S,16,FALSE),0)</f>
        <v>0</v>
      </c>
      <c r="P72" s="47"/>
      <c r="Q72" s="13"/>
      <c r="R72" s="47"/>
      <c r="S72" s="13"/>
      <c r="T72" s="47"/>
      <c r="U72" s="13"/>
      <c r="V72" s="47">
        <f>+INDEX('[10]PAGE 3'!$1:$1048576,MATCH("repairs - real estate",'[10]PAGE 3'!$B:$B,0),6)</f>
        <v>215</v>
      </c>
      <c r="W72" s="13">
        <f>+INDEX('[10]PAGE 3'!$1:$1048576,MATCH("repairs - real estate",'[10]PAGE 3'!$B:$B,0),8)</f>
        <v>2528</v>
      </c>
      <c r="X72" s="47">
        <f>IFERROR(VLOOKUP(0,'[11]PAGE 2'!$B:$S,14,FALSE),0)</f>
        <v>0</v>
      </c>
      <c r="Y72" s="13">
        <f>IFERROR(VLOOKUP(0,'[11]PAGE 2'!$B:$S,16,FALSE),0)</f>
        <v>0</v>
      </c>
      <c r="Z72" s="47">
        <f>IFERROR(VLOOKUP(0,'[12]PAGE 2'!$B:$S,14,FALSE),0)</f>
        <v>0</v>
      </c>
      <c r="AA72" s="13">
        <f>IFERROR(VLOOKUP(0,'[12]PAGE 2'!$B:$S,16,FALSE),0)</f>
        <v>0</v>
      </c>
      <c r="AB72" s="47">
        <f t="shared" si="49"/>
        <v>312</v>
      </c>
      <c r="AC72" s="13">
        <f t="shared" si="50"/>
        <v>6800</v>
      </c>
    </row>
    <row r="73" spans="1:29">
      <c r="A73" s="5" t="s">
        <v>40</v>
      </c>
      <c r="B73" s="47">
        <f>INDEX('[4]Page 2'!$B:$DP,MATCH("0530",'[4]Page 2'!$M:$M,0),74)</f>
        <v>0</v>
      </c>
      <c r="C73" s="13">
        <f>INDEX('[4]Page 2'!$B:$DP,MATCH("0530",'[4]Page 2'!$M:$M,0),95)</f>
        <v>0</v>
      </c>
      <c r="D73" s="47">
        <f>INDEX('[5]Page 2'!$B:$DP,MATCH("0530",'[5]Page 2'!$M:$M,0),74)</f>
        <v>522</v>
      </c>
      <c r="E73" s="13">
        <f>INDEX('[5]Page 2'!$B:$DP,MATCH("0530",'[5]Page 2'!$M:$M,0),95)</f>
        <v>3131</v>
      </c>
      <c r="F73" s="47">
        <f>INDEX('[6]Page 2'!$B:$DP,MATCH("0530",'[6]Page 2'!$M:$M,0),74)</f>
        <v>203</v>
      </c>
      <c r="G73" s="13">
        <f>INDEX('[6]Page 2'!$B:$DP,MATCH("0530",'[6]Page 2'!$M:$M,0),95)</f>
        <v>1501</v>
      </c>
      <c r="H73" s="47">
        <f>'[7]PAGE 3'!$I57</f>
        <v>0</v>
      </c>
      <c r="I73" s="13">
        <f>'[7]PAGE 3'!$K57</f>
        <v>0</v>
      </c>
      <c r="J73" s="47">
        <f>'[8]PAGE 3'!$I57</f>
        <v>0</v>
      </c>
      <c r="K73" s="13">
        <f>'[8]PAGE 3'!$K57</f>
        <v>0</v>
      </c>
      <c r="L73" s="47"/>
      <c r="M73" s="13"/>
      <c r="N73" s="47">
        <f>IFERROR(VLOOKUP(0,'[9]PAGE 2'!$B:$S,14,FALSE),0)</f>
        <v>0</v>
      </c>
      <c r="O73" s="13">
        <f>IFERROR(VLOOKUP(0,'[9]PAGE 2'!$B:$S,16,FALSE),0)</f>
        <v>0</v>
      </c>
      <c r="P73" s="47"/>
      <c r="Q73" s="13"/>
      <c r="R73" s="47"/>
      <c r="S73" s="13"/>
      <c r="T73" s="47"/>
      <c r="U73" s="13"/>
      <c r="V73" s="47">
        <f>+INDEX('[10]PAGE 3'!$1:$1048576,MATCH("depreciation - buildings and improvements",'[10]PAGE 3'!$B:$B,0),6)</f>
        <v>0</v>
      </c>
      <c r="W73" s="13">
        <f>+INDEX('[10]PAGE 3'!$1:$1048576,MATCH("depreciation - buildings and improvements",'[10]PAGE 3'!$B:$B,0),8)</f>
        <v>0</v>
      </c>
      <c r="X73" s="47">
        <f>IFERROR(VLOOKUP(0,'[11]PAGE 2'!$B:$S,14,FALSE),0)</f>
        <v>0</v>
      </c>
      <c r="Y73" s="13">
        <f>IFERROR(VLOOKUP(0,'[11]PAGE 2'!$B:$S,16,FALSE),0)</f>
        <v>0</v>
      </c>
      <c r="Z73" s="47">
        <f>IFERROR(VLOOKUP(0,'[12]PAGE 2'!$B:$S,14,FALSE),0)</f>
        <v>0</v>
      </c>
      <c r="AA73" s="13">
        <f>IFERROR(VLOOKUP(0,'[12]PAGE 2'!$B:$S,16,FALSE),0)</f>
        <v>0</v>
      </c>
      <c r="AB73" s="47">
        <f t="shared" si="49"/>
        <v>725</v>
      </c>
      <c r="AC73" s="13">
        <f t="shared" si="50"/>
        <v>4632</v>
      </c>
    </row>
    <row r="74" spans="1:29">
      <c r="A74" s="5" t="s">
        <v>41</v>
      </c>
      <c r="B74" s="47">
        <f>INDEX('[4]Page 2'!$B:$DP,MATCH("0540",'[4]Page 2'!$M:$M,0),74)</f>
        <v>1720</v>
      </c>
      <c r="C74" s="13">
        <f>INDEX('[4]Page 2'!$B:$DP,MATCH("0540",'[4]Page 2'!$M:$M,0),95)</f>
        <v>16007</v>
      </c>
      <c r="D74" s="47">
        <f>INDEX('[5]Page 2'!$B:$DP,MATCH("0540",'[5]Page 2'!$M:$M,0),74)</f>
        <v>459</v>
      </c>
      <c r="E74" s="13">
        <f>INDEX('[5]Page 2'!$B:$DP,MATCH("0540",'[5]Page 2'!$M:$M,0),95)</f>
        <v>5174</v>
      </c>
      <c r="F74" s="47">
        <f>INDEX('[6]Page 2'!$B:$DP,MATCH("0540",'[6]Page 2'!$M:$M,0),74)</f>
        <v>0</v>
      </c>
      <c r="G74" s="13">
        <f>INDEX('[6]Page 2'!$B:$DP,MATCH("0540",'[6]Page 2'!$M:$M,0),95)</f>
        <v>0</v>
      </c>
      <c r="H74" s="47">
        <f>'[7]PAGE 3'!$I59</f>
        <v>0</v>
      </c>
      <c r="I74" s="13">
        <f>'[7]PAGE 3'!$K59</f>
        <v>0</v>
      </c>
      <c r="J74" s="47">
        <f>'[8]PAGE 3'!$I59</f>
        <v>0</v>
      </c>
      <c r="K74" s="13">
        <f>'[8]PAGE 3'!$K59</f>
        <v>0</v>
      </c>
      <c r="L74" s="47"/>
      <c r="M74" s="13"/>
      <c r="N74" s="47">
        <f>IFERROR(VLOOKUP(0,'[9]PAGE 2'!$B:$S,14,FALSE),0)</f>
        <v>0</v>
      </c>
      <c r="O74" s="13">
        <f>IFERROR(VLOOKUP(0,'[9]PAGE 2'!$B:$S,16,FALSE),0)</f>
        <v>0</v>
      </c>
      <c r="P74" s="47"/>
      <c r="Q74" s="13"/>
      <c r="R74" s="47"/>
      <c r="S74" s="13"/>
      <c r="T74" s="47"/>
      <c r="U74" s="13"/>
      <c r="V74" s="47">
        <f>+INDEX('[10]PAGE 3'!$1:$1048576,MATCH("insurance - building and improvements",'[10]PAGE 3'!$B:$B,0),6)</f>
        <v>0</v>
      </c>
      <c r="W74" s="13">
        <f>+INDEX('[10]PAGE 3'!$1:$1048576,MATCH("insurance - building and improvements",'[10]PAGE 3'!$B:$B,0),8)</f>
        <v>0</v>
      </c>
      <c r="X74" s="47">
        <f>IFERROR(VLOOKUP(0,'[11]PAGE 2'!$B:$S,14,FALSE),0)</f>
        <v>0</v>
      </c>
      <c r="Y74" s="13">
        <f>IFERROR(VLOOKUP(0,'[11]PAGE 2'!$B:$S,16,FALSE),0)</f>
        <v>0</v>
      </c>
      <c r="Z74" s="47">
        <f>IFERROR(VLOOKUP(0,'[12]PAGE 2'!$B:$S,14,FALSE),0)</f>
        <v>0</v>
      </c>
      <c r="AA74" s="13">
        <f>IFERROR(VLOOKUP(0,'[12]PAGE 2'!$B:$S,16,FALSE),0)</f>
        <v>0</v>
      </c>
      <c r="AB74" s="47">
        <f t="shared" si="49"/>
        <v>2179</v>
      </c>
      <c r="AC74" s="13">
        <f t="shared" si="50"/>
        <v>21181</v>
      </c>
    </row>
    <row r="75" spans="1:29">
      <c r="A75" s="5" t="s">
        <v>42</v>
      </c>
      <c r="B75" s="47">
        <f>INDEX('[4]Page 2'!$B:$DP,MATCH("0550",'[4]Page 2'!$M:$M,0),74)</f>
        <v>1216</v>
      </c>
      <c r="C75" s="13">
        <f>INDEX('[4]Page 2'!$B:$DP,MATCH("0550",'[4]Page 2'!$M:$M,0),95)</f>
        <v>8943</v>
      </c>
      <c r="D75" s="47">
        <f>INDEX('[5]Page 2'!$B:$DP,MATCH("0550",'[5]Page 2'!$M:$M,0),74)</f>
        <v>952</v>
      </c>
      <c r="E75" s="13">
        <f>INDEX('[5]Page 2'!$B:$DP,MATCH("0550",'[5]Page 2'!$M:$M,0),95)</f>
        <v>11423</v>
      </c>
      <c r="F75" s="47">
        <f>INDEX('[6]Page 2'!$B:$DP,MATCH("0550",'[6]Page 2'!$M:$M,0),74)</f>
        <v>842</v>
      </c>
      <c r="G75" s="13">
        <f>INDEX('[6]Page 2'!$B:$DP,MATCH("0550",'[6]Page 2'!$M:$M,0),95)</f>
        <v>8429</v>
      </c>
      <c r="H75" s="47">
        <f>'[7]PAGE 3'!$I58</f>
        <v>384</v>
      </c>
      <c r="I75" s="13">
        <f>'[7]PAGE 3'!$K58</f>
        <v>6695</v>
      </c>
      <c r="J75" s="47">
        <f>'[8]PAGE 3'!$I58</f>
        <v>63</v>
      </c>
      <c r="K75" s="13">
        <f>'[8]PAGE 3'!$K58</f>
        <v>4556</v>
      </c>
      <c r="L75" s="47"/>
      <c r="M75" s="13"/>
      <c r="N75" s="47">
        <f>IFERROR(VLOOKUP(0,'[9]PAGE 2'!$B:$S,14,FALSE),0)</f>
        <v>0</v>
      </c>
      <c r="O75" s="13">
        <f>IFERROR(VLOOKUP(0,'[9]PAGE 2'!$B:$S,16,FALSE),0)</f>
        <v>0</v>
      </c>
      <c r="P75" s="47"/>
      <c r="Q75" s="13"/>
      <c r="R75" s="47"/>
      <c r="S75" s="13"/>
      <c r="T75" s="47"/>
      <c r="U75" s="13"/>
      <c r="V75" s="47">
        <f>+INDEX('[10]PAGE 3'!$1:$1048576,MATCH("taxes - real estate",'[10]PAGE 3'!$B:$B,0),6)</f>
        <v>0</v>
      </c>
      <c r="W75" s="13">
        <f>+INDEX('[10]PAGE 3'!$1:$1048576,MATCH("taxes - real estate",'[10]PAGE 3'!$B:$B,0),8)</f>
        <v>0</v>
      </c>
      <c r="X75" s="47">
        <f>IFERROR(VLOOKUP(0,'[11]PAGE 2'!$B:$S,14,FALSE),0)</f>
        <v>0</v>
      </c>
      <c r="Y75" s="13">
        <f>IFERROR(VLOOKUP(0,'[11]PAGE 2'!$B:$S,16,FALSE),0)</f>
        <v>0</v>
      </c>
      <c r="Z75" s="47">
        <f>IFERROR(VLOOKUP(0,'[12]PAGE 2'!$B:$S,14,FALSE),0)</f>
        <v>0</v>
      </c>
      <c r="AA75" s="13">
        <f>IFERROR(VLOOKUP(0,'[12]PAGE 2'!$B:$S,16,FALSE),0)</f>
        <v>0</v>
      </c>
      <c r="AB75" s="47">
        <f t="shared" si="49"/>
        <v>3457</v>
      </c>
      <c r="AC75" s="13">
        <f t="shared" si="50"/>
        <v>40046</v>
      </c>
    </row>
    <row r="76" spans="1:29">
      <c r="A76" s="5" t="s">
        <v>255</v>
      </c>
      <c r="B76" s="47"/>
      <c r="C76" s="13"/>
      <c r="D76" s="47"/>
      <c r="E76" s="13"/>
      <c r="F76" s="47"/>
      <c r="G76" s="13"/>
      <c r="H76" s="47">
        <f>'[7]PAGE 3'!$I60+'[7]PAGE 3'!$I65</f>
        <v>1564</v>
      </c>
      <c r="I76" s="13">
        <f>'[7]PAGE 3'!$K60+'[7]PAGE 3'!$K65</f>
        <v>22618</v>
      </c>
      <c r="J76" s="47">
        <f>'[8]PAGE 3'!$I60+'[8]PAGE 3'!$I65</f>
        <v>1564</v>
      </c>
      <c r="K76" s="13">
        <f>'[8]PAGE 3'!$K60+'[8]PAGE 3'!$K65</f>
        <v>22618</v>
      </c>
      <c r="L76" s="47"/>
      <c r="M76" s="13"/>
      <c r="N76" s="47">
        <f>IFERROR(VLOOKUP("Interest - Other Than Floor Plan &amp; R.E Mortgage",'[9]PAGE 2'!$B:$S,14,FALSE),0)</f>
        <v>1344</v>
      </c>
      <c r="O76" s="13">
        <f>IFERROR(VLOOKUP("Interest - Other Than Floor Plan &amp; R.E Mortgage",'[9]PAGE 2'!$B:$S,16,FALSE),0)</f>
        <v>33043</v>
      </c>
      <c r="P76" s="47">
        <f>$Q$3*'[2]PAGE 6'!$O$21</f>
        <v>3818.8903877861285</v>
      </c>
      <c r="Q76" s="13">
        <f>'[2]PAGE 6'!$BB$21</f>
        <v>44735</v>
      </c>
      <c r="R76" s="47">
        <f>[3]P6!$M$41*S3</f>
        <v>762.20383402331004</v>
      </c>
      <c r="S76" s="13">
        <f>[3]P6!$AZ$41</f>
        <v>11213</v>
      </c>
      <c r="T76" s="47">
        <f>[13]P6!$M$41*U3</f>
        <v>2019.8493686226984</v>
      </c>
      <c r="U76" s="13">
        <f>[13]P6!$AZ$41</f>
        <v>29716</v>
      </c>
      <c r="V76" s="47">
        <f>+INDEX('[10]PAGE 3'!$1:$1048576,MATCH("interest - real estate mortgage",'[10]PAGE 3'!$B:$B,0),6)</f>
        <v>0</v>
      </c>
      <c r="W76" s="13">
        <f>+INDEX('[10]PAGE 3'!$1:$1048576,MATCH("interest - real estate mortgage",'[10]PAGE 3'!$B:$B,0),8)</f>
        <v>0</v>
      </c>
      <c r="X76" s="47">
        <f>IFERROR(VLOOKUP("Interest - Other Than Floor Plan &amp; R.E Mortgage",'[11]PAGE 2'!$B:$S,14,FALSE),0)</f>
        <v>0</v>
      </c>
      <c r="Y76" s="13">
        <f>IFERROR(VLOOKUP("Interest - Other Than Floor Plan &amp; R.E Mortgage",'[11]PAGE 2'!$B:$S,16,FALSE),0)</f>
        <v>0</v>
      </c>
      <c r="Z76" s="47">
        <f>IFERROR(VLOOKUP("Interest - Other Than Floor Plan &amp; R.E Mortgage",'[12]PAGE 2'!$B:$S,14,FALSE),0)</f>
        <v>3985</v>
      </c>
      <c r="AA76" s="13">
        <f>IFERROR(VLOOKUP("Interest - Other Than Floor Plan &amp; R.E Mortgage",'[12]PAGE 2'!$B:$S,16,FALSE),0)</f>
        <v>3985</v>
      </c>
      <c r="AB76" s="47">
        <f t="shared" si="49"/>
        <v>15057.943590432136</v>
      </c>
      <c r="AC76" s="13">
        <f t="shared" si="50"/>
        <v>167928</v>
      </c>
    </row>
    <row r="77" spans="1:29">
      <c r="A77" s="5" t="s">
        <v>44</v>
      </c>
      <c r="B77" s="47">
        <f>INDEX('[4]Page 2'!$B:$DP,MATCH("0570",'[4]Page 2'!$M:$M,0),74)</f>
        <v>1767</v>
      </c>
      <c r="C77" s="13">
        <f>INDEX('[4]Page 2'!$B:$DP,MATCH("0570",'[4]Page 2'!$M:$M,0),95)</f>
        <v>29928</v>
      </c>
      <c r="D77" s="47">
        <f>INDEX('[5]Page 2'!$B:$DP,MATCH("0570",'[5]Page 2'!$M:$M,0),74)</f>
        <v>2324</v>
      </c>
      <c r="E77" s="13">
        <f>INDEX('[5]Page 2'!$B:$DP,MATCH("0570",'[5]Page 2'!$M:$M,0),95)</f>
        <v>32412</v>
      </c>
      <c r="F77" s="47">
        <f>INDEX('[6]Page 2'!$B:$DP,MATCH("0570",'[6]Page 2'!$M:$M,0),74)</f>
        <v>2253</v>
      </c>
      <c r="G77" s="13">
        <f>INDEX('[6]Page 2'!$B:$DP,MATCH("0570",'[6]Page 2'!$M:$M,0),95)</f>
        <v>45248</v>
      </c>
      <c r="H77" s="47">
        <f>'[7]PAGE 3'!$I61</f>
        <v>1940</v>
      </c>
      <c r="I77" s="13">
        <f>'[7]PAGE 3'!$K61</f>
        <v>16274</v>
      </c>
      <c r="J77" s="47">
        <f>'[8]PAGE 3'!$I61</f>
        <v>837</v>
      </c>
      <c r="K77" s="13">
        <f>'[8]PAGE 3'!$K61</f>
        <v>15954</v>
      </c>
      <c r="L77" s="47"/>
      <c r="M77" s="13"/>
      <c r="N77" s="47">
        <f>IFERROR(VLOOKUP("Heat, Light, Power &amp; Water",'[9]PAGE 2'!$B:$S,14,FALSE),0)</f>
        <v>1873</v>
      </c>
      <c r="O77" s="13">
        <f>IFERROR(VLOOKUP("Heat, Light, Power &amp; Water",'[9]PAGE 2'!$B:$S,16,FALSE),0)</f>
        <v>24937</v>
      </c>
      <c r="P77" s="47">
        <f>$Q$3*'[2]PAGE 6'!$O$12</f>
        <v>2430.7237318258708</v>
      </c>
      <c r="Q77" s="13">
        <f>'[2]PAGE 6'!$BB$12</f>
        <v>24957</v>
      </c>
      <c r="R77" s="47">
        <f>[3]P6!$M$23*S3</f>
        <v>1579.6079457140127</v>
      </c>
      <c r="S77" s="13">
        <f>[3]P6!$AZ$23</f>
        <v>18836</v>
      </c>
      <c r="T77" s="47">
        <f>[13]P6!$M$23*U3</f>
        <v>1686.4761718597288</v>
      </c>
      <c r="U77" s="13">
        <f>[13]P6!$AZ$23</f>
        <v>20768</v>
      </c>
      <c r="V77" s="47">
        <f>+INDEX('[10]PAGE 3'!$1:$1048576,MATCH("heat, light, power and water",'[10]PAGE 3'!$B:$B,0),6)</f>
        <v>997</v>
      </c>
      <c r="W77" s="13">
        <f>+INDEX('[10]PAGE 3'!$1:$1048576,MATCH("heat, light, power and water",'[10]PAGE 3'!$B:$B,0),8)</f>
        <v>7570</v>
      </c>
      <c r="X77" s="47">
        <f>IFERROR(VLOOKUP("Heat, Light, Power &amp; Water",'[11]PAGE 2'!$B:$S,14,FALSE),0)</f>
        <v>3759</v>
      </c>
      <c r="Y77" s="13">
        <f>IFERROR(VLOOKUP("Heat, Light, Power &amp; Water",'[11]PAGE 2'!$B:$S,16,FALSE),0)</f>
        <v>27686</v>
      </c>
      <c r="Z77" s="47">
        <f>IFERROR(VLOOKUP("Heat, Light, Power &amp; Water",'[12]PAGE 2'!$B:$S,14,FALSE),0)</f>
        <v>302</v>
      </c>
      <c r="AA77" s="13">
        <f>IFERROR(VLOOKUP("Heat, Light, Power &amp; Water",'[12]PAGE 2'!$B:$S,16,FALSE),0)</f>
        <v>2978</v>
      </c>
      <c r="AB77" s="47">
        <f t="shared" si="49"/>
        <v>21748.807849399611</v>
      </c>
      <c r="AC77" s="13">
        <f t="shared" si="50"/>
        <v>267548</v>
      </c>
    </row>
    <row r="78" spans="1:29">
      <c r="A78" s="4" t="s">
        <v>57</v>
      </c>
      <c r="B78" s="24">
        <f t="shared" ref="B78:C78" si="51">SUM(B70:B77)</f>
        <v>21577</v>
      </c>
      <c r="C78" s="25">
        <f t="shared" si="51"/>
        <v>262919</v>
      </c>
      <c r="D78" s="24">
        <f t="shared" ref="D78:E78" si="52">SUM(D70:D77)</f>
        <v>11757</v>
      </c>
      <c r="E78" s="25">
        <f t="shared" si="52"/>
        <v>142968</v>
      </c>
      <c r="F78" s="24">
        <f t="shared" ref="F78:G78" si="53">SUM(F70:F77)</f>
        <v>30308</v>
      </c>
      <c r="G78" s="25">
        <f t="shared" si="53"/>
        <v>375782</v>
      </c>
      <c r="H78" s="24">
        <f t="shared" ref="H78:K78" si="54">SUM(H70:H77)</f>
        <v>16449</v>
      </c>
      <c r="I78" s="25">
        <f t="shared" si="54"/>
        <v>193380</v>
      </c>
      <c r="J78" s="24">
        <f t="shared" si="54"/>
        <v>14839</v>
      </c>
      <c r="K78" s="25">
        <f t="shared" si="54"/>
        <v>180574</v>
      </c>
      <c r="L78" s="24"/>
      <c r="M78" s="25"/>
      <c r="N78" s="24">
        <f t="shared" ref="N78:S78" si="55">SUM(N70:N77)</f>
        <v>23061</v>
      </c>
      <c r="O78" s="25">
        <f t="shared" si="55"/>
        <v>262681</v>
      </c>
      <c r="P78" s="24">
        <f t="shared" si="55"/>
        <v>17558.985225155779</v>
      </c>
      <c r="Q78" s="25">
        <f t="shared" si="55"/>
        <v>195732</v>
      </c>
      <c r="R78" s="24">
        <f t="shared" si="55"/>
        <v>8976.2451521385919</v>
      </c>
      <c r="S78" s="25">
        <f t="shared" si="55"/>
        <v>120103</v>
      </c>
      <c r="T78" s="24">
        <f t="shared" ref="T78:AA78" si="56">SUM(T70:T77)</f>
        <v>9384.2699870987926</v>
      </c>
      <c r="U78" s="25">
        <f t="shared" si="56"/>
        <v>160906</v>
      </c>
      <c r="V78" s="24">
        <f t="shared" si="56"/>
        <v>9212</v>
      </c>
      <c r="W78" s="25">
        <f t="shared" si="56"/>
        <v>66498</v>
      </c>
      <c r="X78" s="24">
        <f t="shared" si="56"/>
        <v>3759</v>
      </c>
      <c r="Y78" s="25">
        <f t="shared" si="56"/>
        <v>51586</v>
      </c>
      <c r="Z78" s="24">
        <f t="shared" si="56"/>
        <v>8787</v>
      </c>
      <c r="AA78" s="25">
        <f t="shared" si="56"/>
        <v>24959</v>
      </c>
      <c r="AB78" s="24">
        <f t="shared" si="49"/>
        <v>175668.50036439314</v>
      </c>
      <c r="AC78" s="25">
        <f t="shared" si="50"/>
        <v>2038088</v>
      </c>
    </row>
    <row r="79" spans="1:29">
      <c r="A79" s="8" t="s">
        <v>45</v>
      </c>
      <c r="B79" s="47">
        <f>INDEX('[4]Page 2'!$B:$DP,MATCH("0600",'[4]Page 2'!$M:$M,0),74)</f>
        <v>0</v>
      </c>
      <c r="C79" s="13">
        <f>INDEX('[4]Page 2'!$B:$DP,MATCH("0600",'[4]Page 2'!$M:$M,0),95)</f>
        <v>0</v>
      </c>
      <c r="D79" s="47">
        <f>INDEX('[5]Page 2'!$B:$DP,MATCH("0600",'[5]Page 2'!$M:$M,0),74)</f>
        <v>0</v>
      </c>
      <c r="E79" s="13">
        <f>INDEX('[5]Page 2'!$B:$DP,MATCH("0600",'[5]Page 2'!$M:$M,0),95)</f>
        <v>475</v>
      </c>
      <c r="F79" s="47">
        <f>INDEX('[6]Page 2'!$B:$DP,MATCH("0600",'[6]Page 2'!$M:$M,0),74)</f>
        <v>0</v>
      </c>
      <c r="G79" s="13">
        <f>INDEX('[6]Page 2'!$B:$DP,MATCH("0600",'[6]Page 2'!$M:$M,0),95)</f>
        <v>0</v>
      </c>
      <c r="H79" s="47"/>
      <c r="I79" s="13"/>
      <c r="J79" s="47"/>
      <c r="K79" s="13"/>
      <c r="L79" s="47"/>
      <c r="M79" s="13"/>
      <c r="N79" s="47">
        <f>IFERROR(VLOOKUP(0,'[9]PAGE 2'!$B:$S,14,FALSE),0)</f>
        <v>0</v>
      </c>
      <c r="O79" s="13">
        <f>IFERROR(VLOOKUP(0,'[9]PAGE 2'!$B:$S,16,FALSE),0)</f>
        <v>0</v>
      </c>
      <c r="P79" s="47"/>
      <c r="Q79" s="13"/>
      <c r="R79" s="47"/>
      <c r="S79" s="13"/>
      <c r="T79" s="47"/>
      <c r="U79" s="13"/>
      <c r="V79" s="47"/>
      <c r="W79" s="13"/>
      <c r="X79" s="47">
        <f>IFERROR(VLOOKUP(0,'[11]PAGE 2'!$B:$S,14,FALSE),0)</f>
        <v>0</v>
      </c>
      <c r="Y79" s="13">
        <f>IFERROR(VLOOKUP(0,'[11]PAGE 2'!$B:$S,16,FALSE),0)</f>
        <v>0</v>
      </c>
      <c r="Z79" s="47">
        <f>IFERROR(VLOOKUP(0,'[12]PAGE 2'!$B:$S,14,FALSE),0)</f>
        <v>0</v>
      </c>
      <c r="AA79" s="13">
        <f>IFERROR(VLOOKUP(0,'[12]PAGE 2'!$B:$S,16,FALSE),0)</f>
        <v>0</v>
      </c>
      <c r="AB79" s="47">
        <f t="shared" si="49"/>
        <v>0</v>
      </c>
      <c r="AC79" s="13">
        <f t="shared" si="50"/>
        <v>475</v>
      </c>
    </row>
    <row r="80" spans="1:29">
      <c r="A80" s="5" t="s">
        <v>46</v>
      </c>
      <c r="B80" s="47">
        <f>INDEX('[4]Page 2'!$B:$DP,MATCH("0620",'[4]Page 2'!$M:$M,0),74)</f>
        <v>282</v>
      </c>
      <c r="C80" s="13">
        <f>INDEX('[4]Page 2'!$B:$DP,MATCH("0620",'[4]Page 2'!$M:$M,0),95)</f>
        <v>4037</v>
      </c>
      <c r="D80" s="47">
        <f>INDEX('[5]Page 2'!$B:$DP,MATCH("0620",'[5]Page 2'!$M:$M,0),74)</f>
        <v>797</v>
      </c>
      <c r="E80" s="13">
        <f>INDEX('[5]Page 2'!$B:$DP,MATCH("0620",'[5]Page 2'!$M:$M,0),95)</f>
        <v>5661</v>
      </c>
      <c r="F80" s="47">
        <f>INDEX('[6]Page 2'!$B:$DP,MATCH("0620",'[6]Page 2'!$M:$M,0),74)</f>
        <v>590</v>
      </c>
      <c r="G80" s="13">
        <f>INDEX('[6]Page 2'!$B:$DP,MATCH("0620",'[6]Page 2'!$M:$M,0),95)</f>
        <v>8126</v>
      </c>
      <c r="H80" s="47">
        <f>'[7]PAGE 3'!$I67</f>
        <v>0</v>
      </c>
      <c r="I80" s="13">
        <f>'[7]PAGE 3'!$K67</f>
        <v>0</v>
      </c>
      <c r="J80" s="47">
        <f>'[8]PAGE 3'!$I67</f>
        <v>83</v>
      </c>
      <c r="K80" s="13">
        <f>'[8]PAGE 3'!$K67</f>
        <v>1146</v>
      </c>
      <c r="L80" s="47"/>
      <c r="M80" s="13"/>
      <c r="N80" s="47">
        <f>IFERROR(VLOOKUP("Equip. - Maint., Repair &amp; Rental - Dept'l.",'[9]PAGE 2'!$B:$S,14,FALSE),0)</f>
        <v>0</v>
      </c>
      <c r="O80" s="13">
        <f>IFERROR(VLOOKUP("Equip. - Maint., Repair &amp; Rental - Dept'l.",'[9]PAGE 2'!$B:$S,16,FALSE),0)</f>
        <v>862</v>
      </c>
      <c r="P80" s="47">
        <f>$Q$3*'[2]PAGE 6'!$O$23</f>
        <v>35.46112502944262</v>
      </c>
      <c r="Q80" s="13">
        <f>'[2]PAGE 6'!$BB$23</f>
        <v>645</v>
      </c>
      <c r="R80" s="47">
        <f>[3]P6!$M$45*S3</f>
        <v>109.80055231666155</v>
      </c>
      <c r="S80" s="13">
        <f>[3]P6!$AZ$45</f>
        <v>1781</v>
      </c>
      <c r="T80" s="47">
        <f>[13]P6!$M$45*U3</f>
        <v>56.710543805465427</v>
      </c>
      <c r="U80" s="13">
        <f>[13]P6!$AZ$45</f>
        <v>437</v>
      </c>
      <c r="V80" s="47">
        <f>+INDEX('[10]PAGE 3'!$1:$1048576,MATCH("repairs - equipment",'[10]PAGE 3'!$B:$B,0),6)+INDEX('[10]PAGE 3'!$1:$1048576,MATCH("equipment rental",'[10]PAGE 3'!$B:$B,0),6)</f>
        <v>0</v>
      </c>
      <c r="W80" s="13">
        <f>+INDEX('[10]PAGE 3'!$1:$1048576,MATCH("repairs - equipment",'[10]PAGE 3'!$B:$B,0),8)+INDEX('[10]PAGE 3'!$1:$1048576,MATCH("equipment rental",'[10]PAGE 3'!$B:$B,0),8)</f>
        <v>255</v>
      </c>
      <c r="X80" s="47">
        <f>IFERROR(VLOOKUP("Equip. - Maint., Repair &amp; Rental - Dept'l.",'[11]PAGE 2'!$B:$S,14,FALSE),0)</f>
        <v>2584</v>
      </c>
      <c r="Y80" s="13">
        <f>IFERROR(VLOOKUP("Equip. - Maint., Repair &amp; Rental - Dept'l.",'[11]PAGE 2'!$B:$S,16,FALSE),0)</f>
        <v>14099</v>
      </c>
      <c r="Z80" s="47">
        <f>IFERROR(VLOOKUP("Equip. - Maint., Repair &amp; Rental - Dept'l.",'[12]PAGE 2'!$B:$S,14,FALSE),0)</f>
        <v>137</v>
      </c>
      <c r="AA80" s="13">
        <f>IFERROR(VLOOKUP("Equip. - Maint., Repair &amp; Rental - Dept'l.",'[12]PAGE 2'!$B:$S,16,FALSE),0)</f>
        <v>137</v>
      </c>
      <c r="AB80" s="47">
        <f t="shared" si="49"/>
        <v>4674.97222115157</v>
      </c>
      <c r="AC80" s="13">
        <f t="shared" si="50"/>
        <v>37186</v>
      </c>
    </row>
    <row r="81" spans="1:29">
      <c r="A81" s="7" t="s">
        <v>47</v>
      </c>
      <c r="B81" s="47">
        <f>INDEX('[4]Page 2'!$B:$DP,MATCH("0630",'[4]Page 2'!$M:$M,0),74)</f>
        <v>-4719</v>
      </c>
      <c r="C81" s="13">
        <f>INDEX('[4]Page 2'!$B:$DP,MATCH("0630",'[4]Page 2'!$M:$M,0),95)</f>
        <v>11373</v>
      </c>
      <c r="D81" s="47">
        <f>INDEX('[5]Page 2'!$B:$DP,MATCH("0630",'[5]Page 2'!$M:$M,0),74)</f>
        <v>1668</v>
      </c>
      <c r="E81" s="13">
        <f>INDEX('[5]Page 2'!$B:$DP,MATCH("0630",'[5]Page 2'!$M:$M,0),95)</f>
        <v>19932</v>
      </c>
      <c r="F81" s="47">
        <f>INDEX('[6]Page 2'!$B:$DP,MATCH("0630",'[6]Page 2'!$M:$M,0),74)</f>
        <v>1489</v>
      </c>
      <c r="G81" s="13">
        <f>INDEX('[6]Page 2'!$B:$DP,MATCH("0630",'[6]Page 2'!$M:$M,0),95)</f>
        <v>17069</v>
      </c>
      <c r="H81" s="47">
        <f>'[7]PAGE 3'!$I66</f>
        <v>927</v>
      </c>
      <c r="I81" s="13">
        <f>'[7]PAGE 3'!$K66</f>
        <v>10936</v>
      </c>
      <c r="J81" s="47">
        <f>'[8]PAGE 3'!$I66</f>
        <v>350</v>
      </c>
      <c r="K81" s="13">
        <f>'[8]PAGE 3'!$K66</f>
        <v>4064</v>
      </c>
      <c r="L81" s="47"/>
      <c r="M81" s="13"/>
      <c r="N81" s="47">
        <f>IFERROR(VLOOKUP("Depr. - Equip. &amp; Vehicles - Dept'l.",'[9]PAGE 2'!$B:$S,14,FALSE)+VLOOKUP("Furniture, Signs, Fixtures &amp; Equipment - Depreciation, Maintenance, Repair &amp; Rental",'[9]PAGE 2'!$B:$S,14,FALSE),0)</f>
        <v>1147</v>
      </c>
      <c r="O81" s="13">
        <f>IFERROR(VLOOKUP("Depr. - Equip. &amp; Vehicles - Dept'l.",'[9]PAGE 2'!$B:$S,16,FALSE)+VLOOKUP("Furniture, Signs, Fixtures &amp; Equipment - Depreciation, Maintenance, Repair &amp; Rental",'[9]PAGE 2'!$B:$S,16,FALSE),0)</f>
        <v>14795</v>
      </c>
      <c r="P81" s="47">
        <f>$Q$3*'[2]PAGE 6'!$O$22</f>
        <v>1768.6918053146612</v>
      </c>
      <c r="Q81" s="13">
        <f>'[2]PAGE 6'!$BB$22</f>
        <v>18417</v>
      </c>
      <c r="R81" s="47">
        <f>SUM([3]P6!$M$43)*S3</f>
        <v>1825.2091811327018</v>
      </c>
      <c r="S81" s="13">
        <f>SUM([3]P6!$AZ$43)</f>
        <v>21903</v>
      </c>
      <c r="T81" s="47">
        <f>SUM([13]P6!$M$43)*U3</f>
        <v>1045.7000273661988</v>
      </c>
      <c r="U81" s="13">
        <f>SUM([13]P6!$AZ$43)</f>
        <v>12547</v>
      </c>
      <c r="V81" s="47">
        <f>+INDEX('[10]PAGE 3'!$1:$1048576,MATCH("depreciation - other than bldgs. &amp; improvs.",'[10]PAGE 3'!$B:$B,0),6)</f>
        <v>0</v>
      </c>
      <c r="W81" s="13">
        <f>+INDEX('[10]PAGE 3'!$1:$1048576,MATCH("depreciation - other than bldgs. &amp; improvs.",'[10]PAGE 3'!$B:$B,0),8)</f>
        <v>1141</v>
      </c>
      <c r="X81" s="47">
        <f>IFERROR(VLOOKUP("Depr. - Equip. &amp; Vehicles - Dept'l.",'[11]PAGE 2'!$B:$S,14,FALSE)+VLOOKUP("Furniture, Signs, Fixtures &amp; Equipment - Depreciation, Maintenance, Repair &amp; Rental",'[11]PAGE 2'!$B:$S,14,FALSE),0)</f>
        <v>6524</v>
      </c>
      <c r="Y81" s="13">
        <f>IFERROR(VLOOKUP("Depr. - Equip. &amp; Vehicles - Dept'l.",'[11]PAGE 2'!$B:$S,16,FALSE)+VLOOKUP("Furniture, Signs, Fixtures &amp; Equipment - Depreciation, Maintenance, Repair &amp; Rental",'[11]PAGE 2'!$B:$S,16,FALSE),0)</f>
        <v>33204</v>
      </c>
      <c r="Z81" s="47">
        <f>IFERROR(VLOOKUP("Depr. - Equip. &amp; Vehicles - Dept'l.",'[12]PAGE 2'!$B:$S,14,FALSE)+VLOOKUP("Furniture, Signs, Fixtures &amp; Equipment - Depreciation, Maintenance, Repair &amp; Rental",'[12]PAGE 2'!$B:$S,14,FALSE),0)</f>
        <v>312</v>
      </c>
      <c r="AA81" s="13">
        <f>IFERROR(VLOOKUP("Depr. - Equip. &amp; Vehicles - Dept'l.",'[12]PAGE 2'!$B:$S,16,FALSE)+VLOOKUP("Furniture, Signs, Fixtures &amp; Equipment - Depreciation, Maintenance, Repair &amp; Rental",'[12]PAGE 2'!$B:$S,16,FALSE),0)</f>
        <v>1289</v>
      </c>
      <c r="AB81" s="47">
        <f t="shared" si="49"/>
        <v>12337.601013813561</v>
      </c>
      <c r="AC81" s="13">
        <f t="shared" si="50"/>
        <v>166670</v>
      </c>
    </row>
    <row r="82" spans="1:29">
      <c r="A82" s="7" t="s">
        <v>48</v>
      </c>
      <c r="B82" s="47">
        <f>INDEX('[4]Page 2'!$B:$DP,MATCH("0640",'[4]Page 2'!$M:$M,0),74)</f>
        <v>1756</v>
      </c>
      <c r="C82" s="13">
        <f>INDEX('[4]Page 2'!$B:$DP,MATCH("0640",'[4]Page 2'!$M:$M,0),95)</f>
        <v>18105</v>
      </c>
      <c r="D82" s="47">
        <f>INDEX('[5]Page 2'!$B:$DP,MATCH("0640",'[5]Page 2'!$M:$M,0),74)</f>
        <v>3544</v>
      </c>
      <c r="E82" s="13">
        <f>INDEX('[5]Page 2'!$B:$DP,MATCH("0640",'[5]Page 2'!$M:$M,0),95)</f>
        <v>34568</v>
      </c>
      <c r="F82" s="47">
        <f>INDEX('[6]Page 2'!$B:$DP,MATCH("0640",'[6]Page 2'!$M:$M,0),74)</f>
        <v>3931</v>
      </c>
      <c r="G82" s="13">
        <f>INDEX('[6]Page 2'!$B:$DP,MATCH("0640",'[6]Page 2'!$M:$M,0),95)</f>
        <v>46462</v>
      </c>
      <c r="H82" s="47">
        <f>'[7]PAGE 3'!$I63</f>
        <v>2756</v>
      </c>
      <c r="I82" s="13">
        <f>'[7]PAGE 3'!$K63</f>
        <v>29991</v>
      </c>
      <c r="J82" s="47">
        <f>'[8]PAGE 3'!$I63</f>
        <v>2414</v>
      </c>
      <c r="K82" s="13">
        <f>'[8]PAGE 3'!$K63</f>
        <v>25492</v>
      </c>
      <c r="L82" s="47"/>
      <c r="M82" s="13"/>
      <c r="N82" s="47">
        <f>IFERROR(VLOOKUP("Ins. - Other Than Bldgs. &amp; Improvements",'[9]PAGE 2'!$B:$S,14,FALSE),0)</f>
        <v>2816</v>
      </c>
      <c r="O82" s="13">
        <f>IFERROR(VLOOKUP("Ins. - Other Than Bldgs. &amp; Improvements",'[9]PAGE 2'!$B:$S,16,FALSE),0)</f>
        <v>31427</v>
      </c>
      <c r="P82" s="47">
        <f>$Q$3*'[2]PAGE 6'!$O$15</f>
        <v>1795.1512601443224</v>
      </c>
      <c r="Q82" s="13">
        <f>'[2]PAGE 6'!$BB$15</f>
        <v>21840</v>
      </c>
      <c r="R82" s="47">
        <f>[3]P6!$M$29*S3</f>
        <v>1256.4063199513075</v>
      </c>
      <c r="S82" s="13">
        <f>[3]P6!$AZ$29</f>
        <v>14595</v>
      </c>
      <c r="T82" s="47">
        <f>[13]P6!$M$29*U3</f>
        <v>685.29657140623169</v>
      </c>
      <c r="U82" s="13">
        <f>[13]P6!$AZ$29</f>
        <v>8892</v>
      </c>
      <c r="V82" s="47">
        <f>+INDEX('[10]PAGE 3'!$1:$1048576,MATCH("worker's compensation",'[10]PAGE 3'!$B:$B,0),6)+INDEX('[10]PAGE 3'!$1:$1048576,MATCH("insurance - other than bldgs. &amp; improvs.",'[10]PAGE 3'!$B:$B,0),6)</f>
        <v>1322</v>
      </c>
      <c r="W82" s="13">
        <f>+INDEX('[10]PAGE 3'!$1:$1048576,MATCH("worker's compensation",'[10]PAGE 3'!$B:$B,0),8)+INDEX('[10]PAGE 3'!$1:$1048576,MATCH("insurance - other than bldgs. &amp; improvs.",'[10]PAGE 3'!$B:$B,0),8)</f>
        <v>8998</v>
      </c>
      <c r="X82" s="47">
        <f>IFERROR(VLOOKUP("Ins. - Other Than Bldgs. &amp; Improvements",'[11]PAGE 2'!$B:$S,14,FALSE),0)</f>
        <v>4438</v>
      </c>
      <c r="Y82" s="13">
        <f>IFERROR(VLOOKUP("Ins. - Other Than Bldgs. &amp; Improvements",'[11]PAGE 2'!$B:$S,16,FALSE),0)</f>
        <v>17428</v>
      </c>
      <c r="Z82" s="47">
        <f>IFERROR(VLOOKUP("Ins. - Other Than Bldgs. &amp; Improvements",'[12]PAGE 2'!$B:$S,14,FALSE),0)</f>
        <v>593</v>
      </c>
      <c r="AA82" s="13">
        <f>IFERROR(VLOOKUP("Ins. - Other Than Bldgs. &amp; Improvements",'[12]PAGE 2'!$B:$S,16,FALSE),0)</f>
        <v>3089</v>
      </c>
      <c r="AB82" s="47">
        <f t="shared" si="49"/>
        <v>27306.854151501859</v>
      </c>
      <c r="AC82" s="13">
        <f t="shared" si="50"/>
        <v>260887</v>
      </c>
    </row>
    <row r="83" spans="1:29">
      <c r="A83" s="7" t="s">
        <v>49</v>
      </c>
      <c r="B83" s="47">
        <f>INDEX('[4]Page 2'!$B:$DP,MATCH("0650",'[4]Page 2'!$M:$M,0),74)</f>
        <v>0</v>
      </c>
      <c r="C83" s="13">
        <f>INDEX('[4]Page 2'!$B:$DP,MATCH("0650",'[4]Page 2'!$M:$M,0),95)</f>
        <v>112</v>
      </c>
      <c r="D83" s="47">
        <f>INDEX('[5]Page 2'!$B:$DP,MATCH("0650",'[5]Page 2'!$M:$M,0),74)</f>
        <v>1429</v>
      </c>
      <c r="E83" s="13">
        <f>INDEX('[5]Page 2'!$B:$DP,MATCH("0650",'[5]Page 2'!$M:$M,0),95)</f>
        <v>18062</v>
      </c>
      <c r="F83" s="47">
        <f>INDEX('[6]Page 2'!$B:$DP,MATCH("0650",'[6]Page 2'!$M:$M,0),74)</f>
        <v>1175</v>
      </c>
      <c r="G83" s="13">
        <f>INDEX('[6]Page 2'!$B:$DP,MATCH("0650",'[6]Page 2'!$M:$M,0),95)</f>
        <v>24411</v>
      </c>
      <c r="H83" s="47">
        <f>'[7]PAGE 3'!$I64</f>
        <v>1468</v>
      </c>
      <c r="I83" s="13">
        <f>'[7]PAGE 3'!$K64</f>
        <v>16834</v>
      </c>
      <c r="J83" s="47">
        <f>'[8]PAGE 3'!$I64</f>
        <v>2098</v>
      </c>
      <c r="K83" s="13">
        <f>'[8]PAGE 3'!$K64</f>
        <v>12262</v>
      </c>
      <c r="L83" s="47"/>
      <c r="M83" s="13"/>
      <c r="N83" s="47">
        <f>IFERROR(VLOOKUP("Taxes - Other Than R.E., Pay. &amp; Inc.",'[9]PAGE 2'!$B:$S,14,FALSE),0)</f>
        <v>4412</v>
      </c>
      <c r="O83" s="13">
        <f>IFERROR(VLOOKUP("Taxes - Other Than R.E., Pay. &amp; Inc.",'[9]PAGE 2'!$B:$S,16,FALSE),0)</f>
        <v>37332</v>
      </c>
      <c r="P83" s="47">
        <f>$Q$3*'[2]PAGE 6'!$O$14</f>
        <v>1621.9373032697372</v>
      </c>
      <c r="Q83" s="13">
        <f>'[2]PAGE 6'!$BB$14</f>
        <v>21294</v>
      </c>
      <c r="R83" s="47">
        <f>[3]P6!$M$27*S3</f>
        <v>963.40484610083558</v>
      </c>
      <c r="S83" s="13">
        <f>[3]P6!$AZ$27</f>
        <v>21753</v>
      </c>
      <c r="T83" s="47">
        <f>[13]P6!$M$27*U3</f>
        <v>-3738.1258454200715</v>
      </c>
      <c r="U83" s="13">
        <f>[13]P6!$AZ$27</f>
        <v>5754</v>
      </c>
      <c r="V83" s="47">
        <f>+INDEX('[10]PAGE 3'!$1:$1048576,MATCH("taxes - other than real estate, income &amp; payroll",'[10]PAGE 3'!$B:$B,0),6)</f>
        <v>0</v>
      </c>
      <c r="W83" s="13">
        <f>+INDEX('[10]PAGE 3'!$1:$1048576,MATCH("taxes - other than real estate, income &amp; payroll",'[10]PAGE 3'!$B:$B,0),8)</f>
        <v>4351</v>
      </c>
      <c r="X83" s="47">
        <f>IFERROR(VLOOKUP("Taxes - Other Than R.E., Pay. &amp; Inc.",'[11]PAGE 2'!$B:$S,14,FALSE),0)</f>
        <v>0</v>
      </c>
      <c r="Y83" s="13">
        <f>IFERROR(VLOOKUP("Taxes - Other Than R.E., Pay. &amp; Inc.",'[11]PAGE 2'!$B:$S,16,FALSE),0)</f>
        <v>1432</v>
      </c>
      <c r="Z83" s="47">
        <f>IFERROR(VLOOKUP("Taxes - Other Than R.E., Pay. &amp; Inc.",'[12]PAGE 2'!$B:$S,14,FALSE),0)</f>
        <v>-531</v>
      </c>
      <c r="AA83" s="13">
        <f>IFERROR(VLOOKUP("Taxes - Other Than R.E., Pay. &amp; Inc.",'[12]PAGE 2'!$B:$S,16,FALSE),0)</f>
        <v>88</v>
      </c>
      <c r="AB83" s="47">
        <f t="shared" si="49"/>
        <v>8898.2163039504994</v>
      </c>
      <c r="AC83" s="13">
        <f t="shared" si="50"/>
        <v>163685</v>
      </c>
    </row>
    <row r="84" spans="1:29">
      <c r="A84" s="4" t="s">
        <v>58</v>
      </c>
      <c r="B84" s="24">
        <f t="shared" ref="B84:C84" si="57">SUM(B78:B83)</f>
        <v>18896</v>
      </c>
      <c r="C84" s="25">
        <f t="shared" si="57"/>
        <v>296546</v>
      </c>
      <c r="D84" s="24">
        <f t="shared" ref="D84:E84" si="58">SUM(D78:D83)</f>
        <v>19195</v>
      </c>
      <c r="E84" s="25">
        <f t="shared" si="58"/>
        <v>221666</v>
      </c>
      <c r="F84" s="24">
        <f t="shared" ref="F84:G84" si="59">SUM(F78:F83)</f>
        <v>37493</v>
      </c>
      <c r="G84" s="25">
        <f t="shared" si="59"/>
        <v>471850</v>
      </c>
      <c r="H84" s="24">
        <f t="shared" ref="H84:Q84" si="60">SUM(H78:H83)</f>
        <v>21600</v>
      </c>
      <c r="I84" s="25">
        <f t="shared" si="60"/>
        <v>251141</v>
      </c>
      <c r="J84" s="24">
        <f t="shared" si="60"/>
        <v>19784</v>
      </c>
      <c r="K84" s="25">
        <f t="shared" si="60"/>
        <v>223538</v>
      </c>
      <c r="L84" s="24"/>
      <c r="M84" s="25"/>
      <c r="N84" s="24">
        <f t="shared" si="60"/>
        <v>31436</v>
      </c>
      <c r="O84" s="25">
        <f t="shared" si="60"/>
        <v>347097</v>
      </c>
      <c r="P84" s="24">
        <f t="shared" si="60"/>
        <v>22780.226718913942</v>
      </c>
      <c r="Q84" s="25">
        <f t="shared" si="60"/>
        <v>257928</v>
      </c>
      <c r="R84" s="24">
        <f t="shared" ref="R84:S84" si="61">SUM(R78:R83)</f>
        <v>13131.066051640097</v>
      </c>
      <c r="S84" s="25">
        <f t="shared" si="61"/>
        <v>180135</v>
      </c>
      <c r="T84" s="24">
        <f t="shared" ref="T84:U84" si="62">SUM(T78:T83)</f>
        <v>7433.8512842566188</v>
      </c>
      <c r="U84" s="25">
        <f t="shared" si="62"/>
        <v>188536</v>
      </c>
      <c r="V84" s="24">
        <f t="shared" ref="V84:AA84" si="63">SUM(V78:V83)</f>
        <v>10534</v>
      </c>
      <c r="W84" s="25">
        <f t="shared" si="63"/>
        <v>81243</v>
      </c>
      <c r="X84" s="24">
        <f t="shared" si="63"/>
        <v>17305</v>
      </c>
      <c r="Y84" s="25">
        <f t="shared" si="63"/>
        <v>117749</v>
      </c>
      <c r="Z84" s="24">
        <f t="shared" si="63"/>
        <v>9298</v>
      </c>
      <c r="AA84" s="25">
        <f t="shared" si="63"/>
        <v>29562</v>
      </c>
      <c r="AB84" s="24">
        <f t="shared" si="49"/>
        <v>228886.14405481063</v>
      </c>
      <c r="AC84" s="25">
        <f t="shared" si="50"/>
        <v>2666991</v>
      </c>
    </row>
    <row r="85" spans="1:29">
      <c r="A85" s="11" t="s">
        <v>59</v>
      </c>
      <c r="B85" s="16">
        <f t="shared" ref="B85:C85" si="64">SUM(B84+B69+B52)</f>
        <v>126245</v>
      </c>
      <c r="C85" s="17">
        <f t="shared" si="64"/>
        <v>1596951</v>
      </c>
      <c r="D85" s="16">
        <f t="shared" ref="D85:E85" si="65">SUM(D84+D69+D52)</f>
        <v>147491</v>
      </c>
      <c r="E85" s="17">
        <f t="shared" si="65"/>
        <v>1542068</v>
      </c>
      <c r="F85" s="16">
        <f t="shared" ref="F85:G85" si="66">SUM(F84+F69+F52)</f>
        <v>208409</v>
      </c>
      <c r="G85" s="17">
        <f t="shared" si="66"/>
        <v>2137798</v>
      </c>
      <c r="H85" s="16">
        <f t="shared" ref="H85:Q85" si="67">SUM(H84+H69+H52)</f>
        <v>70307</v>
      </c>
      <c r="I85" s="17">
        <f t="shared" si="67"/>
        <v>1119294</v>
      </c>
      <c r="J85" s="16">
        <f t="shared" si="67"/>
        <v>82607</v>
      </c>
      <c r="K85" s="17">
        <f t="shared" si="67"/>
        <v>945658</v>
      </c>
      <c r="L85" s="16"/>
      <c r="M85" s="17"/>
      <c r="N85" s="16">
        <f t="shared" si="67"/>
        <v>140002</v>
      </c>
      <c r="O85" s="17">
        <f t="shared" si="67"/>
        <v>1598764</v>
      </c>
      <c r="P85" s="16">
        <f t="shared" si="67"/>
        <v>108602.99999999999</v>
      </c>
      <c r="Q85" s="17">
        <f t="shared" si="67"/>
        <v>1238690</v>
      </c>
      <c r="R85" s="16">
        <f t="shared" ref="R85:S85" si="68">SUM(R84+R69+R52)</f>
        <v>82836</v>
      </c>
      <c r="S85" s="17">
        <f t="shared" si="68"/>
        <v>961663</v>
      </c>
      <c r="T85" s="16">
        <f t="shared" ref="T85:U85" si="69">SUM(T84+T69+T52)</f>
        <v>48258</v>
      </c>
      <c r="U85" s="17">
        <f t="shared" si="69"/>
        <v>834550</v>
      </c>
      <c r="V85" s="16">
        <f t="shared" ref="V85:AA85" si="70">SUM(V84+V69+V52)</f>
        <v>47759</v>
      </c>
      <c r="W85" s="17">
        <f t="shared" si="70"/>
        <v>260669</v>
      </c>
      <c r="X85" s="16">
        <f t="shared" si="70"/>
        <v>152024</v>
      </c>
      <c r="Y85" s="17">
        <f t="shared" si="70"/>
        <v>951284</v>
      </c>
      <c r="Z85" s="16">
        <f t="shared" si="70"/>
        <v>67035</v>
      </c>
      <c r="AA85" s="17">
        <f t="shared" si="70"/>
        <v>203193</v>
      </c>
      <c r="AB85" s="16">
        <f t="shared" si="49"/>
        <v>1281576</v>
      </c>
      <c r="AC85" s="17">
        <f t="shared" si="50"/>
        <v>13390582</v>
      </c>
    </row>
    <row r="86" spans="1:29">
      <c r="A86" s="4"/>
      <c r="B86" s="24"/>
      <c r="C86" s="25"/>
      <c r="D86" s="24"/>
      <c r="E86" s="25"/>
      <c r="F86" s="24"/>
      <c r="G86" s="25"/>
      <c r="H86" s="24"/>
      <c r="I86" s="25"/>
      <c r="J86" s="24"/>
      <c r="K86" s="25"/>
      <c r="L86" s="24"/>
      <c r="M86" s="25"/>
      <c r="N86" s="24"/>
      <c r="O86" s="25"/>
      <c r="P86" s="24"/>
      <c r="Q86" s="25"/>
      <c r="R86" s="24"/>
      <c r="S86" s="25"/>
      <c r="T86" s="24"/>
      <c r="U86" s="25"/>
      <c r="V86" s="24"/>
      <c r="W86" s="25"/>
      <c r="X86" s="24"/>
      <c r="Y86" s="25"/>
      <c r="Z86" s="24"/>
      <c r="AA86" s="25"/>
      <c r="AB86" s="24">
        <f t="shared" si="49"/>
        <v>0</v>
      </c>
      <c r="AC86" s="25">
        <f t="shared" si="50"/>
        <v>0</v>
      </c>
    </row>
    <row r="87" spans="1:29">
      <c r="A87" s="12" t="s">
        <v>60</v>
      </c>
      <c r="B87" s="20">
        <f t="shared" ref="B87:C87" si="71">B85+B42</f>
        <v>234117</v>
      </c>
      <c r="C87" s="21">
        <f t="shared" si="71"/>
        <v>2836991</v>
      </c>
      <c r="D87" s="20">
        <f t="shared" ref="D87:S87" si="72">D85+D42</f>
        <v>254038</v>
      </c>
      <c r="E87" s="21">
        <f t="shared" si="72"/>
        <v>2730898</v>
      </c>
      <c r="F87" s="20">
        <f t="shared" ref="F87:G87" si="73">F85+F42</f>
        <v>368085</v>
      </c>
      <c r="G87" s="21">
        <f t="shared" si="73"/>
        <v>3420026</v>
      </c>
      <c r="H87" s="20">
        <f t="shared" si="72"/>
        <v>136874</v>
      </c>
      <c r="I87" s="21">
        <f t="shared" si="72"/>
        <v>1887814</v>
      </c>
      <c r="J87" s="20">
        <f t="shared" si="72"/>
        <v>133621</v>
      </c>
      <c r="K87" s="21">
        <f t="shared" si="72"/>
        <v>1511032</v>
      </c>
      <c r="L87" s="20"/>
      <c r="M87" s="21"/>
      <c r="N87" s="20">
        <f t="shared" si="72"/>
        <v>239572</v>
      </c>
      <c r="O87" s="21">
        <f t="shared" si="72"/>
        <v>2626303</v>
      </c>
      <c r="P87" s="20">
        <f t="shared" si="72"/>
        <v>162788</v>
      </c>
      <c r="Q87" s="21">
        <f t="shared" si="72"/>
        <v>2068572</v>
      </c>
      <c r="R87" s="20">
        <f t="shared" si="72"/>
        <v>169650</v>
      </c>
      <c r="S87" s="21">
        <f t="shared" si="72"/>
        <v>2030827</v>
      </c>
      <c r="T87" s="20">
        <f t="shared" ref="T87:U87" si="74">T85+T42</f>
        <v>117009</v>
      </c>
      <c r="U87" s="21">
        <f t="shared" si="74"/>
        <v>1824006</v>
      </c>
      <c r="V87" s="20">
        <f t="shared" ref="V87:AA87" si="75">V85+V42</f>
        <v>71496</v>
      </c>
      <c r="W87" s="21">
        <f t="shared" si="75"/>
        <v>442058</v>
      </c>
      <c r="X87" s="20">
        <f t="shared" si="75"/>
        <v>208561</v>
      </c>
      <c r="Y87" s="21">
        <f t="shared" si="75"/>
        <v>1434850</v>
      </c>
      <c r="Z87" s="20">
        <f t="shared" si="75"/>
        <v>73500</v>
      </c>
      <c r="AA87" s="21">
        <f t="shared" si="75"/>
        <v>337385</v>
      </c>
      <c r="AB87" s="20">
        <f t="shared" si="49"/>
        <v>2169311</v>
      </c>
      <c r="AC87" s="21">
        <f t="shared" si="50"/>
        <v>23150762</v>
      </c>
    </row>
    <row r="88" spans="1:29">
      <c r="A88" s="4"/>
      <c r="B88" s="22"/>
      <c r="C88" s="23"/>
      <c r="D88" s="22"/>
      <c r="E88" s="23"/>
      <c r="F88" s="22"/>
      <c r="G88" s="23"/>
      <c r="H88" s="22"/>
      <c r="I88" s="23"/>
      <c r="J88" s="22"/>
      <c r="K88" s="23"/>
      <c r="L88" s="22"/>
      <c r="M88" s="23"/>
      <c r="N88" s="22"/>
      <c r="O88" s="23"/>
      <c r="P88" s="22"/>
      <c r="Q88" s="23"/>
      <c r="R88" s="22"/>
      <c r="S88" s="23"/>
      <c r="T88" s="22"/>
      <c r="U88" s="23"/>
      <c r="V88" s="22"/>
      <c r="W88" s="23"/>
      <c r="X88" s="22"/>
      <c r="Y88" s="23"/>
      <c r="Z88" s="22"/>
      <c r="AA88" s="23"/>
      <c r="AB88" s="22">
        <f t="shared" si="49"/>
        <v>0</v>
      </c>
      <c r="AC88" s="23">
        <f t="shared" si="50"/>
        <v>0</v>
      </c>
    </row>
    <row r="89" spans="1:29">
      <c r="A89" s="4" t="s">
        <v>62</v>
      </c>
      <c r="B89" s="24">
        <f t="shared" ref="B89:C89" si="76">B28-B87</f>
        <v>-68983</v>
      </c>
      <c r="C89" s="25">
        <f t="shared" si="76"/>
        <v>-410149</v>
      </c>
      <c r="D89" s="24">
        <f t="shared" ref="D89:G89" si="77">D28-D87</f>
        <v>-93007</v>
      </c>
      <c r="E89" s="25">
        <f t="shared" si="77"/>
        <v>-1194805</v>
      </c>
      <c r="F89" s="24">
        <f t="shared" si="77"/>
        <v>-162487</v>
      </c>
      <c r="G89" s="25">
        <f t="shared" si="77"/>
        <v>-710863</v>
      </c>
      <c r="H89" s="24">
        <f t="shared" ref="H89:Q89" si="78">H28-H87</f>
        <v>27213</v>
      </c>
      <c r="I89" s="25">
        <f t="shared" si="78"/>
        <v>-19287</v>
      </c>
      <c r="J89" s="24">
        <f t="shared" si="78"/>
        <v>-3011</v>
      </c>
      <c r="K89" s="25">
        <f t="shared" si="78"/>
        <v>68743</v>
      </c>
      <c r="L89" s="24"/>
      <c r="M89" s="25"/>
      <c r="N89" s="24">
        <f t="shared" si="78"/>
        <v>-16763</v>
      </c>
      <c r="O89" s="25">
        <f t="shared" si="78"/>
        <v>-97254</v>
      </c>
      <c r="P89" s="24">
        <f t="shared" si="78"/>
        <v>21558</v>
      </c>
      <c r="Q89" s="25">
        <f t="shared" si="78"/>
        <v>147358</v>
      </c>
      <c r="R89" s="24">
        <f t="shared" ref="R89:AA89" si="79">R28-R87</f>
        <v>-2716</v>
      </c>
      <c r="S89" s="25">
        <f t="shared" si="79"/>
        <v>120465</v>
      </c>
      <c r="T89" s="24">
        <f t="shared" si="79"/>
        <v>-28964</v>
      </c>
      <c r="U89" s="25">
        <f t="shared" si="79"/>
        <v>-468619</v>
      </c>
      <c r="V89" s="24">
        <f t="shared" si="79"/>
        <v>-53380</v>
      </c>
      <c r="W89" s="25">
        <f t="shared" si="79"/>
        <v>-193624</v>
      </c>
      <c r="X89" s="24">
        <f t="shared" si="79"/>
        <v>-32195</v>
      </c>
      <c r="Y89" s="25">
        <f t="shared" si="79"/>
        <v>-314550</v>
      </c>
      <c r="Z89" s="24">
        <f t="shared" si="79"/>
        <v>8820</v>
      </c>
      <c r="AA89" s="25">
        <f t="shared" si="79"/>
        <v>51743</v>
      </c>
      <c r="AB89" s="24">
        <f t="shared" si="49"/>
        <v>-403915</v>
      </c>
      <c r="AC89" s="25">
        <f t="shared" si="50"/>
        <v>-3020842</v>
      </c>
    </row>
    <row r="90" spans="1:29">
      <c r="A90" s="9" t="s">
        <v>61</v>
      </c>
      <c r="B90" s="47">
        <f>INDEX('[4]Page 2'!$B:$DP,MATCH("8030",'[4]Page 2'!$M:$M,0),74)</f>
        <v>53550</v>
      </c>
      <c r="C90" s="13">
        <f>INDEX('[4]Page 2'!$B:$DP,MATCH("8030",'[4]Page 2'!$M:$M,0),95)</f>
        <v>647360</v>
      </c>
      <c r="D90" s="47">
        <f>INDEX('[5]Page 2'!$B:$DP,MATCH("8030",'[5]Page 2'!$M:$M,0),74)</f>
        <v>31955</v>
      </c>
      <c r="E90" s="13">
        <f>INDEX('[5]Page 2'!$B:$DP,MATCH("8030",'[5]Page 2'!$M:$M,0),95)</f>
        <v>376353</v>
      </c>
      <c r="F90" s="47">
        <f>INDEX('[6]Page 2'!$B:$DP,MATCH("8030",'[6]Page 2'!$M:$M,0),74)</f>
        <v>40239</v>
      </c>
      <c r="G90" s="13">
        <f>INDEX('[6]Page 2'!$B:$DP,MATCH("8030",'[6]Page 2'!$M:$M,0),95)</f>
        <v>552300</v>
      </c>
      <c r="H90" s="47"/>
      <c r="I90" s="13"/>
      <c r="J90" s="47"/>
      <c r="K90" s="13"/>
      <c r="L90" s="47"/>
      <c r="M90" s="13"/>
      <c r="N90" s="47"/>
      <c r="O90" s="13"/>
      <c r="P90" s="47"/>
      <c r="Q90" s="13"/>
      <c r="R90" s="47"/>
      <c r="S90" s="13"/>
      <c r="T90" s="47"/>
      <c r="U90" s="13"/>
      <c r="V90" s="47"/>
      <c r="W90" s="13"/>
      <c r="X90" s="47"/>
      <c r="Y90" s="13"/>
      <c r="Z90" s="47"/>
      <c r="AA90" s="13"/>
      <c r="AB90" s="47">
        <f t="shared" si="49"/>
        <v>125744</v>
      </c>
      <c r="AC90" s="13">
        <f t="shared" si="50"/>
        <v>1576013</v>
      </c>
    </row>
    <row r="91" spans="1:29">
      <c r="A91" s="4" t="s">
        <v>63</v>
      </c>
      <c r="B91" s="24">
        <f t="shared" ref="B91:C91" si="80">SUM(B89:B90)</f>
        <v>-15433</v>
      </c>
      <c r="C91" s="25">
        <f t="shared" si="80"/>
        <v>237211</v>
      </c>
      <c r="D91" s="24">
        <f t="shared" ref="D91:E91" si="81">SUM(D89:D90)</f>
        <v>-61052</v>
      </c>
      <c r="E91" s="25">
        <f t="shared" si="81"/>
        <v>-818452</v>
      </c>
      <c r="F91" s="24">
        <f t="shared" ref="F91:G91" si="82">SUM(F89:F90)</f>
        <v>-122248</v>
      </c>
      <c r="G91" s="25">
        <f t="shared" si="82"/>
        <v>-158563</v>
      </c>
      <c r="H91" s="24">
        <f t="shared" ref="H91:Q91" si="83">SUM(H89:H90)</f>
        <v>27213</v>
      </c>
      <c r="I91" s="25">
        <f t="shared" si="83"/>
        <v>-19287</v>
      </c>
      <c r="J91" s="24">
        <f t="shared" si="83"/>
        <v>-3011</v>
      </c>
      <c r="K91" s="25">
        <f t="shared" si="83"/>
        <v>68743</v>
      </c>
      <c r="L91" s="24"/>
      <c r="M91" s="25"/>
      <c r="N91" s="24">
        <f t="shared" si="83"/>
        <v>-16763</v>
      </c>
      <c r="O91" s="25">
        <f t="shared" si="83"/>
        <v>-97254</v>
      </c>
      <c r="P91" s="24">
        <f t="shared" si="83"/>
        <v>21558</v>
      </c>
      <c r="Q91" s="25">
        <f t="shared" si="83"/>
        <v>147358</v>
      </c>
      <c r="R91" s="24">
        <f t="shared" ref="R91:AA91" si="84">SUM(R89:R90)</f>
        <v>-2716</v>
      </c>
      <c r="S91" s="25">
        <f t="shared" si="84"/>
        <v>120465</v>
      </c>
      <c r="T91" s="24">
        <f t="shared" si="84"/>
        <v>-28964</v>
      </c>
      <c r="U91" s="25">
        <f t="shared" si="84"/>
        <v>-468619</v>
      </c>
      <c r="V91" s="24">
        <f t="shared" si="84"/>
        <v>-53380</v>
      </c>
      <c r="W91" s="25">
        <f t="shared" si="84"/>
        <v>-193624</v>
      </c>
      <c r="X91" s="24">
        <f t="shared" si="84"/>
        <v>-32195</v>
      </c>
      <c r="Y91" s="25">
        <f t="shared" si="84"/>
        <v>-314550</v>
      </c>
      <c r="Z91" s="24">
        <f t="shared" si="84"/>
        <v>8820</v>
      </c>
      <c r="AA91" s="25">
        <f t="shared" si="84"/>
        <v>51743</v>
      </c>
      <c r="AB91" s="24">
        <f t="shared" si="49"/>
        <v>-278171</v>
      </c>
      <c r="AC91" s="25">
        <f t="shared" si="50"/>
        <v>-1444829</v>
      </c>
    </row>
    <row r="92" spans="1:29" ht="15" hidden="1" customHeight="1">
      <c r="A92" s="10" t="s">
        <v>50</v>
      </c>
      <c r="B92" s="47"/>
      <c r="C92" s="13"/>
      <c r="D92" s="47"/>
      <c r="E92" s="13"/>
      <c r="F92" s="47"/>
      <c r="G92" s="13"/>
      <c r="H92" s="47"/>
      <c r="I92" s="13"/>
      <c r="J92" s="47"/>
      <c r="K92" s="13"/>
      <c r="L92" s="47"/>
      <c r="M92" s="13"/>
      <c r="N92" s="47"/>
      <c r="O92" s="13"/>
      <c r="P92" s="47"/>
      <c r="Q92" s="13"/>
      <c r="R92" s="47"/>
      <c r="S92" s="13"/>
      <c r="T92" s="47"/>
      <c r="U92" s="13"/>
      <c r="V92" s="47"/>
      <c r="W92" s="13"/>
      <c r="X92" s="47"/>
      <c r="Y92" s="13"/>
      <c r="Z92" s="47"/>
      <c r="AA92" s="13"/>
      <c r="AB92" s="47">
        <f t="shared" ref="AB92:AB125" si="85">SUMIF($B$5:$Y$5,"Month",B92:Y92)</f>
        <v>0</v>
      </c>
      <c r="AC92" s="13">
        <f t="shared" ref="AC92:AC125" si="86">SUMIF($B$5:$Y$5,"YTD",B92:Y92)</f>
        <v>0</v>
      </c>
    </row>
    <row r="93" spans="1:29" ht="15" hidden="1" customHeight="1">
      <c r="A93" s="4" t="s">
        <v>69</v>
      </c>
      <c r="B93" s="24">
        <f t="shared" ref="B93:C93" si="87">B91-B92</f>
        <v>-15433</v>
      </c>
      <c r="C93" s="25">
        <f t="shared" si="87"/>
        <v>237211</v>
      </c>
      <c r="D93" s="24">
        <f t="shared" ref="D93:E93" si="88">D91-D92</f>
        <v>-61052</v>
      </c>
      <c r="E93" s="25">
        <f t="shared" si="88"/>
        <v>-818452</v>
      </c>
      <c r="F93" s="24">
        <f t="shared" ref="F93:G93" si="89">F91-F92</f>
        <v>-122248</v>
      </c>
      <c r="G93" s="25">
        <f t="shared" si="89"/>
        <v>-158563</v>
      </c>
      <c r="H93" s="24">
        <f t="shared" ref="H93:K93" si="90">H91-H92</f>
        <v>27213</v>
      </c>
      <c r="I93" s="25">
        <f t="shared" si="90"/>
        <v>-19287</v>
      </c>
      <c r="J93" s="24">
        <f t="shared" si="90"/>
        <v>-3011</v>
      </c>
      <c r="K93" s="25">
        <f t="shared" si="90"/>
        <v>68743</v>
      </c>
      <c r="L93" s="24"/>
      <c r="M93" s="25"/>
      <c r="N93" s="24">
        <f t="shared" ref="N93:Q93" si="91">N91-N92</f>
        <v>-16763</v>
      </c>
      <c r="O93" s="25">
        <f t="shared" si="91"/>
        <v>-97254</v>
      </c>
      <c r="P93" s="24">
        <f t="shared" si="91"/>
        <v>21558</v>
      </c>
      <c r="Q93" s="25">
        <f t="shared" si="91"/>
        <v>147358</v>
      </c>
      <c r="R93" s="24">
        <f t="shared" ref="R93:AA93" si="92">R91-R92</f>
        <v>-2716</v>
      </c>
      <c r="S93" s="25">
        <f t="shared" si="92"/>
        <v>120465</v>
      </c>
      <c r="T93" s="24">
        <f t="shared" si="92"/>
        <v>-28964</v>
      </c>
      <c r="U93" s="25">
        <f t="shared" si="92"/>
        <v>-468619</v>
      </c>
      <c r="V93" s="24">
        <f t="shared" si="92"/>
        <v>-53380</v>
      </c>
      <c r="W93" s="25">
        <f t="shared" si="92"/>
        <v>-193624</v>
      </c>
      <c r="X93" s="24">
        <f t="shared" si="92"/>
        <v>-32195</v>
      </c>
      <c r="Y93" s="25">
        <f t="shared" si="92"/>
        <v>-314550</v>
      </c>
      <c r="Z93" s="24">
        <f t="shared" si="92"/>
        <v>8820</v>
      </c>
      <c r="AA93" s="25">
        <f t="shared" si="92"/>
        <v>51743</v>
      </c>
      <c r="AB93" s="24">
        <f t="shared" si="85"/>
        <v>-286991</v>
      </c>
      <c r="AC93" s="25">
        <f t="shared" si="86"/>
        <v>-1496572</v>
      </c>
    </row>
    <row r="94" spans="1:29" ht="15" hidden="1" customHeight="1">
      <c r="A94" s="10" t="s">
        <v>51</v>
      </c>
      <c r="B94" s="47"/>
      <c r="C94" s="13"/>
      <c r="D94" s="47"/>
      <c r="E94" s="13"/>
      <c r="F94" s="47"/>
      <c r="G94" s="13"/>
      <c r="H94" s="47"/>
      <c r="I94" s="13"/>
      <c r="J94" s="47"/>
      <c r="K94" s="13"/>
      <c r="L94" s="47"/>
      <c r="M94" s="13"/>
      <c r="N94" s="47"/>
      <c r="O94" s="13"/>
      <c r="P94" s="47"/>
      <c r="Q94" s="13"/>
      <c r="R94" s="47"/>
      <c r="S94" s="13"/>
      <c r="T94" s="47"/>
      <c r="U94" s="13"/>
      <c r="V94" s="47"/>
      <c r="W94" s="13"/>
      <c r="X94" s="47"/>
      <c r="Y94" s="13"/>
      <c r="Z94" s="47"/>
      <c r="AA94" s="13"/>
      <c r="AB94" s="47">
        <f t="shared" si="85"/>
        <v>0</v>
      </c>
      <c r="AC94" s="13">
        <f t="shared" si="86"/>
        <v>0</v>
      </c>
    </row>
    <row r="95" spans="1:29" ht="15" hidden="1" customHeight="1">
      <c r="A95" s="12" t="s">
        <v>70</v>
      </c>
      <c r="B95" s="20">
        <f t="shared" ref="B95:C95" si="93">B93-B94</f>
        <v>-15433</v>
      </c>
      <c r="C95" s="21">
        <f t="shared" si="93"/>
        <v>237211</v>
      </c>
      <c r="D95" s="20">
        <f t="shared" ref="D95:E95" si="94">D93-D94</f>
        <v>-61052</v>
      </c>
      <c r="E95" s="21">
        <f t="shared" si="94"/>
        <v>-818452</v>
      </c>
      <c r="F95" s="20">
        <f t="shared" ref="F95:G95" si="95">F93-F94</f>
        <v>-122248</v>
      </c>
      <c r="G95" s="21">
        <f t="shared" si="95"/>
        <v>-158563</v>
      </c>
      <c r="H95" s="20">
        <f t="shared" ref="H95:K95" si="96">H93-H94</f>
        <v>27213</v>
      </c>
      <c r="I95" s="21">
        <f t="shared" si="96"/>
        <v>-19287</v>
      </c>
      <c r="J95" s="20">
        <f t="shared" si="96"/>
        <v>-3011</v>
      </c>
      <c r="K95" s="21">
        <f t="shared" si="96"/>
        <v>68743</v>
      </c>
      <c r="L95" s="20"/>
      <c r="M95" s="21"/>
      <c r="N95" s="20">
        <f t="shared" ref="N95:Q95" si="97">N93-N94</f>
        <v>-16763</v>
      </c>
      <c r="O95" s="21">
        <f t="shared" si="97"/>
        <v>-97254</v>
      </c>
      <c r="P95" s="20">
        <f t="shared" si="97"/>
        <v>21558</v>
      </c>
      <c r="Q95" s="21">
        <f t="shared" si="97"/>
        <v>147358</v>
      </c>
      <c r="R95" s="20">
        <f t="shared" ref="R95:AA95" si="98">R93-R94</f>
        <v>-2716</v>
      </c>
      <c r="S95" s="21">
        <f t="shared" si="98"/>
        <v>120465</v>
      </c>
      <c r="T95" s="20">
        <f t="shared" si="98"/>
        <v>-28964</v>
      </c>
      <c r="U95" s="21">
        <f t="shared" si="98"/>
        <v>-468619</v>
      </c>
      <c r="V95" s="20">
        <f t="shared" si="98"/>
        <v>-53380</v>
      </c>
      <c r="W95" s="21">
        <f t="shared" si="98"/>
        <v>-193624</v>
      </c>
      <c r="X95" s="20">
        <f t="shared" si="98"/>
        <v>-32195</v>
      </c>
      <c r="Y95" s="21">
        <f t="shared" si="98"/>
        <v>-314550</v>
      </c>
      <c r="Z95" s="20">
        <f t="shared" si="98"/>
        <v>8820</v>
      </c>
      <c r="AA95" s="21">
        <f t="shared" si="98"/>
        <v>51743</v>
      </c>
      <c r="AB95" s="20">
        <f t="shared" si="85"/>
        <v>-286991</v>
      </c>
      <c r="AC95" s="21">
        <f t="shared" si="86"/>
        <v>-1496572</v>
      </c>
    </row>
    <row r="96" spans="1:29">
      <c r="AB96" s="1">
        <f t="shared" si="85"/>
        <v>0</v>
      </c>
      <c r="AC96" s="1">
        <f t="shared" si="86"/>
        <v>0</v>
      </c>
    </row>
    <row r="97" spans="28:29">
      <c r="AB97" s="1">
        <f t="shared" si="85"/>
        <v>0</v>
      </c>
      <c r="AC97" s="1">
        <f t="shared" si="86"/>
        <v>0</v>
      </c>
    </row>
    <row r="98" spans="28:29">
      <c r="AB98" s="1">
        <f t="shared" si="85"/>
        <v>0</v>
      </c>
      <c r="AC98" s="1">
        <f t="shared" si="86"/>
        <v>0</v>
      </c>
    </row>
    <row r="99" spans="28:29">
      <c r="AB99" s="1">
        <f t="shared" si="85"/>
        <v>0</v>
      </c>
      <c r="AC99" s="1">
        <f t="shared" si="86"/>
        <v>0</v>
      </c>
    </row>
    <row r="100" spans="28:29">
      <c r="AB100" s="1">
        <f t="shared" si="85"/>
        <v>0</v>
      </c>
      <c r="AC100" s="1">
        <f t="shared" si="86"/>
        <v>0</v>
      </c>
    </row>
    <row r="101" spans="28:29">
      <c r="AB101" s="1">
        <f t="shared" si="85"/>
        <v>0</v>
      </c>
      <c r="AC101" s="1">
        <f t="shared" si="86"/>
        <v>0</v>
      </c>
    </row>
    <row r="102" spans="28:29">
      <c r="AB102" s="1">
        <f t="shared" si="85"/>
        <v>0</v>
      </c>
      <c r="AC102" s="1">
        <f t="shared" si="86"/>
        <v>0</v>
      </c>
    </row>
    <row r="103" spans="28:29">
      <c r="AB103" s="1">
        <f t="shared" si="85"/>
        <v>0</v>
      </c>
      <c r="AC103" s="1">
        <f t="shared" si="86"/>
        <v>0</v>
      </c>
    </row>
    <row r="104" spans="28:29">
      <c r="AB104" s="1">
        <f t="shared" si="85"/>
        <v>0</v>
      </c>
      <c r="AC104" s="1">
        <f t="shared" si="86"/>
        <v>0</v>
      </c>
    </row>
    <row r="105" spans="28:29">
      <c r="AB105" s="1">
        <f t="shared" si="85"/>
        <v>0</v>
      </c>
      <c r="AC105" s="1">
        <f t="shared" si="86"/>
        <v>0</v>
      </c>
    </row>
    <row r="106" spans="28:29">
      <c r="AB106" s="1">
        <f t="shared" si="85"/>
        <v>0</v>
      </c>
      <c r="AC106" s="1">
        <f t="shared" si="86"/>
        <v>0</v>
      </c>
    </row>
    <row r="107" spans="28:29">
      <c r="AB107" s="1">
        <f t="shared" si="85"/>
        <v>0</v>
      </c>
      <c r="AC107" s="1">
        <f t="shared" si="86"/>
        <v>0</v>
      </c>
    </row>
    <row r="108" spans="28:29">
      <c r="AB108" s="1">
        <f t="shared" si="85"/>
        <v>0</v>
      </c>
      <c r="AC108" s="1">
        <f t="shared" si="86"/>
        <v>0</v>
      </c>
    </row>
    <row r="109" spans="28:29">
      <c r="AB109" s="1">
        <f t="shared" si="85"/>
        <v>0</v>
      </c>
      <c r="AC109" s="1">
        <f t="shared" si="86"/>
        <v>0</v>
      </c>
    </row>
    <row r="110" spans="28:29">
      <c r="AB110" s="1">
        <f t="shared" si="85"/>
        <v>0</v>
      </c>
      <c r="AC110" s="1">
        <f t="shared" si="86"/>
        <v>0</v>
      </c>
    </row>
    <row r="111" spans="28:29">
      <c r="AB111" s="1">
        <f t="shared" si="85"/>
        <v>0</v>
      </c>
      <c r="AC111" s="1">
        <f t="shared" si="86"/>
        <v>0</v>
      </c>
    </row>
    <row r="112" spans="28:29">
      <c r="AB112" s="1">
        <f t="shared" si="85"/>
        <v>0</v>
      </c>
      <c r="AC112" s="1">
        <f t="shared" si="86"/>
        <v>0</v>
      </c>
    </row>
    <row r="113" spans="28:29">
      <c r="AB113" s="1">
        <f t="shared" si="85"/>
        <v>0</v>
      </c>
      <c r="AC113" s="1">
        <f t="shared" si="86"/>
        <v>0</v>
      </c>
    </row>
    <row r="114" spans="28:29">
      <c r="AB114" s="1">
        <f t="shared" si="85"/>
        <v>0</v>
      </c>
      <c r="AC114" s="1">
        <f t="shared" si="86"/>
        <v>0</v>
      </c>
    </row>
    <row r="115" spans="28:29">
      <c r="AB115" s="1">
        <f t="shared" si="85"/>
        <v>0</v>
      </c>
      <c r="AC115" s="1">
        <f t="shared" si="86"/>
        <v>0</v>
      </c>
    </row>
    <row r="116" spans="28:29">
      <c r="AB116" s="1">
        <f t="shared" si="85"/>
        <v>0</v>
      </c>
      <c r="AC116" s="1">
        <f t="shared" si="86"/>
        <v>0</v>
      </c>
    </row>
    <row r="117" spans="28:29">
      <c r="AB117" s="1">
        <f t="shared" si="85"/>
        <v>0</v>
      </c>
      <c r="AC117" s="1">
        <f t="shared" si="86"/>
        <v>0</v>
      </c>
    </row>
    <row r="118" spans="28:29">
      <c r="AB118" s="1">
        <f t="shared" si="85"/>
        <v>0</v>
      </c>
      <c r="AC118" s="1">
        <f t="shared" si="86"/>
        <v>0</v>
      </c>
    </row>
    <row r="119" spans="28:29">
      <c r="AB119" s="1">
        <f t="shared" si="85"/>
        <v>0</v>
      </c>
      <c r="AC119" s="1">
        <f t="shared" si="86"/>
        <v>0</v>
      </c>
    </row>
    <row r="120" spans="28:29">
      <c r="AB120" s="1">
        <f t="shared" si="85"/>
        <v>0</v>
      </c>
      <c r="AC120" s="1">
        <f t="shared" si="86"/>
        <v>0</v>
      </c>
    </row>
    <row r="121" spans="28:29">
      <c r="AB121" s="1">
        <f t="shared" si="85"/>
        <v>0</v>
      </c>
      <c r="AC121" s="1">
        <f t="shared" si="86"/>
        <v>0</v>
      </c>
    </row>
    <row r="122" spans="28:29">
      <c r="AB122" s="1">
        <f t="shared" si="85"/>
        <v>0</v>
      </c>
      <c r="AC122" s="1">
        <f t="shared" si="86"/>
        <v>0</v>
      </c>
    </row>
    <row r="123" spans="28:29">
      <c r="AB123" s="1">
        <f t="shared" si="85"/>
        <v>0</v>
      </c>
      <c r="AC123" s="1">
        <f t="shared" si="86"/>
        <v>0</v>
      </c>
    </row>
    <row r="124" spans="28:29">
      <c r="AB124" s="1">
        <f t="shared" si="85"/>
        <v>0</v>
      </c>
      <c r="AC124" s="1">
        <f t="shared" si="86"/>
        <v>0</v>
      </c>
    </row>
    <row r="125" spans="28:29">
      <c r="AB125" s="1">
        <f t="shared" si="85"/>
        <v>0</v>
      </c>
      <c r="AC125" s="1">
        <f t="shared" si="86"/>
        <v>0</v>
      </c>
    </row>
  </sheetData>
  <sheetProtection sheet="1" objects="1" scenarios="1"/>
  <mergeCells count="18">
    <mergeCell ref="A12:A13"/>
    <mergeCell ref="P4:Q4"/>
    <mergeCell ref="B4:C4"/>
    <mergeCell ref="F4:G4"/>
    <mergeCell ref="H4:I4"/>
    <mergeCell ref="J4:K4"/>
    <mergeCell ref="L4:M4"/>
    <mergeCell ref="N4:O4"/>
    <mergeCell ref="A6:A7"/>
    <mergeCell ref="A8:A9"/>
    <mergeCell ref="A10:A11"/>
    <mergeCell ref="D4:E4"/>
    <mergeCell ref="X4:Y4"/>
    <mergeCell ref="V4:W4"/>
    <mergeCell ref="AB4:AC4"/>
    <mergeCell ref="R4:S4"/>
    <mergeCell ref="T4:U4"/>
    <mergeCell ref="Z4:AA4"/>
  </mergeCells>
  <printOptions horizontalCentered="1"/>
  <pageMargins left="0.1" right="0.1" top="0.1" bottom="0.1" header="0.1" footer="0.1"/>
  <pageSetup scale="10" fitToWidth="0" orientation="portrait" r:id="rId1"/>
  <rowBreaks count="1" manualBreakCount="1">
    <brk id="42" max="16383" man="1"/>
  </rowBreaks>
  <colBreaks count="2" manualBreakCount="2">
    <brk id="9" max="90" man="1"/>
    <brk id="19" max="90"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4">
    <pageSetUpPr fitToPage="1"/>
  </sheetPr>
  <dimension ref="A1:AC125"/>
  <sheetViews>
    <sheetView workbookViewId="0"/>
  </sheetViews>
  <sheetFormatPr defaultColWidth="9.140625" defaultRowHeight="15"/>
  <cols>
    <col min="1" max="1" width="54.85546875" bestFit="1" customWidth="1"/>
    <col min="2" max="2" width="12.28515625" bestFit="1" customWidth="1"/>
    <col min="3" max="3" width="14" bestFit="1" customWidth="1"/>
    <col min="4" max="4" width="12.28515625" bestFit="1" customWidth="1"/>
    <col min="5" max="5" width="14.42578125" customWidth="1"/>
    <col min="6" max="6" width="11.85546875" bestFit="1" customWidth="1"/>
    <col min="7" max="7" width="14.42578125" bestFit="1" customWidth="1"/>
    <col min="8" max="8" width="12.28515625" bestFit="1" customWidth="1"/>
    <col min="9" max="9" width="13.42578125" bestFit="1" customWidth="1"/>
    <col min="10" max="10" width="12.28515625" bestFit="1" customWidth="1"/>
    <col min="11" max="11" width="14" bestFit="1" customWidth="1"/>
    <col min="12" max="13" width="12.5703125" hidden="1" customWidth="1"/>
    <col min="14" max="14" width="11.85546875" bestFit="1" customWidth="1"/>
    <col min="15" max="15" width="14" bestFit="1" customWidth="1"/>
    <col min="16" max="16" width="11.85546875" bestFit="1" customWidth="1"/>
    <col min="17" max="17" width="14" bestFit="1" customWidth="1"/>
    <col min="18" max="18" width="11.85546875" bestFit="1" customWidth="1"/>
    <col min="19" max="19" width="14" bestFit="1" customWidth="1"/>
    <col min="20" max="20" width="10.85546875" bestFit="1" customWidth="1"/>
    <col min="21" max="21" width="12.28515625" bestFit="1" customWidth="1"/>
    <col min="22" max="23" width="11.85546875" bestFit="1" customWidth="1"/>
    <col min="24" max="24" width="9.85546875" hidden="1" customWidth="1"/>
    <col min="25" max="25" width="7.28515625" hidden="1" customWidth="1"/>
    <col min="26" max="26" width="11.85546875" bestFit="1" customWidth="1"/>
    <col min="27" max="28" width="14" bestFit="1" customWidth="1"/>
    <col min="29" max="29" width="14.85546875" bestFit="1" customWidth="1"/>
  </cols>
  <sheetData>
    <row r="1" spans="1:29">
      <c r="A1" t="s">
        <v>211</v>
      </c>
    </row>
    <row r="2" spans="1:29" s="1" customFormat="1">
      <c r="A2" s="2">
        <f>'Dealership Totals'!A2</f>
        <v>42705</v>
      </c>
      <c r="B2" s="2"/>
      <c r="D2" s="2"/>
      <c r="F2" s="2"/>
      <c r="H2" s="2"/>
      <c r="J2" s="2"/>
      <c r="L2" s="2"/>
      <c r="N2" s="2"/>
      <c r="P2" s="2"/>
      <c r="R2" s="2"/>
      <c r="T2" s="2"/>
      <c r="V2" s="2"/>
      <c r="X2" s="2"/>
      <c r="Z2" s="2"/>
      <c r="AB2" s="2"/>
    </row>
    <row r="3" spans="1:29" s="1" customFormat="1">
      <c r="A3" s="3"/>
      <c r="B3" s="2"/>
      <c r="D3" s="2"/>
      <c r="F3" s="2"/>
      <c r="H3" s="2"/>
      <c r="J3" s="2"/>
      <c r="L3" s="2"/>
      <c r="N3" s="2"/>
      <c r="P3" s="125">
        <f>'[2]PAGE 2'!$BN$13</f>
        <v>57158</v>
      </c>
      <c r="Q3" s="126">
        <f>P3/'Dealership Totals'!AD3</f>
        <v>0.30597845870538104</v>
      </c>
      <c r="R3" s="125">
        <f>[3]P2!$AW$25</f>
        <v>53676</v>
      </c>
      <c r="S3" s="126">
        <f>R3/'Dealership Totals'!AH3</f>
        <v>0.27000135815572512</v>
      </c>
      <c r="T3" s="125">
        <f>[13]P2!$AW$25</f>
        <v>13813</v>
      </c>
      <c r="U3" s="126">
        <f>T3/'Dealership Totals'!AJ3</f>
        <v>0.27000664607685992</v>
      </c>
      <c r="V3" s="125">
        <f>[13]P2!$AW$25</f>
        <v>13813</v>
      </c>
      <c r="W3" s="126"/>
      <c r="X3" s="2"/>
      <c r="Z3" s="2"/>
      <c r="AB3" s="125"/>
      <c r="AC3" s="126"/>
    </row>
    <row r="4" spans="1:29" s="1" customFormat="1">
      <c r="A4" s="3"/>
      <c r="B4" s="309" t="s">
        <v>213</v>
      </c>
      <c r="C4" s="310"/>
      <c r="D4" s="309" t="s">
        <v>282</v>
      </c>
      <c r="E4" s="310"/>
      <c r="F4" s="309" t="s">
        <v>203</v>
      </c>
      <c r="G4" s="310"/>
      <c r="H4" s="309" t="s">
        <v>204</v>
      </c>
      <c r="I4" s="310"/>
      <c r="J4" s="309" t="s">
        <v>205</v>
      </c>
      <c r="K4" s="310"/>
      <c r="L4" s="309"/>
      <c r="M4" s="310"/>
      <c r="N4" s="309" t="s">
        <v>207</v>
      </c>
      <c r="O4" s="310"/>
      <c r="P4" s="309" t="s">
        <v>208</v>
      </c>
      <c r="Q4" s="310"/>
      <c r="R4" s="309" t="s">
        <v>278</v>
      </c>
      <c r="S4" s="310"/>
      <c r="T4" s="309" t="s">
        <v>279</v>
      </c>
      <c r="U4" s="310"/>
      <c r="V4" s="309" t="s">
        <v>287</v>
      </c>
      <c r="W4" s="310"/>
      <c r="X4" s="309" t="s">
        <v>292</v>
      </c>
      <c r="Y4" s="310"/>
      <c r="Z4" s="309" t="s">
        <v>293</v>
      </c>
      <c r="AA4" s="310"/>
      <c r="AB4" s="309" t="s">
        <v>290</v>
      </c>
      <c r="AC4" s="310"/>
    </row>
    <row r="5" spans="1:29" s="1" customFormat="1">
      <c r="A5" s="3"/>
      <c r="B5" s="14" t="s">
        <v>2</v>
      </c>
      <c r="C5" s="15" t="s">
        <v>3</v>
      </c>
      <c r="D5" s="14" t="s">
        <v>2</v>
      </c>
      <c r="E5" s="15" t="s">
        <v>3</v>
      </c>
      <c r="F5" s="14" t="s">
        <v>2</v>
      </c>
      <c r="G5" s="15" t="s">
        <v>3</v>
      </c>
      <c r="H5" s="14" t="s">
        <v>2</v>
      </c>
      <c r="I5" s="15" t="s">
        <v>3</v>
      </c>
      <c r="J5" s="14" t="s">
        <v>2</v>
      </c>
      <c r="K5" s="15" t="s">
        <v>3</v>
      </c>
      <c r="L5" s="14"/>
      <c r="M5" s="15"/>
      <c r="N5" s="14" t="s">
        <v>2</v>
      </c>
      <c r="O5" s="15" t="s">
        <v>3</v>
      </c>
      <c r="P5" s="14" t="s">
        <v>2</v>
      </c>
      <c r="Q5" s="15" t="s">
        <v>3</v>
      </c>
      <c r="R5" s="14" t="s">
        <v>2</v>
      </c>
      <c r="S5" s="15" t="s">
        <v>3</v>
      </c>
      <c r="T5" s="14" t="s">
        <v>2</v>
      </c>
      <c r="U5" s="15" t="s">
        <v>3</v>
      </c>
      <c r="V5" s="14" t="s">
        <v>2</v>
      </c>
      <c r="W5" s="15" t="s">
        <v>3</v>
      </c>
      <c r="X5" s="14" t="s">
        <v>2</v>
      </c>
      <c r="Y5" s="15" t="s">
        <v>3</v>
      </c>
      <c r="Z5" s="14" t="s">
        <v>2</v>
      </c>
      <c r="AA5" s="15" t="s">
        <v>3</v>
      </c>
      <c r="AB5" s="14" t="s">
        <v>2</v>
      </c>
      <c r="AC5" s="15" t="s">
        <v>3</v>
      </c>
    </row>
    <row r="6" spans="1:29" s="1" customFormat="1">
      <c r="A6" s="331" t="s">
        <v>231</v>
      </c>
      <c r="B6" s="68">
        <f>INDEX('[4]Page 5'!$B:$O,MATCH(4500,'[4]Page 5'!$G:$G,0),2)+INDEX([4]Page6!$B:$CY,MATCH(4530,[4]Page6!$AS:$AS,0),2)+INDEX([4]Page6!$B:$CY,MATCH(4510,[4]Page6!$AS:$AS,0),2)+INDEX('[4]Page 5'!$B:$O,MATCH(4506,'[4]Page 5'!$G:$G,0),2)+INDEX('[4]Page 5'!$B:$O,MATCH(4502,'[4]Page 5'!$G:$G,0),2)+INDEX('[4]Page 5'!$B:$O,MATCH(4543,'[4]Page 5'!$G:$G,0),2)+INDEX('[4]Page 5'!$B:$O,MATCH(4553,'[4]Page 5'!$G:$G,0),2)</f>
        <v>1853</v>
      </c>
      <c r="C6" s="69">
        <f>INDEX('[4]Page 5'!$B:$O,MATCH(4500,'[4]Page 5'!$G:$G,0),10)+INDEX([4]Page6!$B:$CY,MATCH(4530,[4]Page6!$AS:$AS,0),60)+INDEX([4]Page6!$B:$CY,MATCH(4510,[4]Page6!$AS:$AS,0),60)+INDEX('[4]Page 5'!$B:$O,MATCH(4506,'[4]Page 5'!$G:$G,0),10)+INDEX('[4]Page 5'!$B:$O,MATCH(4502,'[4]Page 5'!$G:$G,0),10)+INDEX('[4]Page 5'!$B:$O,MATCH(4543,'[4]Page 5'!$G:$G,0),10)+INDEX('[4]Page 5'!$B:$O,MATCH(4553,'[4]Page 5'!$G:$G,0),10)</f>
        <v>19506</v>
      </c>
      <c r="D6" s="68">
        <f>INDEX('[5]Page 5'!$B:$O,MATCH(4500,'[5]Page 5'!$G:$G,0),2)+INDEX([5]Page6!$B:$CY,MATCH(4530,[5]Page6!$AS:$AS,0),2)+INDEX([5]Page6!$B:$CY,MATCH(4510,[5]Page6!$AS:$AS,0),2)+INDEX('[5]Page 5'!$B:$O,MATCH(4506,'[5]Page 5'!$G:$G,0),2)+INDEX('[5]Page 5'!$B:$O,MATCH(4502,'[5]Page 5'!$G:$G,0),2)+INDEX('[5]Page 5'!$B:$O,MATCH(4543,'[5]Page 5'!$G:$G,0),2)+INDEX('[5]Page 5'!$B:$O,MATCH(4553,'[5]Page 5'!$G:$G,0),2)</f>
        <v>1485</v>
      </c>
      <c r="E6" s="69">
        <f>INDEX('[5]Page 5'!$B:$O,MATCH(4500,'[5]Page 5'!$G:$G,0),10)+INDEX([5]Page6!$B:$CY,MATCH(4530,[5]Page6!$AS:$AS,0),60)+INDEX([5]Page6!$B:$CY,MATCH(4510,[5]Page6!$AS:$AS,0),60)+INDEX('[5]Page 5'!$B:$O,MATCH(4506,'[5]Page 5'!$G:$G,0),10)+INDEX('[5]Page 5'!$B:$O,MATCH(4502,'[5]Page 5'!$G:$G,0),10)+INDEX('[5]Page 5'!$B:$O,MATCH(4543,'[5]Page 5'!$G:$G,0),10)+INDEX('[5]Page 5'!$B:$O,MATCH(4553,'[5]Page 5'!$G:$G,0),10)</f>
        <v>16988</v>
      </c>
      <c r="F6" s="68">
        <f>INDEX('[6]Page 5'!$B:$O,MATCH(4500,'[6]Page 5'!$G:$G,0),2)+INDEX([6]Page6!$B:$CY,MATCH(4530,[6]Page6!$AS:$AS,0),2)+INDEX([6]Page6!$B:$CY,MATCH(4510,[6]Page6!$AS:$AS,0),2)+INDEX('[6]Page 5'!$B:$O,MATCH(4506,'[6]Page 5'!$G:$G,0),2)+INDEX('[6]Page 5'!$B:$O,MATCH(4502,'[6]Page 5'!$G:$G,0),2)+INDEX('[6]Page 5'!$B:$O,MATCH(4543,'[6]Page 5'!$G:$G,0),2)+INDEX('[6]Page 5'!$B:$O,MATCH(4553,'[6]Page 5'!$G:$G,0),2)</f>
        <v>2398</v>
      </c>
      <c r="G6" s="69">
        <f>INDEX('[6]Page 5'!$B:$O,MATCH(4500,'[6]Page 5'!$G:$G,0),10)+INDEX([6]Page6!$B:$CY,MATCH(4530,[6]Page6!$AS:$AS,0),60)+INDEX([6]Page6!$B:$CY,MATCH(4510,[6]Page6!$AS:$AS,0),60)+INDEX('[6]Page 5'!$B:$O,MATCH(4506,'[6]Page 5'!$G:$G,0),10)+INDEX('[6]Page 5'!$B:$O,MATCH(4502,'[6]Page 5'!$G:$G,0),10)+INDEX('[6]Page 5'!$B:$O,MATCH(4543,'[6]Page 5'!$G:$G,0),10)+INDEX('[6]Page 5'!$B:$O,MATCH(4553,'[6]Page 5'!$G:$G,0),10)</f>
        <v>28554</v>
      </c>
      <c r="H6" s="68">
        <f>'[7]PAGE 4'!$B$36+'[7]PAGE 4'!$B$37</f>
        <v>1219</v>
      </c>
      <c r="I6" s="69">
        <f>'[7]PAGE 4'!$L$36+'[7]PAGE 4'!$L$37</f>
        <v>16801</v>
      </c>
      <c r="J6" s="68">
        <f>'[8]PAGE 4'!$B$36+'[8]PAGE 4'!$B$37</f>
        <v>1030</v>
      </c>
      <c r="K6" s="69">
        <f>'[8]PAGE 4'!$L$36+'[8]PAGE 4'!$L$37</f>
        <v>10864</v>
      </c>
      <c r="L6" s="68"/>
      <c r="M6" s="69"/>
      <c r="N6" s="68">
        <f>'[9]Page 6'!$B21+'[9]Page 6'!$B22+'[9]Page 6'!$B30+'[9]Page 6'!$B29+'[9]Page 6'!$B26</f>
        <v>1639</v>
      </c>
      <c r="O6" s="69">
        <f>'[9]Page 6'!$L21+'[9]Page 6'!$L22+'[9]Page 6'!$L30+'[9]Page 6'!$L29+'[9]Page 6'!$L26</f>
        <v>18007</v>
      </c>
      <c r="P6" s="68">
        <f>'[2]PAGE 5'!$BS$7+'[2]PAGE 5'!$BS$15</f>
        <v>866</v>
      </c>
      <c r="Q6" s="69">
        <f>'[2]PAGE 5'!$BU$8+'[2]PAGE 5'!$BU$16</f>
        <v>9547</v>
      </c>
      <c r="R6" s="68">
        <f>[3]P5!$BW$13</f>
        <v>740</v>
      </c>
      <c r="S6" s="69">
        <f>[3]P5!$BW$15</f>
        <v>9058</v>
      </c>
      <c r="T6" s="68">
        <f>[13]P5!$BW$13</f>
        <v>131</v>
      </c>
      <c r="U6" s="69">
        <f>[13]P5!$BW$15</f>
        <v>1463</v>
      </c>
      <c r="V6" s="68">
        <f>SUM('[10]PAGE 5'!$B$26:$B$27,'[10]PAGE 5'!$B$32)</f>
        <v>393</v>
      </c>
      <c r="W6" s="69">
        <f>SUM('[10]PAGE 5'!$P$26:$P$27,'[10]PAGE 5'!$P$32)</f>
        <v>2853</v>
      </c>
      <c r="X6" s="68">
        <f>'[11]Page 6'!$B21+'[11]Page 6'!$B22+'[11]Page 6'!$B30+'[11]Page 6'!$B29+'[11]Page 6'!$B26</f>
        <v>0</v>
      </c>
      <c r="Y6" s="69">
        <f>'[11]Page 6'!$L21+'[11]Page 6'!$L22+'[11]Page 6'!$L30+'[11]Page 6'!$L29+'[11]Page 6'!$L26</f>
        <v>0</v>
      </c>
      <c r="Z6" s="68">
        <f>'[12]Page 6'!$B21+'[12]Page 6'!$B22+'[12]Page 6'!$B30+'[12]Page 6'!$B29+'[12]Page 6'!$B26</f>
        <v>628</v>
      </c>
      <c r="AA6" s="69">
        <f>'[12]Page 6'!$L21+'[12]Page 6'!$L22+'[12]Page 6'!$L30+'[12]Page 6'!$L29+'[12]Page 6'!$L26</f>
        <v>2461</v>
      </c>
      <c r="AB6" s="68">
        <f>SUMIF($B$5:$AA$5,"Month",B6:AA6)</f>
        <v>12382</v>
      </c>
      <c r="AC6" s="69">
        <f>SUMIF($B$5:$AA$5,"YTD",B6:AA6)</f>
        <v>136102</v>
      </c>
    </row>
    <row r="7" spans="1:29" s="1" customFormat="1">
      <c r="A7" s="331"/>
      <c r="B7" s="57">
        <f>INDEX('[4]Page 5'!$B:$O,MATCH(4500,'[4]Page 5'!$G:$G,0),3)+INDEX([4]Page6!$B:$CY,MATCH(4530,[4]Page6!$AS:$AS,0),10)+INDEX([4]Page6!$B:$CY,MATCH(4510,[4]Page6!$AS:$AS,0),10)+INDEX('[4]Page 5'!$B:$O,MATCH(4506,'[4]Page 5'!$G:$G,0),3)+INDEX('[4]Page 5'!$B:$O,MATCH(4502,'[4]Page 5'!$G:$G,0),3)+INDEX('[4]Page 5'!$B:$O,MATCH(4543,'[4]Page 5'!$G:$G,0),3)+INDEX('[4]Page 5'!$B:$O,MATCH(4553,'[4]Page 5'!$G:$G,0),3)</f>
        <v>109060</v>
      </c>
      <c r="C7" s="58">
        <f>INDEX('[4]Page 5'!$B:$O,MATCH(4500,'[4]Page 5'!$G:$G,0),11)+INDEX([4]Page6!$B:$CY,MATCH(4530,[4]Page6!$AS:$AS,0),68)+INDEX([4]Page6!$B:$CY,MATCH(4510,[4]Page6!$AS:$AS,0),68)+INDEX('[4]Page 5'!$B:$O,MATCH(4506,'[4]Page 5'!$G:$G,0),11)+INDEX('[4]Page 5'!$B:$O,MATCH(4502,'[4]Page 5'!$G:$G,0),11)+INDEX('[4]Page 5'!$B:$O,MATCH(4543,'[4]Page 5'!$G:$G,0),11)+INDEX('[4]Page 5'!$B:$O,MATCH(4553,'[4]Page 5'!$G:$G,0),11)</f>
        <v>1167216</v>
      </c>
      <c r="D7" s="57">
        <f>INDEX('[5]Page 5'!$B:$O,MATCH(4500,'[5]Page 5'!$G:$G,0),3)+INDEX([5]Page6!$B:$CY,MATCH(4530,[5]Page6!$AS:$AS,0),10)+INDEX([5]Page6!$B:$CY,MATCH(4510,[5]Page6!$AS:$AS,0),10)+INDEX('[5]Page 5'!$B:$O,MATCH(4506,'[5]Page 5'!$G:$G,0),3)+INDEX('[5]Page 5'!$B:$O,MATCH(4502,'[5]Page 5'!$G:$G,0),3)+INDEX('[5]Page 5'!$B:$O,MATCH(4543,'[5]Page 5'!$G:$G,0),3)+INDEX('[5]Page 5'!$B:$O,MATCH(4553,'[5]Page 5'!$G:$G,0),3)</f>
        <v>130344</v>
      </c>
      <c r="E7" s="58">
        <f>INDEX('[5]Page 5'!$B:$O,MATCH(4500,'[5]Page 5'!$G:$G,0),11)+INDEX([5]Page6!$B:$CY,MATCH(4530,[5]Page6!$AS:$AS,0),68)+INDEX([5]Page6!$B:$CY,MATCH(4510,[5]Page6!$AS:$AS,0),68)+INDEX('[5]Page 5'!$B:$O,MATCH(4506,'[5]Page 5'!$G:$G,0),11)+INDEX('[5]Page 5'!$B:$O,MATCH(4502,'[5]Page 5'!$G:$G,0),11)+INDEX('[5]Page 5'!$B:$O,MATCH(4543,'[5]Page 5'!$G:$G,0),11)+INDEX('[5]Page 5'!$B:$O,MATCH(4553,'[5]Page 5'!$G:$G,0),11)</f>
        <v>1666687</v>
      </c>
      <c r="F7" s="57">
        <f>INDEX('[6]Page 5'!$B:$O,MATCH(4500,'[6]Page 5'!$G:$G,0),3)+INDEX([6]Page6!$B:$CY,MATCH(4530,[6]Page6!$AS:$AS,0),10)+INDEX([6]Page6!$B:$CY,MATCH(4510,[6]Page6!$AS:$AS,0),10)+INDEX('[6]Page 5'!$B:$O,MATCH(4506,'[6]Page 5'!$G:$G,0),3)+INDEX('[6]Page 5'!$B:$O,MATCH(4502,'[6]Page 5'!$G:$G,0),3)+INDEX('[6]Page 5'!$B:$O,MATCH(4543,'[6]Page 5'!$G:$G,0),3)+INDEX('[6]Page 5'!$B:$O,MATCH(4553,'[6]Page 5'!$G:$G,0),3)</f>
        <v>158623</v>
      </c>
      <c r="G7" s="58">
        <f>INDEX('[6]Page 5'!$B:$O,MATCH(4500,'[6]Page 5'!$G:$G,0),11)+INDEX([6]Page6!$B:$CY,MATCH(4530,[6]Page6!$AS:$AS,0),68)+INDEX([6]Page6!$B:$CY,MATCH(4510,[6]Page6!$AS:$AS,0),68)+INDEX('[6]Page 5'!$B:$O,MATCH(4506,'[6]Page 5'!$G:$G,0),11)+INDEX('[6]Page 5'!$B:$O,MATCH(4502,'[6]Page 5'!$G:$G,0),11)+INDEX('[6]Page 5'!$B:$O,MATCH(4543,'[6]Page 5'!$G:$G,0),11)+INDEX('[6]Page 5'!$B:$O,MATCH(4553,'[6]Page 5'!$G:$G,0),11)</f>
        <v>1943273</v>
      </c>
      <c r="H7" s="57">
        <f>'[7]PAGE 4'!$C$36+'[7]PAGE 4'!$C$37</f>
        <v>105271</v>
      </c>
      <c r="I7" s="58">
        <f>'[7]PAGE 4'!$M$36+'[7]PAGE 4'!$M$37</f>
        <v>1295991</v>
      </c>
      <c r="J7" s="57">
        <f>'[8]PAGE 4'!$C$36+'[8]PAGE 4'!$C$37</f>
        <v>86841</v>
      </c>
      <c r="K7" s="58">
        <f>'[8]PAGE 4'!$M$36+'[8]PAGE 4'!$M$37</f>
        <v>863047</v>
      </c>
      <c r="L7" s="57"/>
      <c r="M7" s="58"/>
      <c r="N7" s="57">
        <f>'[9]Page 6'!$C$21+'[9]Page 6'!$C$22+'[9]Page 6'!$C$30+'[9]Page 6'!$C$29+'[9]Page 6'!$C$26</f>
        <v>134815</v>
      </c>
      <c r="O7" s="58">
        <f>'[9]Page 6'!$M$21+'[9]Page 6'!$M$22+'[9]Page 6'!$M$30+'[9]Page 6'!$M$29+'[9]Page 6'!$M$26</f>
        <v>1467506</v>
      </c>
      <c r="P7" s="57">
        <f>'[2]PAGE 5'!$AM10+'[2]PAGE 5'!$AM12</f>
        <v>97749</v>
      </c>
      <c r="Q7" s="58">
        <f>'[2]PAGE 5'!$AW10+'[2]PAGE 5'!$AW12</f>
        <v>1073629</v>
      </c>
      <c r="R7" s="57">
        <f>SUM([3]P5!$AN$19,[3]P5!$AN$23)</f>
        <v>95749</v>
      </c>
      <c r="S7" s="58">
        <f>SUM([3]P5!$AV$19,[3]P5!$AV$23)</f>
        <v>1152197</v>
      </c>
      <c r="T7" s="57">
        <f>[13]P5!$AN$19</f>
        <v>11087</v>
      </c>
      <c r="U7" s="58">
        <f>[13]P5!$AV$19</f>
        <v>161617</v>
      </c>
      <c r="V7" s="57">
        <f>SUM('[10]PAGE 5'!$C$26:$C$27,'[10]PAGE 5'!$C$32)</f>
        <v>59263</v>
      </c>
      <c r="W7" s="58">
        <f>SUM('[10]PAGE 5'!$Q$26:$Q$27,'[10]PAGE 5'!$Q$32)</f>
        <v>417239</v>
      </c>
      <c r="X7" s="57">
        <f>'[11]Page 6'!$C$21+'[11]Page 6'!$C$22+'[11]Page 6'!$C$30+'[11]Page 6'!$C$29+'[11]Page 6'!$C$26</f>
        <v>0</v>
      </c>
      <c r="Y7" s="58">
        <f>'[11]Page 6'!$M$21+'[11]Page 6'!$M$22+'[11]Page 6'!$M$30+'[11]Page 6'!$M$29+'[11]Page 6'!$M$26</f>
        <v>0</v>
      </c>
      <c r="Z7" s="57">
        <f>'[12]Page 6'!$C$21+'[12]Page 6'!$C$22+'[12]Page 6'!$C$30+'[12]Page 6'!$C$29+'[12]Page 6'!$C$26</f>
        <v>52598</v>
      </c>
      <c r="AA7" s="58">
        <f>'[12]Page 6'!$M$21+'[12]Page 6'!$M$22+'[12]Page 6'!$M$30+'[12]Page 6'!$M$29+'[12]Page 6'!$M$26</f>
        <v>211794</v>
      </c>
      <c r="AB7" s="57">
        <f t="shared" ref="AB7:AB70" si="0">SUMIF($B$5:$AA$5,"Month",B7:AA7)</f>
        <v>1041400</v>
      </c>
      <c r="AC7" s="58">
        <f t="shared" ref="AC7:AC70" si="1">SUMIF($B$5:$AA$5,"YTD",B7:AA7)</f>
        <v>11420196</v>
      </c>
    </row>
    <row r="8" spans="1:29" s="1" customFormat="1">
      <c r="A8" s="49" t="s">
        <v>260</v>
      </c>
      <c r="B8" s="57">
        <f>INDEX('[4]Page 5'!$B:$O,MATCH(4500,'[4]Page 5'!$G:$G,0),4)+INDEX([4]Page6!$B:$CY,MATCH(4530,[4]Page6!$AS:$AS,0),23)+INDEX([4]Page6!$B:$CY,MATCH(4510,[4]Page6!$AS:$AS,0),23)+INDEX('[4]Page 5'!$B:$O,MATCH(4506,'[4]Page 5'!$G:$G,0),4)+INDEX('[4]Page 5'!$B:$O,MATCH(4502,'[4]Page 5'!$G:$G,0),4)+INDEX('[4]Page 5'!$B:$O,MATCH(4543,'[4]Page 5'!$G:$G,0),4)+INDEX('[4]Page 5'!$B:$O,MATCH(4553,'[4]Page 5'!$G:$G,0),4)</f>
        <v>81587</v>
      </c>
      <c r="C8" s="58">
        <f>INDEX('[4]Page 5'!$B:$O,MATCH(4500,'[4]Page 5'!$G:$G,0),12)+INDEX([4]Page6!$B:$CY,MATCH(4530,[4]Page6!$AS:$AS,0),81)+INDEX([4]Page6!$B:$CY,MATCH(4510,[4]Page6!$AS:$AS,0),81)+INDEX('[4]Page 5'!$B:$O,MATCH(4506,'[4]Page 5'!$G:$G,0),12)+INDEX('[4]Page 5'!$B:$O,MATCH(4502,'[4]Page 5'!$G:$G,0),12)+INDEX('[4]Page 5'!$B:$O,MATCH(4543,'[4]Page 5'!$G:$G,0),12)+INDEX('[4]Page 5'!$B:$O,MATCH(4553,'[4]Page 5'!$G:$G,0),12)</f>
        <v>871815</v>
      </c>
      <c r="D8" s="57">
        <f>INDEX('[5]Page 5'!$B:$O,MATCH(4500,'[5]Page 5'!$G:$G,0),4)+INDEX([5]Page6!$B:$CY,MATCH(4530,[5]Page6!$AS:$AS,0),23)+INDEX([5]Page6!$B:$CY,MATCH(4510,[5]Page6!$AS:$AS,0),23)+INDEX('[5]Page 5'!$B:$O,MATCH(4506,'[5]Page 5'!$G:$G,0),4)+INDEX('[5]Page 5'!$B:$O,MATCH(4502,'[5]Page 5'!$G:$G,0),4)+INDEX('[5]Page 5'!$B:$O,MATCH(4543,'[5]Page 5'!$G:$G,0),4)+INDEX('[5]Page 5'!$B:$O,MATCH(4553,'[5]Page 5'!$G:$G,0),4)</f>
        <v>85580</v>
      </c>
      <c r="E8" s="58">
        <f>INDEX('[5]Page 5'!$B:$O,MATCH(4500,'[5]Page 5'!$G:$G,0),12)+INDEX([5]Page6!$B:$CY,MATCH(4530,[5]Page6!$AS:$AS,0),81)+INDEX([5]Page6!$B:$CY,MATCH(4510,[5]Page6!$AS:$AS,0),81)+INDEX('[5]Page 5'!$B:$O,MATCH(4506,'[5]Page 5'!$G:$G,0),12)+INDEX('[5]Page 5'!$B:$O,MATCH(4502,'[5]Page 5'!$G:$G,0),12)+INDEX('[5]Page 5'!$B:$O,MATCH(4543,'[5]Page 5'!$G:$G,0),12)+INDEX('[5]Page 5'!$B:$O,MATCH(4553,'[5]Page 5'!$G:$G,0),12)</f>
        <v>1190524</v>
      </c>
      <c r="F8" s="57">
        <f>INDEX('[6]Page 5'!$B:$O,MATCH(4500,'[6]Page 5'!$G:$G,0),4)+INDEX([6]Page6!$B:$CY,MATCH(4530,[6]Page6!$AS:$AS,0),23)+INDEX([6]Page6!$B:$CY,MATCH(4510,[6]Page6!$AS:$AS,0),23)+INDEX('[6]Page 5'!$B:$O,MATCH(4506,'[6]Page 5'!$G:$G,0),4)+INDEX('[6]Page 5'!$B:$O,MATCH(4502,'[6]Page 5'!$G:$G,0),4)+INDEX('[6]Page 5'!$B:$O,MATCH(4543,'[6]Page 5'!$G:$G,0),4)+INDEX('[6]Page 5'!$B:$O,MATCH(4553,'[6]Page 5'!$G:$G,0),4)</f>
        <v>98327</v>
      </c>
      <c r="G8" s="58">
        <f>INDEX('[6]Page 5'!$B:$O,MATCH(4500,'[6]Page 5'!$G:$G,0),12)+INDEX([6]Page6!$B:$CY,MATCH(4530,[6]Page6!$AS:$AS,0),81)+INDEX([6]Page6!$B:$CY,MATCH(4510,[6]Page6!$AS:$AS,0),81)+INDEX('[6]Page 5'!$B:$O,MATCH(4506,'[6]Page 5'!$G:$G,0),12)+INDEX('[6]Page 5'!$B:$O,MATCH(4502,'[6]Page 5'!$G:$G,0),12)+INDEX('[6]Page 5'!$B:$O,MATCH(4543,'[6]Page 5'!$G:$G,0),12)+INDEX('[6]Page 5'!$B:$O,MATCH(4553,'[6]Page 5'!$G:$G,0),12)</f>
        <v>1381182</v>
      </c>
      <c r="H8" s="57">
        <f>'[7]PAGE 4'!$D$36+'[7]PAGE 4'!$D$37</f>
        <v>81584</v>
      </c>
      <c r="I8" s="58">
        <f>'[7]PAGE 4'!$N$36+'[7]PAGE 4'!$N$37</f>
        <v>991818</v>
      </c>
      <c r="J8" s="57">
        <f>'[8]PAGE 4'!$D$36+'[8]PAGE 4'!$D$37</f>
        <v>66387</v>
      </c>
      <c r="K8" s="58">
        <f>'[8]PAGE 4'!$N$36+'[8]PAGE 4'!$N$37</f>
        <v>662354</v>
      </c>
      <c r="L8" s="57"/>
      <c r="M8" s="58"/>
      <c r="N8" s="57">
        <f>'[9]Page 6'!$E$21+'[9]Page 6'!$E$22+'[9]Page 6'!$E$30+'[9]Page 6'!$E$29+'[9]Page 6'!$E$26</f>
        <v>105028</v>
      </c>
      <c r="O8" s="58">
        <f>'[9]Page 6'!$O$21+'[9]Page 6'!$O$22+'[9]Page 6'!$O$30+'[9]Page 6'!$O$29+'[9]Page 6'!$O$26</f>
        <v>1145377</v>
      </c>
      <c r="P8" s="57">
        <f>'[2]PAGE 5'!$AM11+'[2]PAGE 5'!$AM13</f>
        <v>73735</v>
      </c>
      <c r="Q8" s="58">
        <f>'[2]PAGE 5'!$AW11+'[2]PAGE 5'!$AW13</f>
        <v>825822</v>
      </c>
      <c r="R8" s="57">
        <f>SUM([3]P5!$AN$21,[3]P5!$AN$25)</f>
        <v>63428</v>
      </c>
      <c r="S8" s="58">
        <f>SUM([3]P5!$AV$21,[3]P5!$AV$25)</f>
        <v>820177</v>
      </c>
      <c r="T8" s="57">
        <f>[13]P5!$AN$21</f>
        <v>8986</v>
      </c>
      <c r="U8" s="58">
        <f>[13]P5!$AV$21</f>
        <v>125825</v>
      </c>
      <c r="V8" s="57">
        <f>SUM('[10]PAGE 5'!$E$26:$E$27,'[10]PAGE 5'!$E$32)</f>
        <v>41292</v>
      </c>
      <c r="W8" s="58">
        <f>SUM('[10]PAGE 5'!$S$26:$S$27,'[10]PAGE 5'!$S$32)</f>
        <v>288178</v>
      </c>
      <c r="X8" s="57">
        <f>'[11]Page 6'!$E$21+'[11]Page 6'!$E$22+'[11]Page 6'!$E$30+'[11]Page 6'!$E$29+'[11]Page 6'!$E$26</f>
        <v>0</v>
      </c>
      <c r="Y8" s="58">
        <f>'[11]Page 6'!$O$21+'[11]Page 6'!$O$22+'[11]Page 6'!$O$30+'[11]Page 6'!$O$29+'[11]Page 6'!$O$26</f>
        <v>0</v>
      </c>
      <c r="Z8" s="57">
        <f>'[12]Page 6'!$E$21+'[12]Page 6'!$E$22+'[12]Page 6'!$E$30+'[12]Page 6'!$E$29+'[12]Page 6'!$E$26</f>
        <v>38459</v>
      </c>
      <c r="AA8" s="58">
        <f>'[12]Page 6'!$O$21+'[12]Page 6'!$O$22+'[12]Page 6'!$O$30+'[12]Page 6'!$O$29+'[12]Page 6'!$O$26</f>
        <v>156499</v>
      </c>
      <c r="AB8" s="57">
        <f t="shared" si="0"/>
        <v>744393</v>
      </c>
      <c r="AC8" s="58">
        <f t="shared" si="1"/>
        <v>8459571</v>
      </c>
    </row>
    <row r="9" spans="1:29" s="1" customFormat="1" hidden="1">
      <c r="A9" s="331" t="s">
        <v>232</v>
      </c>
      <c r="B9" s="68"/>
      <c r="C9" s="69"/>
      <c r="D9" s="68"/>
      <c r="E9" s="69"/>
      <c r="F9" s="68"/>
      <c r="G9" s="69"/>
      <c r="H9" s="68"/>
      <c r="I9" s="69"/>
      <c r="J9" s="68"/>
      <c r="K9" s="69"/>
      <c r="L9" s="68"/>
      <c r="M9" s="69"/>
      <c r="N9" s="68"/>
      <c r="O9" s="69"/>
      <c r="P9" s="68"/>
      <c r="Q9" s="69"/>
      <c r="R9" s="68"/>
      <c r="S9" s="69"/>
      <c r="T9" s="68"/>
      <c r="U9" s="69"/>
      <c r="V9" s="68"/>
      <c r="W9" s="69"/>
      <c r="X9" s="68"/>
      <c r="Y9" s="69"/>
      <c r="Z9" s="68"/>
      <c r="AA9" s="69"/>
      <c r="AB9" s="68">
        <f t="shared" si="0"/>
        <v>0</v>
      </c>
      <c r="AC9" s="69">
        <f t="shared" si="1"/>
        <v>0</v>
      </c>
    </row>
    <row r="10" spans="1:29" s="1" customFormat="1" hidden="1">
      <c r="A10" s="331"/>
      <c r="B10" s="57"/>
      <c r="C10" s="58"/>
      <c r="D10" s="57"/>
      <c r="E10" s="58"/>
      <c r="F10" s="57"/>
      <c r="G10" s="58"/>
      <c r="H10" s="57"/>
      <c r="I10" s="58"/>
      <c r="J10" s="57"/>
      <c r="K10" s="58"/>
      <c r="L10" s="57"/>
      <c r="M10" s="58"/>
      <c r="N10" s="57"/>
      <c r="O10" s="58"/>
      <c r="P10" s="57"/>
      <c r="Q10" s="58"/>
      <c r="R10" s="57"/>
      <c r="S10" s="58"/>
      <c r="T10" s="57"/>
      <c r="U10" s="58"/>
      <c r="V10" s="57"/>
      <c r="W10" s="58"/>
      <c r="X10" s="57"/>
      <c r="Y10" s="58"/>
      <c r="Z10" s="57"/>
      <c r="AA10" s="58"/>
      <c r="AB10" s="57">
        <f t="shared" si="0"/>
        <v>0</v>
      </c>
      <c r="AC10" s="58">
        <f t="shared" si="1"/>
        <v>0</v>
      </c>
    </row>
    <row r="11" spans="1:29" s="1" customFormat="1" ht="15" hidden="1" customHeight="1">
      <c r="A11" s="49" t="s">
        <v>261</v>
      </c>
      <c r="B11" s="57"/>
      <c r="C11" s="58"/>
      <c r="D11" s="57"/>
      <c r="E11" s="58"/>
      <c r="F11" s="57"/>
      <c r="G11" s="58"/>
      <c r="H11" s="57"/>
      <c r="I11" s="58"/>
      <c r="J11" s="57"/>
      <c r="K11" s="58"/>
      <c r="L11" s="57"/>
      <c r="M11" s="58"/>
      <c r="N11" s="57"/>
      <c r="O11" s="58"/>
      <c r="P11" s="57"/>
      <c r="Q11" s="58"/>
      <c r="R11" s="57"/>
      <c r="S11" s="58"/>
      <c r="T11" s="57"/>
      <c r="U11" s="58"/>
      <c r="V11" s="57"/>
      <c r="W11" s="58"/>
      <c r="X11" s="57"/>
      <c r="Y11" s="58"/>
      <c r="Z11" s="57"/>
      <c r="AA11" s="58"/>
      <c r="AB11" s="57">
        <f t="shared" si="0"/>
        <v>0</v>
      </c>
      <c r="AC11" s="58">
        <f t="shared" si="1"/>
        <v>0</v>
      </c>
    </row>
    <row r="12" spans="1:29" s="1" customFormat="1" hidden="1">
      <c r="A12" s="331" t="s">
        <v>233</v>
      </c>
      <c r="B12" s="68">
        <f>INDEX('[4]Page 5'!$B:$O,MATCH(4504,'[4]Page 5'!$G:$G,0),2)+INDEX([4]Page6!$B:$CY,MATCH(4534,[4]Page6!$AS:$AS,0),2)+INDEX([4]Page6!$B:$CY,MATCH(4544,[4]Page6!$AS:$AS,0),2)</f>
        <v>0</v>
      </c>
      <c r="C12" s="69">
        <f>INDEX('[4]Page 5'!$B:$O,MATCH(4504,'[4]Page 5'!$G:$G,0),10)+INDEX([4]Page6!$B:$CY,MATCH(4534,[4]Page6!$AS:$AS,0),60)+INDEX([4]Page6!$B:$CY,MATCH(4544,[4]Page6!$AS:$AS,0),60)</f>
        <v>0</v>
      </c>
      <c r="D12" s="68">
        <f>INDEX('[5]Page 5'!$B:$O,MATCH(4504,'[5]Page 5'!$G:$G,0),2)+INDEX([5]Page6!$B:$CY,MATCH(4534,[5]Page6!$AS:$AS,0),2)+INDEX([5]Page6!$B:$CY,MATCH(4544,[5]Page6!$AS:$AS,0),2)</f>
        <v>0</v>
      </c>
      <c r="E12" s="69">
        <f>INDEX('[5]Page 5'!$B:$O,MATCH(4504,'[5]Page 5'!$G:$G,0),10)+INDEX([5]Page6!$B:$CY,MATCH(4534,[5]Page6!$AS:$AS,0),60)+INDEX([5]Page6!$B:$CY,MATCH(4544,[5]Page6!$AS:$AS,0),60)</f>
        <v>0</v>
      </c>
      <c r="F12" s="68">
        <f>INDEX('[6]Page 5'!$B:$O,MATCH(4504,'[6]Page 5'!$G:$G,0),2)+INDEX([6]Page6!$B:$CY,MATCH(4534,[6]Page6!$AS:$AS,0),2)+INDEX([6]Page6!$B:$CY,MATCH(4544,[6]Page6!$AS:$AS,0),2)</f>
        <v>0</v>
      </c>
      <c r="G12" s="69">
        <f>INDEX('[6]Page 5'!$B:$O,MATCH(4504,'[6]Page 5'!$G:$G,0),10)+INDEX([6]Page6!$B:$CY,MATCH(4534,[6]Page6!$AS:$AS,0),60)+INDEX([6]Page6!$B:$CY,MATCH(4544,[6]Page6!$AS:$AS,0),60)</f>
        <v>0</v>
      </c>
      <c r="H12" s="68"/>
      <c r="I12" s="69"/>
      <c r="J12" s="68"/>
      <c r="K12" s="69"/>
      <c r="L12" s="68"/>
      <c r="M12" s="69"/>
      <c r="N12" s="68"/>
      <c r="O12" s="69"/>
      <c r="P12" s="68"/>
      <c r="Q12" s="69"/>
      <c r="R12" s="68"/>
      <c r="S12" s="69"/>
      <c r="T12" s="68"/>
      <c r="U12" s="69"/>
      <c r="V12" s="68"/>
      <c r="W12" s="69"/>
      <c r="X12" s="68"/>
      <c r="Y12" s="69"/>
      <c r="Z12" s="68"/>
      <c r="AA12" s="69"/>
      <c r="AB12" s="68">
        <f t="shared" si="0"/>
        <v>0</v>
      </c>
      <c r="AC12" s="69">
        <f t="shared" si="1"/>
        <v>0</v>
      </c>
    </row>
    <row r="13" spans="1:29" s="1" customFormat="1" hidden="1">
      <c r="A13" s="331"/>
      <c r="B13" s="57">
        <f>INDEX('[4]Page 5'!$B:$O,MATCH(4504,'[4]Page 5'!$G:$G,0),3)+INDEX([4]Page6!$B:$CY,MATCH(4534,[4]Page6!$AS:$AS,0),10)+INDEX([4]Page6!$B:$CY,MATCH(4544,[4]Page6!$AS:$AS,0),10)</f>
        <v>0</v>
      </c>
      <c r="C13" s="58">
        <f>INDEX('[4]Page 5'!$B:$O,MATCH(4504,'[4]Page 5'!$G:$G,0),11)+INDEX([4]Page6!$B:$CY,MATCH(4534,[4]Page6!$AS:$AS,0),68)+INDEX([4]Page6!$B:$CY,MATCH(4544,[4]Page6!$AS:$AS,0),68)</f>
        <v>0</v>
      </c>
      <c r="D13" s="57">
        <f>INDEX('[5]Page 5'!$B:$O,MATCH(4504,'[5]Page 5'!$G:$G,0),3)+INDEX([5]Page6!$B:$CY,MATCH(4534,[5]Page6!$AS:$AS,0),10)+INDEX([5]Page6!$B:$CY,MATCH(4544,[5]Page6!$AS:$AS,0),10)</f>
        <v>0</v>
      </c>
      <c r="E13" s="58">
        <f>INDEX('[5]Page 5'!$B:$O,MATCH(4504,'[5]Page 5'!$G:$G,0),11)+INDEX([5]Page6!$B:$CY,MATCH(4534,[5]Page6!$AS:$AS,0),68)+INDEX([5]Page6!$B:$CY,MATCH(4544,[5]Page6!$AS:$AS,0),68)</f>
        <v>0</v>
      </c>
      <c r="F13" s="57">
        <f>INDEX('[6]Page 5'!$B:$O,MATCH(4504,'[6]Page 5'!$G:$G,0),3)+INDEX([6]Page6!$B:$CY,MATCH(4534,[6]Page6!$AS:$AS,0),10)+INDEX([6]Page6!$B:$CY,MATCH(4544,[6]Page6!$AS:$AS,0),10)</f>
        <v>0</v>
      </c>
      <c r="G13" s="58">
        <f>INDEX('[6]Page 5'!$B:$O,MATCH(4504,'[6]Page 5'!$G:$G,0),11)+INDEX([6]Page6!$B:$CY,MATCH(4534,[6]Page6!$AS:$AS,0),68)+INDEX([6]Page6!$B:$CY,MATCH(4544,[6]Page6!$AS:$AS,0),68)</f>
        <v>0</v>
      </c>
      <c r="H13" s="57"/>
      <c r="I13" s="58"/>
      <c r="J13" s="57"/>
      <c r="K13" s="58"/>
      <c r="L13" s="57"/>
      <c r="M13" s="58"/>
      <c r="N13" s="57"/>
      <c r="O13" s="58"/>
      <c r="P13" s="57"/>
      <c r="Q13" s="58"/>
      <c r="R13" s="57"/>
      <c r="S13" s="58"/>
      <c r="T13" s="57"/>
      <c r="U13" s="58"/>
      <c r="V13" s="57"/>
      <c r="W13" s="58"/>
      <c r="X13" s="57"/>
      <c r="Y13" s="58"/>
      <c r="Z13" s="57"/>
      <c r="AA13" s="58"/>
      <c r="AB13" s="57">
        <f t="shared" si="0"/>
        <v>0</v>
      </c>
      <c r="AC13" s="58">
        <f t="shared" si="1"/>
        <v>0</v>
      </c>
    </row>
    <row r="14" spans="1:29" s="1" customFormat="1" ht="15" hidden="1" customHeight="1">
      <c r="A14" s="49" t="s">
        <v>262</v>
      </c>
      <c r="B14" s="57">
        <f>INDEX('[4]Page 5'!$B:$O,MATCH(4504,'[4]Page 5'!$G:$G,0),4)+INDEX([4]Page6!$B:$CY,MATCH(4534,[4]Page6!$AS:$AS,0),23)+INDEX([4]Page6!$B:$CY,MATCH(4544,[4]Page6!$AS:$AS,0),23)</f>
        <v>0</v>
      </c>
      <c r="C14" s="58">
        <f>INDEX('[4]Page 5'!$B:$O,MATCH(4504,'[4]Page 5'!$G:$G,0),12)+INDEX([4]Page6!$B:$CY,MATCH(4534,[4]Page6!$AS:$AS,0),81)+INDEX([4]Page6!$B:$CY,MATCH(4544,[4]Page6!$AS:$AS,0),81)</f>
        <v>0</v>
      </c>
      <c r="D14" s="57">
        <f>INDEX('[5]Page 5'!$B:$O,MATCH(4504,'[5]Page 5'!$G:$G,0),4)+INDEX([5]Page6!$B:$CY,MATCH(4534,[5]Page6!$AS:$AS,0),23)+INDEX([5]Page6!$B:$CY,MATCH(4544,[5]Page6!$AS:$AS,0),23)</f>
        <v>0</v>
      </c>
      <c r="E14" s="58">
        <f>INDEX('[5]Page 5'!$B:$O,MATCH(4504,'[5]Page 5'!$G:$G,0),12)+INDEX([5]Page6!$B:$CY,MATCH(4534,[5]Page6!$AS:$AS,0),81)+INDEX([5]Page6!$B:$CY,MATCH(4544,[5]Page6!$AS:$AS,0),81)</f>
        <v>0</v>
      </c>
      <c r="F14" s="57">
        <f>INDEX('[6]Page 5'!$B:$O,MATCH(4504,'[6]Page 5'!$G:$G,0),4)+INDEX([6]Page6!$B:$CY,MATCH(4534,[6]Page6!$AS:$AS,0),23)+INDEX([6]Page6!$B:$CY,MATCH(4544,[6]Page6!$AS:$AS,0),23)</f>
        <v>0</v>
      </c>
      <c r="G14" s="58">
        <f>INDEX('[6]Page 5'!$B:$O,MATCH(4504,'[6]Page 5'!$G:$G,0),12)+INDEX([6]Page6!$B:$CY,MATCH(4534,[6]Page6!$AS:$AS,0),81)+INDEX([6]Page6!$B:$CY,MATCH(4544,[6]Page6!$AS:$AS,0),81)</f>
        <v>0</v>
      </c>
      <c r="H14" s="57"/>
      <c r="I14" s="58"/>
      <c r="J14" s="57"/>
      <c r="K14" s="58"/>
      <c r="L14" s="57"/>
      <c r="M14" s="58"/>
      <c r="N14" s="57"/>
      <c r="O14" s="58"/>
      <c r="P14" s="57"/>
      <c r="Q14" s="58"/>
      <c r="R14" s="57"/>
      <c r="S14" s="58"/>
      <c r="T14" s="57"/>
      <c r="U14" s="58"/>
      <c r="V14" s="57"/>
      <c r="W14" s="58"/>
      <c r="X14" s="57"/>
      <c r="Y14" s="58"/>
      <c r="Z14" s="57"/>
      <c r="AA14" s="58"/>
      <c r="AB14" s="57">
        <f t="shared" si="0"/>
        <v>0</v>
      </c>
      <c r="AC14" s="58">
        <f t="shared" si="1"/>
        <v>0</v>
      </c>
    </row>
    <row r="15" spans="1:29" s="1" customFormat="1">
      <c r="A15" s="331" t="s">
        <v>234</v>
      </c>
      <c r="B15" s="68">
        <f>INDEX('[4]Page 5'!$B:$O,MATCH(4540,'[4]Page 5'!$G:$G,0),2)+INDEX([4]Page6!$B:$CY,MATCH(4548,[4]Page6!$AS:$AS,0),2)+INDEX([4]Page6!$B:$CY,MATCH(4545,[4]Page6!$AS:$AS,0),2)</f>
        <v>661</v>
      </c>
      <c r="C15" s="69">
        <f>INDEX('[4]Page 5'!$B:$O,MATCH(4540,'[4]Page 5'!$G:$G,0),10)+INDEX([4]Page6!$B:$CY,MATCH(4548,[4]Page6!$AS:$AS,0),60)+INDEX([4]Page6!$B:$CY,MATCH(4545,[4]Page6!$AS:$AS,0),60)</f>
        <v>8344</v>
      </c>
      <c r="D15" s="68">
        <f>INDEX('[5]Page 5'!$B:$O,MATCH(4540,'[5]Page 5'!$G:$G,0),2)+INDEX([5]Page6!$B:$CY,MATCH(4548,[5]Page6!$AS:$AS,0),2)+INDEX([5]Page6!$B:$CY,MATCH(4545,[5]Page6!$AS:$AS,0),2)</f>
        <v>603</v>
      </c>
      <c r="E15" s="69">
        <f>INDEX('[5]Page 5'!$B:$O,MATCH(4540,'[5]Page 5'!$G:$G,0),10)+INDEX([5]Page6!$B:$CY,MATCH(4548,[5]Page6!$AS:$AS,0),60)+INDEX([5]Page6!$B:$CY,MATCH(4545,[5]Page6!$AS:$AS,0),60)</f>
        <v>6313</v>
      </c>
      <c r="F15" s="68">
        <f>INDEX('[6]Page 5'!$B:$O,MATCH(4540,'[6]Page 5'!$G:$G,0),2)+INDEX([6]Page6!$B:$CY,MATCH(4548,[6]Page6!$AS:$AS,0),2)+INDEX([6]Page6!$B:$CY,MATCH(4545,[6]Page6!$AS:$AS,0),2)</f>
        <v>527</v>
      </c>
      <c r="G15" s="69">
        <f>INDEX('[6]Page 5'!$B:$O,MATCH(4540,'[6]Page 5'!$G:$G,0),10)+INDEX([6]Page6!$B:$CY,MATCH(4548,[6]Page6!$AS:$AS,0),60)+INDEX([6]Page6!$B:$CY,MATCH(4545,[6]Page6!$AS:$AS,0),60)</f>
        <v>6558</v>
      </c>
      <c r="H15" s="68">
        <f>'[7]PAGE 4'!$B$38</f>
        <v>320</v>
      </c>
      <c r="I15" s="69">
        <f>'[7]PAGE 4'!$L$38</f>
        <v>4831</v>
      </c>
      <c r="J15" s="68">
        <f>'[8]PAGE 4'!$B$38</f>
        <v>205</v>
      </c>
      <c r="K15" s="69">
        <f>'[8]PAGE 4'!$L$38</f>
        <v>3524</v>
      </c>
      <c r="L15" s="68"/>
      <c r="M15" s="69"/>
      <c r="N15" s="68">
        <f>'[9]Page 6'!$B23+'[9]Page 6'!$B30</f>
        <v>337</v>
      </c>
      <c r="O15" s="69">
        <f>'[9]Page 6'!$L23+'[9]Page 6'!$L30</f>
        <v>5026</v>
      </c>
      <c r="P15" s="68">
        <f>'[2]PAGE 5'!$BS$11</f>
        <v>288</v>
      </c>
      <c r="Q15" s="69">
        <f>'[2]PAGE 5'!$BU$12</f>
        <v>3196</v>
      </c>
      <c r="R15" s="68">
        <f>[3]P5!$BW$21</f>
        <v>185</v>
      </c>
      <c r="S15" s="69">
        <f>[3]P5!$BW$23</f>
        <v>2607</v>
      </c>
      <c r="T15" s="68"/>
      <c r="U15" s="69"/>
      <c r="V15" s="68">
        <f>SUM('[10]PAGE 5'!$B$28,'[10]PAGE 5'!$B$33)</f>
        <v>186</v>
      </c>
      <c r="W15" s="69">
        <f>SUM('[10]PAGE 5'!$P$28,'[10]PAGE 5'!$P$33)</f>
        <v>1444</v>
      </c>
      <c r="X15" s="68">
        <f>'[11]Page 6'!$B23+'[11]Page 6'!$B30</f>
        <v>0</v>
      </c>
      <c r="Y15" s="69">
        <f>'[11]Page 6'!$L23+'[11]Page 6'!$L30</f>
        <v>0</v>
      </c>
      <c r="Z15" s="68">
        <f>'[12]Page 6'!$B23+'[12]Page 6'!$B30</f>
        <v>344</v>
      </c>
      <c r="AA15" s="69">
        <f>'[12]Page 6'!$L23+'[12]Page 6'!$L30</f>
        <v>1543</v>
      </c>
      <c r="AB15" s="68">
        <f t="shared" si="0"/>
        <v>3656</v>
      </c>
      <c r="AC15" s="69">
        <f t="shared" si="1"/>
        <v>43386</v>
      </c>
    </row>
    <row r="16" spans="1:29" s="1" customFormat="1">
      <c r="A16" s="331"/>
      <c r="B16" s="57">
        <f>INDEX('[4]Page 5'!$B:$O,MATCH(4540,'[4]Page 5'!$G:$G,0),3)+INDEX([4]Page6!$B:$CY,MATCH(4548,[4]Page6!$AS:$AS,0),10)+INDEX([4]Page6!$B:$CY,MATCH(4545,[4]Page6!$AS:$AS,0),10)</f>
        <v>62953</v>
      </c>
      <c r="C16" s="58">
        <f>INDEX('[4]Page 5'!$B:$O,MATCH(4540,'[4]Page 5'!$G:$G,0),11)+INDEX([4]Page6!$B:$CY,MATCH(4548,[4]Page6!$AS:$AS,0),68)+INDEX([4]Page6!$B:$CY,MATCH(4545,[4]Page6!$AS:$AS,0),68)</f>
        <v>766838</v>
      </c>
      <c r="D16" s="57">
        <f>INDEX('[5]Page 5'!$B:$O,MATCH(4540,'[5]Page 5'!$G:$G,0),3)+INDEX([5]Page6!$B:$CY,MATCH(4548,[5]Page6!$AS:$AS,0),10)+INDEX([5]Page6!$B:$CY,MATCH(4545,[5]Page6!$AS:$AS,0),10)</f>
        <v>85756</v>
      </c>
      <c r="E16" s="58">
        <f>INDEX('[5]Page 5'!$B:$O,MATCH(4540,'[5]Page 5'!$G:$G,0),11)+INDEX([5]Page6!$B:$CY,MATCH(4548,[5]Page6!$AS:$AS,0),68)+INDEX([5]Page6!$B:$CY,MATCH(4545,[5]Page6!$AS:$AS,0),68)</f>
        <v>799377</v>
      </c>
      <c r="F16" s="57">
        <f>INDEX('[6]Page 5'!$B:$O,MATCH(4540,'[6]Page 5'!$G:$G,0),3)+INDEX([6]Page6!$B:$CY,MATCH(4548,[6]Page6!$AS:$AS,0),10)+INDEX([6]Page6!$B:$CY,MATCH(4545,[6]Page6!$AS:$AS,0),10)</f>
        <v>59977</v>
      </c>
      <c r="G16" s="58">
        <f>INDEX('[6]Page 5'!$B:$O,MATCH(4540,'[6]Page 5'!$G:$G,0),11)+INDEX([6]Page6!$B:$CY,MATCH(4548,[6]Page6!$AS:$AS,0),68)+INDEX([6]Page6!$B:$CY,MATCH(4545,[6]Page6!$AS:$AS,0),68)</f>
        <v>609888</v>
      </c>
      <c r="H16" s="57">
        <f>'[7]PAGE 4'!$C$38</f>
        <v>25554</v>
      </c>
      <c r="I16" s="58">
        <f>'[7]PAGE 4'!$M$38</f>
        <v>378414</v>
      </c>
      <c r="J16" s="57">
        <f>'[8]PAGE 4'!$C$38</f>
        <v>16088</v>
      </c>
      <c r="K16" s="58">
        <f>'[8]PAGE 4'!$M$38</f>
        <v>242519</v>
      </c>
      <c r="L16" s="57"/>
      <c r="M16" s="58"/>
      <c r="N16" s="57">
        <f>'[9]Page 6'!$C$23+'[9]Page 6'!$C$30</f>
        <v>56699</v>
      </c>
      <c r="O16" s="58">
        <f>'[9]Page 6'!$M$23+'[9]Page 6'!$M$30</f>
        <v>730976</v>
      </c>
      <c r="P16" s="57">
        <f>'[2]PAGE 5'!$AM15</f>
        <v>40043</v>
      </c>
      <c r="Q16" s="58">
        <f>'[2]PAGE 5'!$AW15</f>
        <v>430291</v>
      </c>
      <c r="R16" s="57">
        <f>[3]P5!$AN$29</f>
        <v>33736</v>
      </c>
      <c r="S16" s="58">
        <f>[3]P5!$AV$29</f>
        <v>473919</v>
      </c>
      <c r="T16" s="57"/>
      <c r="U16" s="58"/>
      <c r="V16" s="57">
        <f>SUM('[10]PAGE 5'!$C$28:$D$28,'[10]PAGE 5'!$C$33:$D$33)</f>
        <v>21504</v>
      </c>
      <c r="W16" s="58">
        <f>SUM('[10]PAGE 5'!$Q$28:$R$28,'[10]PAGE 5'!$Q$33:$R$33)</f>
        <v>153949</v>
      </c>
      <c r="X16" s="57">
        <f>'[11]Page 6'!$C$23+'[11]Page 6'!$C$30</f>
        <v>0</v>
      </c>
      <c r="Y16" s="58">
        <f>'[11]Page 6'!$M$23+'[11]Page 6'!$M$30</f>
        <v>0</v>
      </c>
      <c r="Z16" s="57">
        <f>'[12]Page 6'!$C$23+'[12]Page 6'!$C$30</f>
        <v>38529</v>
      </c>
      <c r="AA16" s="58">
        <f>'[12]Page 6'!$M$23+'[12]Page 6'!$M$30</f>
        <v>136752</v>
      </c>
      <c r="AB16" s="57">
        <f t="shared" si="0"/>
        <v>440839</v>
      </c>
      <c r="AC16" s="58">
        <f t="shared" si="1"/>
        <v>4722923</v>
      </c>
    </row>
    <row r="17" spans="1:29" s="1" customFormat="1" ht="15" customHeight="1">
      <c r="A17" s="49" t="s">
        <v>265</v>
      </c>
      <c r="B17" s="57">
        <f>INDEX('[4]Page 5'!$B:$O,MATCH(4540,'[4]Page 5'!$G:$G,0),4)+INDEX([4]Page6!$B:$CY,MATCH(4548,[4]Page6!$AS:$AS,0),23)+INDEX([4]Page6!$B:$CY,MATCH(4545,[4]Page6!$AS:$AS,0),23)</f>
        <v>50329</v>
      </c>
      <c r="C17" s="58">
        <f>INDEX('[4]Page 5'!$B:$O,MATCH(4540,'[4]Page 5'!$G:$G,0),12)+INDEX([4]Page6!$B:$CY,MATCH(4548,[4]Page6!$AS:$AS,0),81)+INDEX([4]Page6!$B:$CY,MATCH(4545,[4]Page6!$AS:$AS,0),81)</f>
        <v>616713</v>
      </c>
      <c r="D17" s="57">
        <f>INDEX('[5]Page 5'!$B:$O,MATCH(4540,'[5]Page 5'!$G:$G,0),4)+INDEX([5]Page6!$B:$CY,MATCH(4548,[5]Page6!$AS:$AS,0),23)+INDEX([5]Page6!$B:$CY,MATCH(4545,[5]Page6!$AS:$AS,0),23)</f>
        <v>47927</v>
      </c>
      <c r="E17" s="58">
        <f>INDEX('[5]Page 5'!$B:$O,MATCH(4540,'[5]Page 5'!$G:$G,0),12)+INDEX([5]Page6!$B:$CY,MATCH(4548,[5]Page6!$AS:$AS,0),81)+INDEX([5]Page6!$B:$CY,MATCH(4545,[5]Page6!$AS:$AS,0),81)</f>
        <v>514971</v>
      </c>
      <c r="F17" s="57">
        <f>INDEX('[6]Page 5'!$B:$O,MATCH(4540,'[6]Page 5'!$G:$G,0),4)+INDEX([6]Page6!$B:$CY,MATCH(4548,[6]Page6!$AS:$AS,0),23)+INDEX([6]Page6!$B:$CY,MATCH(4545,[6]Page6!$AS:$AS,0),23)</f>
        <v>42622</v>
      </c>
      <c r="G17" s="58">
        <f>INDEX('[6]Page 5'!$B:$O,MATCH(4540,'[6]Page 5'!$G:$G,0),12)+INDEX([6]Page6!$B:$CY,MATCH(4548,[6]Page6!$AS:$AS,0),81)+INDEX([6]Page6!$B:$CY,MATCH(4545,[6]Page6!$AS:$AS,0),81)</f>
        <v>475575</v>
      </c>
      <c r="H17" s="57">
        <f>'[7]PAGE 4'!$D$38</f>
        <v>21119</v>
      </c>
      <c r="I17" s="58">
        <f>'[7]PAGE 4'!$N$38</f>
        <v>313516</v>
      </c>
      <c r="J17" s="57">
        <f>'[8]PAGE 4'!$D$38</f>
        <v>13017</v>
      </c>
      <c r="K17" s="58">
        <f>'[8]PAGE 4'!$N$38</f>
        <v>191409</v>
      </c>
      <c r="L17" s="57"/>
      <c r="M17" s="58"/>
      <c r="N17" s="57">
        <f>'[9]Page 6'!$E$23+'[9]Page 6'!$E$30</f>
        <v>45065</v>
      </c>
      <c r="O17" s="58">
        <f>'[9]Page 6'!$O$23+'[9]Page 6'!$O$30</f>
        <v>568903</v>
      </c>
      <c r="P17" s="57">
        <f>'[2]PAGE 5'!$AM16</f>
        <v>29462</v>
      </c>
      <c r="Q17" s="58">
        <f>'[2]PAGE 5'!$AW16</f>
        <v>323577</v>
      </c>
      <c r="R17" s="57">
        <f>[3]P5!$AN$31</f>
        <v>23085</v>
      </c>
      <c r="S17" s="58">
        <f>[3]P5!$AV$31</f>
        <v>339607</v>
      </c>
      <c r="T17" s="57"/>
      <c r="U17" s="58"/>
      <c r="V17" s="57">
        <f>SUM('[10]PAGE 5'!$E$28:$F$28,'[10]PAGE 5'!$E$33:$F$33)</f>
        <v>16152</v>
      </c>
      <c r="W17" s="58">
        <f>SUM('[10]PAGE 5'!$S$28:$T$28,'[10]PAGE 5'!$S$33:$T$33)</f>
        <v>118400</v>
      </c>
      <c r="X17" s="57">
        <f>'[11]Page 6'!$E$23+'[11]Page 6'!$E$30</f>
        <v>0</v>
      </c>
      <c r="Y17" s="58">
        <f>'[11]Page 6'!$O$23+'[11]Page 6'!$O$30</f>
        <v>0</v>
      </c>
      <c r="Z17" s="57">
        <f>'[12]Page 6'!$E$23+'[12]Page 6'!$E$30</f>
        <v>30310</v>
      </c>
      <c r="AA17" s="58">
        <f>'[12]Page 6'!$O$23+'[12]Page 6'!$O$30</f>
        <v>108496</v>
      </c>
      <c r="AB17" s="57">
        <f t="shared" si="0"/>
        <v>319088</v>
      </c>
      <c r="AC17" s="58">
        <f t="shared" si="1"/>
        <v>3571167</v>
      </c>
    </row>
    <row r="18" spans="1:29" s="1" customFormat="1">
      <c r="A18" s="331" t="s">
        <v>240</v>
      </c>
      <c r="B18" s="68">
        <f>INDEX('[4]Page 5'!$B:$O,MATCH(4550,'[4]Page 5'!$G:$G,0),2)+INDEX([4]Page6!$B:$CY,MATCH(4558,[4]Page6!$AS:$AS,0),2)+INDEX([4]Page6!$B:$CY,MATCH(4555,[4]Page6!$AS:$AS,0),2)</f>
        <v>359</v>
      </c>
      <c r="C18" s="69">
        <f>INDEX('[4]Page 5'!$B:$O,MATCH(4550,'[4]Page 5'!$G:$G,0),10)+INDEX([4]Page6!$B:$CY,MATCH(4558,[4]Page6!$AS:$AS,0),60)+INDEX([4]Page6!$B:$CY,MATCH(4555,[4]Page6!$AS:$AS,0),60)</f>
        <v>4479</v>
      </c>
      <c r="D18" s="68">
        <f>INDEX('[5]Page 5'!$B:$O,MATCH(4550,'[5]Page 5'!$G:$G,0),2)+INDEX([5]Page6!$B:$CY,MATCH(4558,[5]Page6!$AS:$AS,0),2)+INDEX([5]Page6!$B:$CY,MATCH(4555,[5]Page6!$AS:$AS,0),2)</f>
        <v>444</v>
      </c>
      <c r="E18" s="69">
        <f>INDEX('[5]Page 5'!$B:$O,MATCH(4550,'[5]Page 5'!$G:$G,0),10)+INDEX([5]Page6!$B:$CY,MATCH(4558,[5]Page6!$AS:$AS,0),60)+INDEX([5]Page6!$B:$CY,MATCH(4555,[5]Page6!$AS:$AS,0),60)</f>
        <v>4860</v>
      </c>
      <c r="F18" s="68">
        <f>INDEX('[6]Page 5'!$B:$O,MATCH(4550,'[6]Page 5'!$G:$G,0),2)+INDEX([6]Page6!$B:$CY,MATCH(4558,[6]Page6!$AS:$AS,0),2)+INDEX([6]Page6!$B:$CY,MATCH(4555,[6]Page6!$AS:$AS,0),2)</f>
        <v>551</v>
      </c>
      <c r="G18" s="69">
        <f>INDEX('[6]Page 5'!$B:$O,MATCH(4550,'[6]Page 5'!$G:$G,0),10)+INDEX([6]Page6!$B:$CY,MATCH(4558,[6]Page6!$AS:$AS,0),60)+INDEX([6]Page6!$B:$CY,MATCH(4555,[6]Page6!$AS:$AS,0),60)</f>
        <v>7187</v>
      </c>
      <c r="H18" s="68">
        <f>'[7]PAGE 4'!$B$39+'[7]PAGE 4'!$B$40</f>
        <v>191</v>
      </c>
      <c r="I18" s="69">
        <f>'[7]PAGE 4'!$L$39+'[7]PAGE 4'!$L$40</f>
        <v>3299</v>
      </c>
      <c r="J18" s="68">
        <f>'[8]PAGE 4'!$B$39+'[8]PAGE 4'!$B$40</f>
        <v>194</v>
      </c>
      <c r="K18" s="69">
        <f>'[8]PAGE 4'!$L$39+'[8]PAGE 4'!$L$40</f>
        <v>2678</v>
      </c>
      <c r="L18" s="68"/>
      <c r="M18" s="69"/>
      <c r="N18" s="68">
        <f>'[9]Page 6'!$B24+'[9]Page 6'!$B31+'[9]Page 6'!$B32+'[9]Page 6'!$B25</f>
        <v>502</v>
      </c>
      <c r="O18" s="69">
        <f>'[9]Page 6'!$L24+'[9]Page 6'!$L31+'[9]Page 6'!$L32+'[9]Page 6'!$L25</f>
        <v>5975</v>
      </c>
      <c r="P18" s="68">
        <f>'[2]PAGE 5'!$BS$17</f>
        <v>243</v>
      </c>
      <c r="Q18" s="69">
        <f>'[2]PAGE 5'!$BU$18</f>
        <v>4174</v>
      </c>
      <c r="R18" s="68">
        <f>[3]P5!$BW$33</f>
        <v>213</v>
      </c>
      <c r="S18" s="69">
        <f>[3]P5!$BW$35</f>
        <v>3212</v>
      </c>
      <c r="T18" s="68">
        <f>[13]P5!$BW$33</f>
        <v>153</v>
      </c>
      <c r="U18" s="69">
        <f>[13]P5!$BW$35</f>
        <v>2267</v>
      </c>
      <c r="V18" s="68">
        <f>SUM('[10]PAGE 5'!$B$29,'[10]PAGE 5'!$B$34)</f>
        <v>129</v>
      </c>
      <c r="W18" s="69">
        <f>SUM('[10]PAGE 5'!$P$29,'[10]PAGE 5'!$P$34)</f>
        <v>880</v>
      </c>
      <c r="X18" s="68">
        <f>'[11]Page 6'!$B24+'[11]Page 6'!$B31+'[11]Page 6'!$B32+'[11]Page 6'!$B25</f>
        <v>0</v>
      </c>
      <c r="Y18" s="69">
        <f>'[11]Page 6'!$L24+'[11]Page 6'!$L31+'[11]Page 6'!$L32+'[11]Page 6'!$L25</f>
        <v>0</v>
      </c>
      <c r="Z18" s="68">
        <f>'[12]Page 6'!$B24+'[12]Page 6'!$B31+'[12]Page 6'!$B32+'[12]Page 6'!$B25</f>
        <v>101</v>
      </c>
      <c r="AA18" s="69">
        <f>'[12]Page 6'!$L24+'[12]Page 6'!$L31+'[12]Page 6'!$L32+'[12]Page 6'!$L25</f>
        <v>623</v>
      </c>
      <c r="AB18" s="68">
        <f t="shared" si="0"/>
        <v>3080</v>
      </c>
      <c r="AC18" s="69">
        <f t="shared" si="1"/>
        <v>39634</v>
      </c>
    </row>
    <row r="19" spans="1:29" s="1" customFormat="1">
      <c r="A19" s="331"/>
      <c r="B19" s="57">
        <f>INDEX('[4]Page 5'!$B:$O,MATCH(4550,'[4]Page 5'!$G:$G,0),3)+INDEX([4]Page6!$B:$CY,MATCH(4558,[4]Page6!$AS:$AS,0),10)+INDEX([4]Page6!$B:$CY,MATCH(4555,[4]Page6!$AS:$AS,0),10)</f>
        <v>50118</v>
      </c>
      <c r="C19" s="58">
        <f>INDEX('[4]Page 5'!$B:$O,MATCH(4550,'[4]Page 5'!$G:$G,0),11)+INDEX([4]Page6!$B:$CY,MATCH(4558,[4]Page6!$AS:$AS,0),68)+INDEX([4]Page6!$B:$CY,MATCH(4555,[4]Page6!$AS:$AS,0),68)</f>
        <v>620178</v>
      </c>
      <c r="D19" s="57">
        <f>INDEX('[5]Page 5'!$B:$O,MATCH(4550,'[5]Page 5'!$G:$G,0),3)+INDEX([5]Page6!$B:$CY,MATCH(4558,[5]Page6!$AS:$AS,0),10)+INDEX([5]Page6!$B:$CY,MATCH(4555,[5]Page6!$AS:$AS,0),10)</f>
        <v>84713</v>
      </c>
      <c r="E19" s="58">
        <f>INDEX('[5]Page 5'!$B:$O,MATCH(4550,'[5]Page 5'!$G:$G,0),11)+INDEX([5]Page6!$B:$CY,MATCH(4558,[5]Page6!$AS:$AS,0),68)+INDEX([5]Page6!$B:$CY,MATCH(4555,[5]Page6!$AS:$AS,0),68)</f>
        <v>881658</v>
      </c>
      <c r="F19" s="57">
        <f>INDEX('[6]Page 5'!$B:$O,MATCH(4550,'[6]Page 5'!$G:$G,0),3)+INDEX([6]Page6!$B:$CY,MATCH(4558,[6]Page6!$AS:$AS,0),10)+INDEX([6]Page6!$B:$CY,MATCH(4555,[6]Page6!$AS:$AS,0),10)</f>
        <v>95770</v>
      </c>
      <c r="G19" s="58">
        <f>INDEX('[6]Page 5'!$B:$O,MATCH(4550,'[6]Page 5'!$G:$G,0),11)+INDEX([6]Page6!$B:$CY,MATCH(4558,[6]Page6!$AS:$AS,0),68)+INDEX([6]Page6!$B:$CY,MATCH(4555,[6]Page6!$AS:$AS,0),68)</f>
        <v>1187170</v>
      </c>
      <c r="H19" s="57">
        <f>'[7]PAGE 4'!$C$39+'[7]PAGE 4'!$C$40</f>
        <v>42974</v>
      </c>
      <c r="I19" s="58">
        <f>'[7]PAGE 4'!$M$39+'[7]PAGE 4'!$M$40</f>
        <v>679637</v>
      </c>
      <c r="J19" s="57">
        <f>'[8]PAGE 4'!$C$39+'[8]PAGE 4'!$C$40</f>
        <v>28638</v>
      </c>
      <c r="K19" s="58">
        <f>'[8]PAGE 4'!$M$39+'[8]PAGE 4'!$M$40</f>
        <v>440253</v>
      </c>
      <c r="L19" s="57"/>
      <c r="M19" s="58"/>
      <c r="N19" s="57">
        <f>'[9]Page 6'!$C$24+'[9]Page 6'!$C$31+'[9]Page 6'!$C$32+'[9]Page 6'!$C$25</f>
        <v>83105</v>
      </c>
      <c r="O19" s="58">
        <f>'[9]Page 6'!$M$24+'[9]Page 6'!$M$31+'[9]Page 6'!$M$32+'[9]Page 6'!$M$25</f>
        <v>905118</v>
      </c>
      <c r="P19" s="57">
        <f>'[2]PAGE 5'!$AM17</f>
        <v>46944</v>
      </c>
      <c r="Q19" s="58">
        <f>'[2]PAGE 5'!$AW17</f>
        <v>667422</v>
      </c>
      <c r="R19" s="57">
        <f>[3]P5!$AN$33</f>
        <v>35939</v>
      </c>
      <c r="S19" s="58">
        <f>[3]P5!$AV$33</f>
        <v>485729</v>
      </c>
      <c r="T19" s="57">
        <f>[13]P5!$AN$33</f>
        <v>19026</v>
      </c>
      <c r="U19" s="58">
        <f>[13]P5!$AV$33</f>
        <v>270566</v>
      </c>
      <c r="V19" s="57">
        <f>SUM('[10]PAGE 5'!$C$29:$D$29,'[10]PAGE 5'!$C$34:$D$34)</f>
        <v>16823</v>
      </c>
      <c r="W19" s="58">
        <f>SUM('[10]PAGE 5'!$Q$29:$R$29,'[10]PAGE 5'!$Q$34:$R$34)</f>
        <v>134933</v>
      </c>
      <c r="X19" s="57">
        <f>'[11]Page 6'!$C$24+'[11]Page 6'!$C$31+'[11]Page 6'!$C$32+'[11]Page 6'!$C$25</f>
        <v>0</v>
      </c>
      <c r="Y19" s="58">
        <f>'[11]Page 6'!$M$24+'[11]Page 6'!$M$31+'[11]Page 6'!$M$32+'[11]Page 6'!$M$25</f>
        <v>0</v>
      </c>
      <c r="Z19" s="57">
        <f>'[12]Page 6'!$C$24+'[12]Page 6'!$C$31+'[12]Page 6'!$C$32+'[12]Page 6'!$C$25</f>
        <v>19230</v>
      </c>
      <c r="AA19" s="58">
        <f>'[12]Page 6'!$M$24+'[12]Page 6'!$M$31+'[12]Page 6'!$M$32+'[12]Page 6'!$M$25</f>
        <v>115313</v>
      </c>
      <c r="AB19" s="57">
        <f t="shared" si="0"/>
        <v>523280</v>
      </c>
      <c r="AC19" s="58">
        <f t="shared" si="1"/>
        <v>6387977</v>
      </c>
    </row>
    <row r="20" spans="1:29" s="1" customFormat="1" ht="15" customHeight="1">
      <c r="A20" s="70" t="s">
        <v>263</v>
      </c>
      <c r="B20" s="57">
        <f>INDEX('[4]Page 5'!$B:$O,MATCH(4550,'[4]Page 5'!$G:$G,0),4)+INDEX([4]Page6!$B:$CY,MATCH(4558,[4]Page6!$AS:$AS,0),23)+INDEX([4]Page6!$B:$CY,MATCH(4555,[4]Page6!$AS:$AS,0),23)</f>
        <v>39263</v>
      </c>
      <c r="C20" s="58">
        <f>INDEX('[4]Page 5'!$B:$O,MATCH(4550,'[4]Page 5'!$G:$G,0),12)+INDEX([4]Page6!$B:$CY,MATCH(4558,[4]Page6!$AS:$AS,0),81)+INDEX([4]Page6!$B:$CY,MATCH(4555,[4]Page6!$AS:$AS,0),81)</f>
        <v>474964</v>
      </c>
      <c r="D20" s="57">
        <f>INDEX('[5]Page 5'!$B:$O,MATCH(4550,'[5]Page 5'!$G:$G,0),4)+INDEX([5]Page6!$B:$CY,MATCH(4558,[5]Page6!$AS:$AS,0),23)+INDEX([5]Page6!$B:$CY,MATCH(4555,[5]Page6!$AS:$AS,0),23)</f>
        <v>43038</v>
      </c>
      <c r="E20" s="58">
        <f>INDEX('[5]Page 5'!$B:$O,MATCH(4550,'[5]Page 5'!$G:$G,0),12)+INDEX([5]Page6!$B:$CY,MATCH(4558,[5]Page6!$AS:$AS,0),81)+INDEX([5]Page6!$B:$CY,MATCH(4555,[5]Page6!$AS:$AS,0),81)</f>
        <v>569281</v>
      </c>
      <c r="F20" s="57">
        <f>INDEX('[6]Page 5'!$B:$O,MATCH(4550,'[6]Page 5'!$G:$G,0),4)+INDEX([6]Page6!$B:$CY,MATCH(4558,[6]Page6!$AS:$AS,0),23)+INDEX([6]Page6!$B:$CY,MATCH(4555,[6]Page6!$AS:$AS,0),23)</f>
        <v>72036</v>
      </c>
      <c r="G20" s="58">
        <f>INDEX('[6]Page 5'!$B:$O,MATCH(4550,'[6]Page 5'!$G:$G,0),12)+INDEX([6]Page6!$B:$CY,MATCH(4558,[6]Page6!$AS:$AS,0),81)+INDEX([6]Page6!$B:$CY,MATCH(4555,[6]Page6!$AS:$AS,0),81)</f>
        <v>905833</v>
      </c>
      <c r="H20" s="57">
        <f>'[7]PAGE 4'!$D$39+'[7]PAGE 4'!$D$40</f>
        <v>36556</v>
      </c>
      <c r="I20" s="58">
        <f>'[7]PAGE 4'!$N$39+'[7]PAGE 4'!$N$40</f>
        <v>559018</v>
      </c>
      <c r="J20" s="57">
        <f>'[8]PAGE 4'!$D$39+'[8]PAGE 4'!$D$40</f>
        <v>23737</v>
      </c>
      <c r="K20" s="58">
        <f>'[8]PAGE 4'!$N$39+'[8]PAGE 4'!$N$40</f>
        <v>352997</v>
      </c>
      <c r="L20" s="57"/>
      <c r="M20" s="58"/>
      <c r="N20" s="57">
        <f>'[9]Page 6'!$E$24+'[9]Page 6'!$E$31+'[9]Page 6'!$E$32+'[9]Page 6'!$E$25</f>
        <v>65180</v>
      </c>
      <c r="O20" s="58">
        <f>'[9]Page 6'!$O$24+'[9]Page 6'!$O$31+'[9]Page 6'!$O$32+'[9]Page 6'!$O$25</f>
        <v>733697</v>
      </c>
      <c r="P20" s="57">
        <f>'[2]PAGE 5'!$AM18</f>
        <v>35448</v>
      </c>
      <c r="Q20" s="58">
        <f>'[2]PAGE 5'!$AW18</f>
        <v>504882</v>
      </c>
      <c r="R20" s="57">
        <f>[3]P5!$AN$35</f>
        <v>25923</v>
      </c>
      <c r="S20" s="58">
        <f>[3]P5!$AV$35</f>
        <v>384181</v>
      </c>
      <c r="T20" s="57">
        <f>[13]P5!$AN$35</f>
        <v>15083</v>
      </c>
      <c r="U20" s="58">
        <f>[13]P5!$AV$35</f>
        <v>222444</v>
      </c>
      <c r="V20" s="57">
        <f>SUM('[10]PAGE 5'!$E$29:$F$29,'[10]PAGE 5'!$E$34:$F$34)</f>
        <v>12144</v>
      </c>
      <c r="W20" s="58">
        <f>SUM('[10]PAGE 5'!$S$29:$T$29,'[10]PAGE 5'!$S$34:$T$34)</f>
        <v>101536</v>
      </c>
      <c r="X20" s="57">
        <f>'[11]Page 6'!$E$24+'[11]Page 6'!$E$31+'[11]Page 6'!$E$32+'[11]Page 6'!$E$25</f>
        <v>0</v>
      </c>
      <c r="Y20" s="58">
        <f>'[11]Page 6'!$O$24+'[11]Page 6'!$O$31+'[11]Page 6'!$O$32+'[11]Page 6'!$O$25</f>
        <v>0</v>
      </c>
      <c r="Z20" s="57">
        <f>'[12]Page 6'!$E$24+'[12]Page 6'!$E$31+'[12]Page 6'!$E$32+'[12]Page 6'!$E$25</f>
        <v>15285</v>
      </c>
      <c r="AA20" s="58">
        <f>'[12]Page 6'!$O$24+'[12]Page 6'!$O$31+'[12]Page 6'!$O$32+'[12]Page 6'!$O$25</f>
        <v>92332</v>
      </c>
      <c r="AB20" s="57">
        <f t="shared" si="0"/>
        <v>383693</v>
      </c>
      <c r="AC20" s="58">
        <f t="shared" si="1"/>
        <v>4901165</v>
      </c>
    </row>
    <row r="21" spans="1:29">
      <c r="A21" s="4" t="s">
        <v>241</v>
      </c>
      <c r="B21" s="61">
        <f t="shared" ref="B21:C21" si="2">B6+B9+B12+B15+B18</f>
        <v>2873</v>
      </c>
      <c r="C21" s="62">
        <f t="shared" si="2"/>
        <v>32329</v>
      </c>
      <c r="D21" s="61">
        <f t="shared" ref="D21:E21" si="3">D6+D9+D12+D15+D18</f>
        <v>2532</v>
      </c>
      <c r="E21" s="62">
        <f t="shared" si="3"/>
        <v>28161</v>
      </c>
      <c r="F21" s="61">
        <f t="shared" ref="F21:G21" si="4">F6+F9+F12+F15+F18</f>
        <v>3476</v>
      </c>
      <c r="G21" s="62">
        <f t="shared" si="4"/>
        <v>42299</v>
      </c>
      <c r="H21" s="61">
        <f t="shared" ref="H21:K21" si="5">H6+H9+H12+H15+H18</f>
        <v>1730</v>
      </c>
      <c r="I21" s="62">
        <f t="shared" si="5"/>
        <v>24931</v>
      </c>
      <c r="J21" s="61">
        <f t="shared" si="5"/>
        <v>1429</v>
      </c>
      <c r="K21" s="62">
        <f t="shared" si="5"/>
        <v>17066</v>
      </c>
      <c r="L21" s="61"/>
      <c r="M21" s="62"/>
      <c r="N21" s="61">
        <f t="shared" ref="N21:Q21" si="6">N6+N9+N12+N15+N18</f>
        <v>2478</v>
      </c>
      <c r="O21" s="62">
        <f t="shared" si="6"/>
        <v>29008</v>
      </c>
      <c r="P21" s="61">
        <f t="shared" si="6"/>
        <v>1397</v>
      </c>
      <c r="Q21" s="62">
        <f t="shared" si="6"/>
        <v>16917</v>
      </c>
      <c r="R21" s="61">
        <f t="shared" ref="R21:AA21" si="7">R6+R9+R12+R15+R18</f>
        <v>1138</v>
      </c>
      <c r="S21" s="62">
        <f t="shared" si="7"/>
        <v>14877</v>
      </c>
      <c r="T21" s="61">
        <f t="shared" si="7"/>
        <v>284</v>
      </c>
      <c r="U21" s="62">
        <f t="shared" si="7"/>
        <v>3730</v>
      </c>
      <c r="V21" s="61">
        <f t="shared" si="7"/>
        <v>708</v>
      </c>
      <c r="W21" s="62">
        <f t="shared" si="7"/>
        <v>5177</v>
      </c>
      <c r="X21" s="61">
        <f t="shared" si="7"/>
        <v>0</v>
      </c>
      <c r="Y21" s="62">
        <f t="shared" si="7"/>
        <v>0</v>
      </c>
      <c r="Z21" s="61">
        <f t="shared" si="7"/>
        <v>1073</v>
      </c>
      <c r="AA21" s="62">
        <f t="shared" si="7"/>
        <v>4627</v>
      </c>
      <c r="AB21" s="61">
        <f t="shared" si="0"/>
        <v>19118</v>
      </c>
      <c r="AC21" s="62">
        <f t="shared" si="1"/>
        <v>219122</v>
      </c>
    </row>
    <row r="22" spans="1:29">
      <c r="A22" s="4" t="s">
        <v>235</v>
      </c>
      <c r="B22" s="52">
        <f t="shared" ref="B22:C22" si="8">SUM(B7+B10+B13+B16+B19)</f>
        <v>222131</v>
      </c>
      <c r="C22" s="54">
        <f t="shared" si="8"/>
        <v>2554232</v>
      </c>
      <c r="D22" s="52">
        <f t="shared" ref="D22:E22" si="9">SUM(D7+D10+D13+D16+D19)</f>
        <v>300813</v>
      </c>
      <c r="E22" s="54">
        <f t="shared" si="9"/>
        <v>3347722</v>
      </c>
      <c r="F22" s="52">
        <f t="shared" ref="F22:G22" si="10">SUM(F7+F10+F13+F16+F19)</f>
        <v>314370</v>
      </c>
      <c r="G22" s="54">
        <f t="shared" si="10"/>
        <v>3740331</v>
      </c>
      <c r="H22" s="52">
        <f t="shared" ref="H22:K22" si="11">SUM(H7+H10+H13+H16+H19)</f>
        <v>173799</v>
      </c>
      <c r="I22" s="54">
        <f t="shared" si="11"/>
        <v>2354042</v>
      </c>
      <c r="J22" s="52">
        <f t="shared" si="11"/>
        <v>131567</v>
      </c>
      <c r="K22" s="54">
        <f t="shared" si="11"/>
        <v>1545819</v>
      </c>
      <c r="L22" s="52"/>
      <c r="M22" s="54"/>
      <c r="N22" s="52">
        <f t="shared" ref="N22:Q22" si="12">SUM(N7+N10+N13+N16+N19)</f>
        <v>274619</v>
      </c>
      <c r="O22" s="54">
        <f t="shared" si="12"/>
        <v>3103600</v>
      </c>
      <c r="P22" s="52">
        <f t="shared" si="12"/>
        <v>184736</v>
      </c>
      <c r="Q22" s="54">
        <f t="shared" si="12"/>
        <v>2171342</v>
      </c>
      <c r="R22" s="52">
        <f t="shared" ref="R22:AA22" si="13">SUM(R7+R10+R13+R16+R19)</f>
        <v>165424</v>
      </c>
      <c r="S22" s="54">
        <f t="shared" si="13"/>
        <v>2111845</v>
      </c>
      <c r="T22" s="52">
        <f t="shared" si="13"/>
        <v>30113</v>
      </c>
      <c r="U22" s="54">
        <f t="shared" si="13"/>
        <v>432183</v>
      </c>
      <c r="V22" s="52">
        <f t="shared" si="13"/>
        <v>97590</v>
      </c>
      <c r="W22" s="54">
        <f t="shared" si="13"/>
        <v>706121</v>
      </c>
      <c r="X22" s="52">
        <f t="shared" si="13"/>
        <v>0</v>
      </c>
      <c r="Y22" s="54">
        <f t="shared" si="13"/>
        <v>0</v>
      </c>
      <c r="Z22" s="52">
        <f t="shared" si="13"/>
        <v>110357</v>
      </c>
      <c r="AA22" s="54">
        <f t="shared" si="13"/>
        <v>463859</v>
      </c>
      <c r="AB22" s="52">
        <f t="shared" si="0"/>
        <v>2005519</v>
      </c>
      <c r="AC22" s="54">
        <f t="shared" si="1"/>
        <v>22531096</v>
      </c>
    </row>
    <row r="23" spans="1:29" s="1" customFormat="1">
      <c r="A23" s="3" t="s">
        <v>236</v>
      </c>
      <c r="B23" s="57">
        <f>INDEX([4]Page6!$B:$CY,MATCH(4560,[4]Page6!$AS:$AS,0),10)</f>
        <v>16336</v>
      </c>
      <c r="C23" s="58">
        <f>INDEX([4]Page6!$B:$CY,MATCH(4560,[4]Page6!$AS:$AS,0),68)</f>
        <v>230918</v>
      </c>
      <c r="D23" s="57">
        <f>INDEX([5]Page6!$B:$CY,MATCH(4560,[5]Page6!$AS:$AS,0),10)</f>
        <v>22594</v>
      </c>
      <c r="E23" s="58">
        <f>INDEX([5]Page6!$B:$CY,MATCH(4560,[5]Page6!$AS:$AS,0),68)</f>
        <v>291103</v>
      </c>
      <c r="F23" s="57">
        <f>INDEX([6]Page6!$B:$CY,MATCH(4560,[6]Page6!$AS:$AS,0),10)</f>
        <v>48455</v>
      </c>
      <c r="G23" s="58">
        <f>INDEX([6]Page6!$B:$CY,MATCH(4560,[6]Page6!$AS:$AS,0),68)</f>
        <v>602668</v>
      </c>
      <c r="H23" s="57">
        <f>'[7]PAGE 4'!$C$44</f>
        <v>3012</v>
      </c>
      <c r="I23" s="58">
        <f>'[7]PAGE 4'!$M$44</f>
        <v>448079</v>
      </c>
      <c r="J23" s="57">
        <f>'[8]PAGE 4'!$C$44</f>
        <v>1727</v>
      </c>
      <c r="K23" s="58">
        <f>'[8]PAGE 4'!$M$44</f>
        <v>414609</v>
      </c>
      <c r="L23" s="57"/>
      <c r="M23" s="58"/>
      <c r="N23" s="57">
        <f>'[9]Page 6'!$C$38</f>
        <v>15546</v>
      </c>
      <c r="O23" s="58">
        <f>'[9]Page 6'!$M$38</f>
        <v>238925</v>
      </c>
      <c r="P23" s="57">
        <f>'[2]PAGE 5'!$AM$20</f>
        <v>24083</v>
      </c>
      <c r="Q23" s="58">
        <f>'[2]PAGE 5'!$AW$20</f>
        <v>176205</v>
      </c>
      <c r="R23" s="57">
        <f>[3]P5!$AN$39</f>
        <v>5811</v>
      </c>
      <c r="S23" s="58">
        <f>[3]P5!$AV$39</f>
        <v>84305</v>
      </c>
      <c r="T23" s="57">
        <f>[13]P5!$AN$39</f>
        <v>1179</v>
      </c>
      <c r="U23" s="58">
        <f>[13]P5!$AV$39</f>
        <v>17678</v>
      </c>
      <c r="V23" s="57">
        <f>SUM('[10]PAGE 5'!$C$36:$D$36)</f>
        <v>7568</v>
      </c>
      <c r="W23" s="58">
        <f>SUM('[10]PAGE 5'!$Q$36:$R$36)</f>
        <v>52080</v>
      </c>
      <c r="X23" s="57">
        <f>'[11]Page 6'!$C$38</f>
        <v>0</v>
      </c>
      <c r="Y23" s="58">
        <f>'[11]Page 6'!$M$38</f>
        <v>0</v>
      </c>
      <c r="Z23" s="57">
        <f>'[12]Page 6'!$C$38</f>
        <v>8704</v>
      </c>
      <c r="AA23" s="58">
        <f>'[12]Page 6'!$M$38</f>
        <v>21791</v>
      </c>
      <c r="AB23" s="57">
        <f t="shared" si="0"/>
        <v>155015</v>
      </c>
      <c r="AC23" s="58">
        <f t="shared" si="1"/>
        <v>2578361</v>
      </c>
    </row>
    <row r="24" spans="1:29" s="1" customFormat="1" ht="15" customHeight="1">
      <c r="A24" s="3" t="s">
        <v>271</v>
      </c>
      <c r="B24" s="57">
        <f>INDEX([4]Page6!$B:$CY,MATCH(4560,[4]Page6!$AS:$AS,0),23)</f>
        <v>567</v>
      </c>
      <c r="C24" s="58">
        <f>INDEX([4]Page6!$B:$CY,MATCH(4560,[4]Page6!$AS:$AS,0),81)</f>
        <v>17865</v>
      </c>
      <c r="D24" s="57">
        <f>INDEX([5]Page6!$B:$CY,MATCH(4560,[5]Page6!$AS:$AS,0),23)</f>
        <v>2941</v>
      </c>
      <c r="E24" s="58">
        <f>INDEX([5]Page6!$B:$CY,MATCH(4560,[5]Page6!$AS:$AS,0),81)</f>
        <v>45527</v>
      </c>
      <c r="F24" s="57">
        <f>INDEX([6]Page6!$B:$CY,MATCH(4560,[6]Page6!$AS:$AS,0),23)</f>
        <v>7063</v>
      </c>
      <c r="G24" s="58">
        <f>INDEX([6]Page6!$B:$CY,MATCH(4560,[6]Page6!$AS:$AS,0),81)</f>
        <v>82696</v>
      </c>
      <c r="H24" s="57">
        <f>'[7]PAGE 4'!$D$44</f>
        <v>43</v>
      </c>
      <c r="I24" s="58">
        <f>'[7]PAGE 4'!$N$44</f>
        <v>5221</v>
      </c>
      <c r="J24" s="57">
        <f>'[8]PAGE 4'!$D$44</f>
        <v>0</v>
      </c>
      <c r="K24" s="58">
        <f>'[8]PAGE 4'!$N$44</f>
        <v>1612</v>
      </c>
      <c r="L24" s="57"/>
      <c r="M24" s="58"/>
      <c r="N24" s="57">
        <f>'[9]Page 6'!$E$38</f>
        <v>3507</v>
      </c>
      <c r="O24" s="58">
        <f>'[9]Page 6'!$O$38</f>
        <v>38828</v>
      </c>
      <c r="P24" s="57">
        <f>'[2]PAGE 5'!$AM$21</f>
        <v>4934</v>
      </c>
      <c r="Q24" s="58">
        <f>'[2]PAGE 5'!$AW$21</f>
        <v>29297</v>
      </c>
      <c r="R24" s="57">
        <f>[3]P5!$AN$41</f>
        <v>-1583</v>
      </c>
      <c r="S24" s="58">
        <f>[3]P5!$AV$41</f>
        <v>-1595</v>
      </c>
      <c r="T24" s="57">
        <f>[13]P5!$AN$41</f>
        <v>26</v>
      </c>
      <c r="U24" s="58">
        <f>[13]P5!$AV$41</f>
        <v>1135</v>
      </c>
      <c r="V24" s="57">
        <f>SUM('[10]PAGE 5'!$E$36:$F$36)</f>
        <v>149</v>
      </c>
      <c r="W24" s="58">
        <f>SUM('[10]PAGE 5'!$S$36:$T$36)</f>
        <v>3688</v>
      </c>
      <c r="X24" s="57">
        <f>'[11]Page 6'!$E$38</f>
        <v>0</v>
      </c>
      <c r="Y24" s="58">
        <f>'[11]Page 6'!$O$38</f>
        <v>0</v>
      </c>
      <c r="Z24" s="57">
        <f>'[12]Page 6'!$E$38</f>
        <v>1150</v>
      </c>
      <c r="AA24" s="58">
        <f>'[12]Page 6'!$O$38</f>
        <v>2847</v>
      </c>
      <c r="AB24" s="57">
        <f t="shared" si="0"/>
        <v>18797</v>
      </c>
      <c r="AC24" s="58">
        <f t="shared" si="1"/>
        <v>227121</v>
      </c>
    </row>
    <row r="25" spans="1:29" s="1" customFormat="1">
      <c r="A25" s="3" t="s">
        <v>237</v>
      </c>
      <c r="B25" s="57">
        <f>INDEX([4]Page6!$B:$CY,MATCH(4570,[4]Page6!$AS:$AS,0),23)</f>
        <v>0</v>
      </c>
      <c r="C25" s="58">
        <f>INDEX([4]Page6!$B:$CY,MATCH(4570,[4]Page6!$AS:$AS,0),81)</f>
        <v>0</v>
      </c>
      <c r="D25" s="57">
        <f>INDEX([5]Page6!$B:$CY,MATCH(4570,[5]Page6!$AS:$AS,0),23)</f>
        <v>0</v>
      </c>
      <c r="E25" s="58">
        <f>INDEX([5]Page6!$B:$CY,MATCH(4570,[5]Page6!$AS:$AS,0),81)</f>
        <v>0</v>
      </c>
      <c r="F25" s="57">
        <f>INDEX([6]Page6!$B:$CY,MATCH(4570,[6]Page6!$AS:$AS,0),23)</f>
        <v>21662</v>
      </c>
      <c r="G25" s="58">
        <f>INDEX([6]Page6!$B:$CY,MATCH(4570,[6]Page6!$AS:$AS,0),81)</f>
        <v>265155</v>
      </c>
      <c r="H25" s="57"/>
      <c r="I25" s="58"/>
      <c r="J25" s="57"/>
      <c r="K25" s="58"/>
      <c r="L25" s="57"/>
      <c r="M25" s="58"/>
      <c r="N25" s="57">
        <f>'[9]Page 6'!$C$36</f>
        <v>0</v>
      </c>
      <c r="O25" s="58">
        <f>'[9]Page 6'!$M$36</f>
        <v>0</v>
      </c>
      <c r="P25" s="57"/>
      <c r="Q25" s="58"/>
      <c r="R25" s="57"/>
      <c r="S25" s="58"/>
      <c r="T25" s="57"/>
      <c r="U25" s="58"/>
      <c r="V25" s="57">
        <f>SUM('[10]PAGE 5'!$E$38:$F$38)</f>
        <v>0</v>
      </c>
      <c r="W25" s="58">
        <f>SUM('[10]PAGE 5'!$S$38:$T$38)</f>
        <v>0</v>
      </c>
      <c r="X25" s="57">
        <f>'[11]Page 6'!$C$36</f>
        <v>0</v>
      </c>
      <c r="Y25" s="58">
        <f>'[11]Page 6'!$M$36</f>
        <v>0</v>
      </c>
      <c r="Z25" s="57">
        <f>'[12]Page 6'!$C$36</f>
        <v>0</v>
      </c>
      <c r="AA25" s="58">
        <f>'[12]Page 6'!$M$36</f>
        <v>0</v>
      </c>
      <c r="AB25" s="57">
        <f t="shared" si="0"/>
        <v>21662</v>
      </c>
      <c r="AC25" s="58">
        <f t="shared" si="1"/>
        <v>265155</v>
      </c>
    </row>
    <row r="26" spans="1:29">
      <c r="A26" s="11" t="s">
        <v>239</v>
      </c>
      <c r="B26" s="59">
        <f t="shared" ref="B26:C26" si="14">SUM(B22+B23+B25)</f>
        <v>238467</v>
      </c>
      <c r="C26" s="60">
        <f t="shared" si="14"/>
        <v>2785150</v>
      </c>
      <c r="D26" s="59">
        <f t="shared" ref="D26:G26" si="15">SUM(D22+D23+D25)</f>
        <v>323407</v>
      </c>
      <c r="E26" s="60">
        <f t="shared" si="15"/>
        <v>3638825</v>
      </c>
      <c r="F26" s="59">
        <f t="shared" si="15"/>
        <v>384487</v>
      </c>
      <c r="G26" s="60">
        <f t="shared" si="15"/>
        <v>4608154</v>
      </c>
      <c r="H26" s="59">
        <f t="shared" ref="H26:Q26" si="16">SUM(H22+H23+H25)</f>
        <v>176811</v>
      </c>
      <c r="I26" s="60">
        <f t="shared" si="16"/>
        <v>2802121</v>
      </c>
      <c r="J26" s="59">
        <f>SUM(J22+J23+J25)</f>
        <v>133294</v>
      </c>
      <c r="K26" s="60">
        <f>SUM(K22+K23+K25)</f>
        <v>1960428</v>
      </c>
      <c r="L26" s="59"/>
      <c r="M26" s="60"/>
      <c r="N26" s="59">
        <f t="shared" si="16"/>
        <v>290165</v>
      </c>
      <c r="O26" s="60">
        <f t="shared" si="16"/>
        <v>3342525</v>
      </c>
      <c r="P26" s="59">
        <f t="shared" si="16"/>
        <v>208819</v>
      </c>
      <c r="Q26" s="60">
        <f t="shared" si="16"/>
        <v>2347547</v>
      </c>
      <c r="R26" s="59">
        <f t="shared" ref="R26:AA26" si="17">SUM(R22+R23+R25)</f>
        <v>171235</v>
      </c>
      <c r="S26" s="60">
        <f t="shared" si="17"/>
        <v>2196150</v>
      </c>
      <c r="T26" s="59">
        <f t="shared" si="17"/>
        <v>31292</v>
      </c>
      <c r="U26" s="60">
        <f t="shared" si="17"/>
        <v>449861</v>
      </c>
      <c r="V26" s="59">
        <f t="shared" si="17"/>
        <v>105158</v>
      </c>
      <c r="W26" s="60">
        <f t="shared" si="17"/>
        <v>758201</v>
      </c>
      <c r="X26" s="59">
        <f t="shared" si="17"/>
        <v>0</v>
      </c>
      <c r="Y26" s="60">
        <f t="shared" si="17"/>
        <v>0</v>
      </c>
      <c r="Z26" s="59">
        <f t="shared" si="17"/>
        <v>119061</v>
      </c>
      <c r="AA26" s="60">
        <f t="shared" si="17"/>
        <v>485650</v>
      </c>
      <c r="AB26" s="59">
        <f t="shared" si="0"/>
        <v>2182196</v>
      </c>
      <c r="AC26" s="60">
        <f t="shared" si="1"/>
        <v>25374612</v>
      </c>
    </row>
    <row r="27" spans="1:29">
      <c r="A27" s="4"/>
      <c r="B27" s="22"/>
      <c r="C27" s="23"/>
      <c r="D27" s="22"/>
      <c r="E27" s="23"/>
      <c r="F27" s="22"/>
      <c r="G27" s="23"/>
      <c r="H27" s="22"/>
      <c r="I27" s="23"/>
      <c r="J27" s="22"/>
      <c r="K27" s="23"/>
      <c r="L27" s="22"/>
      <c r="M27" s="23"/>
      <c r="N27" s="22"/>
      <c r="O27" s="23"/>
      <c r="P27" s="22"/>
      <c r="Q27" s="23"/>
      <c r="R27" s="22"/>
      <c r="S27" s="23"/>
      <c r="T27" s="22"/>
      <c r="U27" s="23"/>
      <c r="V27" s="22"/>
      <c r="W27" s="23"/>
      <c r="X27" s="22"/>
      <c r="Y27" s="23"/>
      <c r="Z27" s="22"/>
      <c r="AA27" s="23"/>
      <c r="AB27" s="22">
        <f t="shared" si="0"/>
        <v>0</v>
      </c>
      <c r="AC27" s="23">
        <f t="shared" si="1"/>
        <v>0</v>
      </c>
    </row>
    <row r="28" spans="1:29">
      <c r="A28" s="4" t="s">
        <v>238</v>
      </c>
      <c r="B28" s="24">
        <f>INDEX([4]Page6!$B:$CY,MATCH(6590,[4]Page6!$AS:$AS,0),23)</f>
        <v>-20774</v>
      </c>
      <c r="C28" s="25">
        <f>INDEX([4]Page6!$B:$CY,MATCH(6590,[4]Page6!$AS:$AS,0),81)</f>
        <v>-164219</v>
      </c>
      <c r="D28" s="24">
        <f>INDEX([5]Page6!$B:$CY,MATCH(6590,[5]Page6!$AS:$AS,0),23)</f>
        <v>-20446</v>
      </c>
      <c r="E28" s="25">
        <f>INDEX([5]Page6!$B:$CY,MATCH(6590,[5]Page6!$AS:$AS,0),81)</f>
        <v>-222869</v>
      </c>
      <c r="F28" s="24">
        <f>INDEX([6]Page6!$B:$CY,MATCH(6590,[6]Page6!$AS:$AS,0),23)</f>
        <v>-33507</v>
      </c>
      <c r="G28" s="25">
        <f>INDEX([6]Page6!$B:$CY,MATCH(6590,[6]Page6!$AS:$AS,0),81)</f>
        <v>-237712</v>
      </c>
      <c r="H28" s="24">
        <f>'[7]PAGE 4'!$D$45</f>
        <v>-9008</v>
      </c>
      <c r="I28" s="25">
        <f>'[7]PAGE 4'!$N$45</f>
        <v>-62122</v>
      </c>
      <c r="J28" s="24">
        <f>'[8]PAGE 4'!$D$45</f>
        <v>-5581</v>
      </c>
      <c r="K28" s="25">
        <f>'[8]PAGE 4'!$N$45</f>
        <v>-50718</v>
      </c>
      <c r="L28" s="24"/>
      <c r="M28" s="25"/>
      <c r="N28" s="24">
        <f>'[9]Page 6'!$E$37</f>
        <v>-8303</v>
      </c>
      <c r="O28" s="25">
        <f>'[9]Page 6'!$O$37</f>
        <v>-97834</v>
      </c>
      <c r="P28" s="24"/>
      <c r="Q28" s="25"/>
      <c r="R28" s="24">
        <f>[3]P5!$AN$37</f>
        <v>-9453</v>
      </c>
      <c r="S28" s="25">
        <f>[3]P5!$AV$37</f>
        <v>-97501</v>
      </c>
      <c r="T28" s="24">
        <f>[13]P5!$AN$37</f>
        <v>-8289</v>
      </c>
      <c r="U28" s="25">
        <f>[13]P5!$AV$37</f>
        <v>-66256</v>
      </c>
      <c r="V28" s="24">
        <f>SUM('[10]PAGE 5'!$E$37:$F$37)</f>
        <v>-1819</v>
      </c>
      <c r="W28" s="25">
        <f>SUM('[10]PAGE 5'!$S$37:$T$37)</f>
        <v>-715</v>
      </c>
      <c r="X28" s="24">
        <f>'[11]Page 6'!$E$37</f>
        <v>0</v>
      </c>
      <c r="Y28" s="25">
        <f>'[11]Page 6'!$O$37</f>
        <v>0</v>
      </c>
      <c r="Z28" s="24">
        <f>'[12]Page 6'!$E$37</f>
        <v>0</v>
      </c>
      <c r="AA28" s="25">
        <f>'[12]Page 6'!$O$37</f>
        <v>0</v>
      </c>
      <c r="AB28" s="24">
        <f t="shared" si="0"/>
        <v>-117180</v>
      </c>
      <c r="AC28" s="25">
        <f t="shared" si="1"/>
        <v>-999946</v>
      </c>
    </row>
    <row r="29" spans="1:29">
      <c r="A29" s="4" t="s">
        <v>227</v>
      </c>
      <c r="B29" s="24">
        <f>INDEX('[4]Page 3'!$B:$DP,MATCH("8075",'[4]Page 3'!$R:$R,0),18)+INDEX('[4]Page 3'!$B:$DP,MATCH("8070",'[4]Page 3'!$R:$R,0),18)</f>
        <v>23000</v>
      </c>
      <c r="C29" s="25">
        <f>INDEX('[4]Page 3'!$B:$DP,MATCH("8075",'[4]Page 3'!$R:$R,0),34)+INDEX('[4]Page 3'!$B:$DP,MATCH("8070",'[4]Page 3'!$R:$R,0),34)</f>
        <v>129436</v>
      </c>
      <c r="D29" s="24">
        <f>INDEX('[5]Page 3'!$B:$DP,MATCH("8075",'[5]Page 3'!$R:$R,0),18)+INDEX('[5]Page 3'!$B:$DP,MATCH("8070",'[5]Page 3'!$R:$R,0),18)</f>
        <v>0</v>
      </c>
      <c r="E29" s="25">
        <f>INDEX('[5]Page 3'!$B:$DP,MATCH("8075",'[5]Page 3'!$R:$R,0),34)+INDEX('[5]Page 3'!$B:$DP,MATCH("8070",'[5]Page 3'!$R:$R,0),34)</f>
        <v>68988</v>
      </c>
      <c r="F29" s="24">
        <f>INDEX('[6]Page 3'!$B:$DP,MATCH("8075",'[6]Page 3'!$R:$R,0),18)+INDEX('[6]Page 3'!$B:$DP,MATCH("8070",'[6]Page 3'!$R:$R,0),18)</f>
        <v>5760</v>
      </c>
      <c r="G29" s="25">
        <f>INDEX('[6]Page 3'!$B:$DP,MATCH("8075",'[6]Page 3'!$R:$R,0),34)+INDEX('[6]Page 3'!$B:$DP,MATCH("8070",'[6]Page 3'!$R:$R,0),34)</f>
        <v>219909</v>
      </c>
      <c r="H29" s="24">
        <f>IFERROR(VLOOKUP("Service Contracts",'[7]PAGE 3'!$B:$P,12,FALSE),"")</f>
        <v>0</v>
      </c>
      <c r="I29" s="25">
        <f>IFERROR(VLOOKUP("Service Contracts",'[7]PAGE 3'!$B:$P,14,FALSE),"")</f>
        <v>0</v>
      </c>
      <c r="J29" s="24">
        <f>IFERROR(VLOOKUP("Service Contracts",'[8]PAGE 3'!$B:$P,12,FALSE),"")</f>
        <v>0</v>
      </c>
      <c r="K29" s="25">
        <f>IFERROR(VLOOKUP("Service Contracts",'[8]PAGE 3'!$B:$P,14,FALSE),"")</f>
        <v>0</v>
      </c>
      <c r="L29" s="24"/>
      <c r="M29" s="25"/>
      <c r="N29" s="24"/>
      <c r="O29" s="25"/>
      <c r="P29" s="24"/>
      <c r="Q29" s="25"/>
      <c r="R29" s="24"/>
      <c r="S29" s="25"/>
      <c r="T29" s="24"/>
      <c r="U29" s="25"/>
      <c r="V29" s="24"/>
      <c r="W29" s="25"/>
      <c r="X29" s="24"/>
      <c r="Y29" s="25"/>
      <c r="Z29" s="24"/>
      <c r="AA29" s="25"/>
      <c r="AB29" s="24">
        <f t="shared" si="0"/>
        <v>28760</v>
      </c>
      <c r="AC29" s="25">
        <f t="shared" si="1"/>
        <v>418333</v>
      </c>
    </row>
    <row r="30" spans="1:29">
      <c r="B30" s="18"/>
      <c r="C30" s="19"/>
      <c r="D30" s="18"/>
      <c r="E30" s="19"/>
      <c r="F30" s="18"/>
      <c r="G30" s="19"/>
      <c r="H30" s="18"/>
      <c r="I30" s="19"/>
      <c r="J30" s="18"/>
      <c r="K30" s="19"/>
      <c r="L30" s="18"/>
      <c r="M30" s="19"/>
      <c r="N30" s="18"/>
      <c r="O30" s="19"/>
      <c r="P30" s="18"/>
      <c r="Q30" s="19"/>
      <c r="R30" s="18"/>
      <c r="S30" s="19"/>
      <c r="T30" s="18"/>
      <c r="U30" s="128"/>
      <c r="V30" s="18"/>
      <c r="W30" s="128"/>
      <c r="X30" s="18"/>
      <c r="Y30" s="19"/>
      <c r="Z30" s="18"/>
      <c r="AA30" s="19"/>
      <c r="AB30" s="18">
        <f t="shared" si="0"/>
        <v>0</v>
      </c>
      <c r="AC30" s="128">
        <f t="shared" si="1"/>
        <v>0</v>
      </c>
    </row>
    <row r="31" spans="1:29">
      <c r="A31" s="12" t="s">
        <v>1</v>
      </c>
      <c r="B31" s="20">
        <f>[4]Page6!$X$21+B29</f>
        <v>173972</v>
      </c>
      <c r="C31" s="21">
        <f>[4]Page6!$CD$21+C29</f>
        <v>1946574</v>
      </c>
      <c r="D31" s="20">
        <f>[5]Page6!$X$21+D29</f>
        <v>159040</v>
      </c>
      <c r="E31" s="21">
        <f>[5]Page6!$CD$21+E29</f>
        <v>2166422</v>
      </c>
      <c r="F31" s="20">
        <f>[6]Page6!$X$21+F29</f>
        <v>213963</v>
      </c>
      <c r="G31" s="21">
        <f>[6]Page6!$CD$21+G29</f>
        <v>3092638</v>
      </c>
      <c r="H31" s="20">
        <f>'[7]PAGE 4'!$D$46</f>
        <v>130294</v>
      </c>
      <c r="I31" s="21">
        <f>'[7]PAGE 4'!$N$46</f>
        <v>1807451</v>
      </c>
      <c r="J31" s="20">
        <f>'[8]PAGE 4'!$D$46</f>
        <v>97560</v>
      </c>
      <c r="K31" s="21">
        <f>'[8]PAGE 4'!$N$46</f>
        <v>1157654</v>
      </c>
      <c r="L31" s="20"/>
      <c r="M31" s="21"/>
      <c r="N31" s="20">
        <f>'[9]Page 6'!$E$40</f>
        <v>210103</v>
      </c>
      <c r="O31" s="21">
        <f>'[9]Page 6'!$O$40</f>
        <v>2387377</v>
      </c>
      <c r="P31" s="20">
        <f>'[2]PAGE 5'!$AM$47</f>
        <v>131022</v>
      </c>
      <c r="Q31" s="21">
        <f>'[2]PAGE 5'!$AW$47</f>
        <v>1555566</v>
      </c>
      <c r="R31" s="20">
        <f t="shared" ref="R31:W31" si="18">R8+R11+R14+R17+R20+R24+R28+R29</f>
        <v>101400</v>
      </c>
      <c r="S31" s="21">
        <f t="shared" si="18"/>
        <v>1444869</v>
      </c>
      <c r="T31" s="20">
        <f t="shared" si="18"/>
        <v>15806</v>
      </c>
      <c r="U31" s="21">
        <f t="shared" si="18"/>
        <v>283148</v>
      </c>
      <c r="V31" s="20">
        <f t="shared" si="18"/>
        <v>67918</v>
      </c>
      <c r="W31" s="21">
        <f t="shared" si="18"/>
        <v>511087</v>
      </c>
      <c r="X31" s="20">
        <f>'[11]Page 6'!$E$40</f>
        <v>0</v>
      </c>
      <c r="Y31" s="21">
        <f>'[11]Page 6'!$O$40</f>
        <v>0</v>
      </c>
      <c r="Z31" s="20">
        <f>'[12]Page 6'!$E$40</f>
        <v>85204</v>
      </c>
      <c r="AA31" s="21">
        <f>'[12]Page 6'!$O$40</f>
        <v>360174</v>
      </c>
      <c r="AB31" s="20">
        <f t="shared" si="0"/>
        <v>1386282</v>
      </c>
      <c r="AC31" s="21">
        <f t="shared" si="1"/>
        <v>16712960</v>
      </c>
    </row>
    <row r="32" spans="1:29">
      <c r="B32" s="47"/>
      <c r="C32" s="13"/>
      <c r="D32" s="47"/>
      <c r="E32" s="13"/>
      <c r="F32" s="47"/>
      <c r="G32" s="13"/>
      <c r="H32" s="47"/>
      <c r="I32" s="13"/>
      <c r="J32" s="47"/>
      <c r="K32" s="13"/>
      <c r="L32" s="47"/>
      <c r="M32" s="13"/>
      <c r="N32" s="47"/>
      <c r="O32" s="13"/>
      <c r="P32" s="47"/>
      <c r="Q32" s="13"/>
      <c r="R32" s="47"/>
      <c r="S32" s="13"/>
      <c r="T32" s="47"/>
      <c r="U32" s="13"/>
      <c r="V32" s="47"/>
      <c r="W32" s="13"/>
      <c r="X32" s="47"/>
      <c r="Y32" s="13"/>
      <c r="Z32" s="47"/>
      <c r="AA32" s="13"/>
      <c r="AB32" s="47">
        <f t="shared" si="0"/>
        <v>0</v>
      </c>
      <c r="AC32" s="13">
        <f t="shared" si="1"/>
        <v>0</v>
      </c>
    </row>
    <row r="33" spans="1:29">
      <c r="A33" s="5" t="s">
        <v>4</v>
      </c>
      <c r="B33" s="47">
        <f>INDEX('[4]Page 3'!$B:$DP,MATCH("0100",'[4]Page 3'!$R:$R,0),18)</f>
        <v>24587</v>
      </c>
      <c r="C33" s="13">
        <f>INDEX('[4]Page 3'!$B:$DP,MATCH("0100",'[4]Page 3'!$R:$R,0),34)</f>
        <v>283556</v>
      </c>
      <c r="D33" s="47">
        <f>INDEX('[5]Page 3'!$B:$DP,MATCH("0100",'[5]Page 3'!$R:$R,0),18)</f>
        <v>29237</v>
      </c>
      <c r="E33" s="13">
        <f>INDEX('[5]Page 3'!$B:$DP,MATCH("0100",'[5]Page 3'!$R:$R,0),34)</f>
        <v>349742</v>
      </c>
      <c r="F33" s="47">
        <f>INDEX('[6]Page 3'!$B:$DP,MATCH("0100",'[6]Page 3'!$R:$R,0),18)</f>
        <v>46674</v>
      </c>
      <c r="G33" s="13">
        <f>INDEX('[6]Page 3'!$B:$DP,MATCH("0100",'[6]Page 3'!$R:$R,0),34)</f>
        <v>414101</v>
      </c>
      <c r="H33" s="47">
        <f>IFERROR(VLOOKUP("Compensation  F &amp; I / Service Contracts",'[7]PAGE 3'!$B:$P,12,FALSE),0)</f>
        <v>0</v>
      </c>
      <c r="I33" s="13">
        <f>IFERROR(VLOOKUP("Compensation  F &amp; I / Service Contracts",'[7]PAGE 3'!$B:$P,14,FALSE),0)</f>
        <v>0</v>
      </c>
      <c r="J33" s="47">
        <f>IFERROR(VLOOKUP("Compensation  F &amp; I / Service Contracts",'[8]PAGE 3'!$B:$P,12,FALSE),0)</f>
        <v>0</v>
      </c>
      <c r="K33" s="13">
        <f>IFERROR(VLOOKUP("Compensation  F &amp; I / Service Contracts",'[8]PAGE 3'!$B:$P,14,FALSE),0)</f>
        <v>0</v>
      </c>
      <c r="L33" s="47"/>
      <c r="M33" s="13"/>
      <c r="N33" s="47">
        <f>IFERROR(VLOOKUP("Sales Compensation                                  ",'[9]PAGE 3'!$B:$S,6,FALSE),0)</f>
        <v>36153</v>
      </c>
      <c r="O33" s="13">
        <f>IFERROR(VLOOKUP("Sales Compensation                                  ",'[9]PAGE 3'!$B:$S,8,FALSE),0)</f>
        <v>403580</v>
      </c>
      <c r="P33" s="47">
        <f>'[2]PAGE 5'!$AL$51</f>
        <v>12643</v>
      </c>
      <c r="Q33" s="13">
        <f>'[2]PAGE 5'!$AW$51</f>
        <v>147983</v>
      </c>
      <c r="R33" s="47">
        <f>SUM([3]P5!$AM$101:$AQ$102)</f>
        <v>0</v>
      </c>
      <c r="S33" s="13">
        <f>SUM([3]P5!$AV$101:$AZ$102)</f>
        <v>0</v>
      </c>
      <c r="T33" s="47">
        <f>IFERROR(VLOOKUP("Sales Comp",#REF!,2,FALSE),0)</f>
        <v>0</v>
      </c>
      <c r="U33" s="13">
        <f>IFERROR(VLOOKUP("Sales Comp",#REF!,10,FALSE),0)</f>
        <v>0</v>
      </c>
      <c r="V33" s="47"/>
      <c r="W33" s="13"/>
      <c r="X33" s="47">
        <f>IFERROR(VLOOKUP("Sales Compensation                                  ",'[11]PAGE 3'!$B:$S,6,FALSE),0)</f>
        <v>0</v>
      </c>
      <c r="Y33" s="13">
        <f>IFERROR(VLOOKUP("Sales Compensation                                  ",'[11]PAGE 3'!$B:$S,8,FALSE),0)</f>
        <v>0</v>
      </c>
      <c r="Z33" s="47">
        <f>IFERROR(VLOOKUP("Sales Compensation                                  ",'[12]PAGE 3'!$B:$S,6,FALSE),0)</f>
        <v>12000</v>
      </c>
      <c r="AA33" s="13">
        <f>IFERROR(VLOOKUP("Sales Compensation                                  ",'[12]PAGE 3'!$B:$S,8,FALSE),0)</f>
        <v>54585</v>
      </c>
      <c r="AB33" s="47">
        <f t="shared" si="0"/>
        <v>161294</v>
      </c>
      <c r="AC33" s="13">
        <f t="shared" si="1"/>
        <v>1653547</v>
      </c>
    </row>
    <row r="34" spans="1:29">
      <c r="A34" s="5" t="s">
        <v>5</v>
      </c>
      <c r="B34" s="47">
        <f>INDEX('[4]Page 3'!$B:$DP,MATCH("0280",'[4]Page 3'!$R:$R,0),18)</f>
        <v>0</v>
      </c>
      <c r="C34" s="13">
        <f>INDEX('[4]Page 3'!$B:$DP,MATCH("0280",'[4]Page 3'!$R:$R,0),34)</f>
        <v>0</v>
      </c>
      <c r="D34" s="47">
        <f>INDEX('[5]Page 3'!$B:$DP,MATCH("0280",'[5]Page 3'!$R:$R,0),18)</f>
        <v>0</v>
      </c>
      <c r="E34" s="13">
        <f>INDEX('[5]Page 3'!$B:$DP,MATCH("0280",'[5]Page 3'!$R:$R,0),34)</f>
        <v>0</v>
      </c>
      <c r="F34" s="47">
        <f>INDEX('[6]Page 3'!$B:$DP,MATCH("0280",'[6]Page 3'!$R:$R,0),18)</f>
        <v>0</v>
      </c>
      <c r="G34" s="13">
        <f>INDEX('[6]Page 3'!$B:$DP,MATCH("0280",'[6]Page 3'!$R:$R,0),34)</f>
        <v>0</v>
      </c>
      <c r="H34" s="47">
        <f>IFERROR(VLOOKUP("",'[7]PAGE 3'!$B:$P,12,FALSE),0)</f>
        <v>0</v>
      </c>
      <c r="I34" s="13">
        <f>IFERROR(VLOOKUP("",'[7]PAGE 3'!$B:$P,14,FALSE),0)</f>
        <v>0</v>
      </c>
      <c r="J34" s="47">
        <f>IFERROR(VLOOKUP("",'[8]PAGE 3'!$B:$P,12,FALSE),0)</f>
        <v>0</v>
      </c>
      <c r="K34" s="13">
        <f>IFERROR(VLOOKUP("",'[8]PAGE 3'!$B:$P,14,FALSE),0)</f>
        <v>0</v>
      </c>
      <c r="L34" s="47"/>
      <c r="M34" s="13"/>
      <c r="N34" s="47">
        <f>IFERROR(VLOOKUP("",'[9]PAGE 3'!$B:$S,6,FALSE),0)</f>
        <v>0</v>
      </c>
      <c r="O34" s="13">
        <f>IFERROR(VLOOKUP("",'[9]PAGE 3'!$B:$S,8,FALSE),0)</f>
        <v>0</v>
      </c>
      <c r="P34" s="47"/>
      <c r="Q34" s="13"/>
      <c r="R34" s="1"/>
      <c r="S34" s="1"/>
      <c r="T34" s="47"/>
      <c r="U34" s="13"/>
      <c r="V34" s="47"/>
      <c r="W34" s="13"/>
      <c r="X34" s="47">
        <f>IFERROR(VLOOKUP("",'[11]PAGE 3'!$B:$S,6,FALSE),0)</f>
        <v>0</v>
      </c>
      <c r="Y34" s="13">
        <f>IFERROR(VLOOKUP("",'[11]PAGE 3'!$B:$S,8,FALSE),0)</f>
        <v>0</v>
      </c>
      <c r="Z34" s="47">
        <f>IFERROR(VLOOKUP("",'[12]PAGE 3'!$B:$S,6,FALSE),0)</f>
        <v>0</v>
      </c>
      <c r="AA34" s="13">
        <f>IFERROR(VLOOKUP("",'[12]PAGE 3'!$B:$S,8,FALSE),0)</f>
        <v>0</v>
      </c>
      <c r="AB34" s="47">
        <f t="shared" si="0"/>
        <v>0</v>
      </c>
      <c r="AC34" s="13">
        <f t="shared" si="1"/>
        <v>0</v>
      </c>
    </row>
    <row r="35" spans="1:29">
      <c r="A35" s="5" t="s">
        <v>6</v>
      </c>
      <c r="B35" s="47">
        <f>INDEX('[4]Page 3'!$B:$DP,MATCH("0090",'[4]Page 3'!$R:$R,0),18)</f>
        <v>0</v>
      </c>
      <c r="C35" s="13">
        <f>INDEX('[4]Page 3'!$B:$DP,MATCH("0090",'[4]Page 3'!$R:$R,0),34)</f>
        <v>0</v>
      </c>
      <c r="D35" s="47">
        <f>INDEX('[5]Page 3'!$B:$DP,MATCH("0090",'[5]Page 3'!$R:$R,0),18)</f>
        <v>0</v>
      </c>
      <c r="E35" s="13">
        <f>INDEX('[5]Page 3'!$B:$DP,MATCH("0090",'[5]Page 3'!$R:$R,0),34)</f>
        <v>0</v>
      </c>
      <c r="F35" s="47">
        <f>INDEX('[6]Page 3'!$B:$DP,MATCH("0090",'[6]Page 3'!$R:$R,0),18)</f>
        <v>0</v>
      </c>
      <c r="G35" s="13">
        <f>INDEX('[6]Page 3'!$B:$DP,MATCH("0090",'[6]Page 3'!$R:$R,0),34)</f>
        <v>0</v>
      </c>
      <c r="H35" s="47"/>
      <c r="I35" s="13"/>
      <c r="J35" s="47"/>
      <c r="K35" s="13"/>
      <c r="L35" s="47"/>
      <c r="M35" s="13"/>
      <c r="N35" s="47"/>
      <c r="O35" s="13"/>
      <c r="P35" s="47"/>
      <c r="Q35" s="13"/>
      <c r="R35" s="47"/>
      <c r="S35" s="13"/>
      <c r="T35" s="47"/>
      <c r="U35" s="13"/>
      <c r="V35" s="47"/>
      <c r="W35" s="13"/>
      <c r="X35" s="47"/>
      <c r="Y35" s="13"/>
      <c r="Z35" s="47"/>
      <c r="AA35" s="13"/>
      <c r="AB35" s="47">
        <f t="shared" si="0"/>
        <v>0</v>
      </c>
      <c r="AC35" s="13">
        <f t="shared" si="1"/>
        <v>0</v>
      </c>
    </row>
    <row r="36" spans="1:29">
      <c r="A36" s="5" t="s">
        <v>7</v>
      </c>
      <c r="B36" s="47">
        <f>INDEX('[4]Page 3'!$B:$DP,MATCH("0110",'[4]Page 3'!$R:$R,0),18)</f>
        <v>0</v>
      </c>
      <c r="C36" s="13">
        <f>INDEX('[4]Page 3'!$B:$DP,MATCH("0110",'[4]Page 3'!$R:$R,0),34)</f>
        <v>0</v>
      </c>
      <c r="D36" s="47">
        <f>INDEX('[5]Page 3'!$B:$DP,MATCH("0110",'[5]Page 3'!$R:$R,0),18)</f>
        <v>0</v>
      </c>
      <c r="E36" s="13">
        <f>INDEX('[5]Page 3'!$B:$DP,MATCH("0110",'[5]Page 3'!$R:$R,0),34)</f>
        <v>0</v>
      </c>
      <c r="F36" s="47">
        <f>INDEX('[6]Page 3'!$B:$DP,MATCH("0110",'[6]Page 3'!$R:$R,0),18)</f>
        <v>0</v>
      </c>
      <c r="G36" s="13">
        <f>INDEX('[6]Page 3'!$B:$DP,MATCH("0110",'[6]Page 3'!$R:$R,0),34)</f>
        <v>0</v>
      </c>
      <c r="H36" s="47"/>
      <c r="I36" s="13"/>
      <c r="J36" s="47"/>
      <c r="K36" s="13"/>
      <c r="L36" s="47"/>
      <c r="M36" s="13"/>
      <c r="N36" s="47"/>
      <c r="O36" s="13"/>
      <c r="P36" s="47"/>
      <c r="Q36" s="13"/>
      <c r="R36" s="47"/>
      <c r="S36" s="13"/>
      <c r="T36" s="47"/>
      <c r="U36" s="13"/>
      <c r="V36" s="47"/>
      <c r="W36" s="13"/>
      <c r="X36" s="47"/>
      <c r="Y36" s="13"/>
      <c r="Z36" s="47"/>
      <c r="AA36" s="13"/>
      <c r="AB36" s="47">
        <f t="shared" si="0"/>
        <v>0</v>
      </c>
      <c r="AC36" s="13">
        <f t="shared" si="1"/>
        <v>0</v>
      </c>
    </row>
    <row r="37" spans="1:29">
      <c r="A37" s="5" t="s">
        <v>8</v>
      </c>
      <c r="B37" s="47">
        <f>INDEX('[4]Page 3'!$B:$DP,MATCH("0130",'[4]Page 3'!$R:$R,0),18)</f>
        <v>1367</v>
      </c>
      <c r="C37" s="13">
        <f>INDEX('[4]Page 3'!$B:$DP,MATCH("0130",'[4]Page 3'!$R:$R,0),34)</f>
        <v>19490</v>
      </c>
      <c r="D37" s="47">
        <f>INDEX('[5]Page 3'!$B:$DP,MATCH("0130",'[5]Page 3'!$R:$R,0),18)</f>
        <v>7555</v>
      </c>
      <c r="E37" s="13">
        <f>INDEX('[5]Page 3'!$B:$DP,MATCH("0130",'[5]Page 3'!$R:$R,0),34)</f>
        <v>72277</v>
      </c>
      <c r="F37" s="47">
        <f>INDEX('[6]Page 3'!$B:$DP,MATCH("0130",'[6]Page 3'!$R:$R,0),18)</f>
        <v>2849</v>
      </c>
      <c r="G37" s="13">
        <f>INDEX('[6]Page 3'!$B:$DP,MATCH("0130",'[6]Page 3'!$R:$R,0),34)</f>
        <v>52741</v>
      </c>
      <c r="H37" s="47">
        <f>IFERROR(VLOOKUP("Policy Expense - Serv, Body, P &amp; A",'[7]PAGE 3'!$B:$P,12,FALSE),0)</f>
        <v>7621</v>
      </c>
      <c r="I37" s="13">
        <f>IFERROR(VLOOKUP("Policy Expense - Serv, Body, P &amp; A",'[7]PAGE 3'!$B:$P,14,FALSE),0)</f>
        <v>73556</v>
      </c>
      <c r="J37" s="47">
        <f>IFERROR(VLOOKUP("Policy Expense - Serv, Body, P &amp; A",'[8]PAGE 3'!$B:$P,12,FALSE),0)</f>
        <v>1188</v>
      </c>
      <c r="K37" s="13">
        <f>IFERROR(VLOOKUP("Policy Expense - Serv, Body, P &amp; A",'[8]PAGE 3'!$B:$P,14,FALSE),0)</f>
        <v>17305</v>
      </c>
      <c r="L37" s="47"/>
      <c r="M37" s="13"/>
      <c r="N37" s="47">
        <f>IFERROR(VLOOKUP("Policy &amp; Claims Adjustments",'[9]PAGE 3'!$B:$S,6,FALSE),0)</f>
        <v>2326</v>
      </c>
      <c r="O37" s="13">
        <f>IFERROR(VLOOKUP("Policy &amp; Claims Adjustments",'[9]PAGE 3'!$B:$S,8,FALSE),0)</f>
        <v>79777</v>
      </c>
      <c r="P37" s="47">
        <f>'[2]PAGE 5'!$AL$55</f>
        <v>12756</v>
      </c>
      <c r="Q37" s="13">
        <f>'[2]PAGE 5'!$AW$55</f>
        <v>127967</v>
      </c>
      <c r="R37" s="47">
        <f>SUM([3]P5!$AM$109)</f>
        <v>3393</v>
      </c>
      <c r="S37" s="13">
        <f>SUM([3]P5!$AV$109)</f>
        <v>20133</v>
      </c>
      <c r="T37" s="47">
        <f>SUM([13]P5!$AM$109)</f>
        <v>33</v>
      </c>
      <c r="U37" s="13">
        <f>SUM([13]P5!$AV$109)</f>
        <v>3216</v>
      </c>
      <c r="V37" s="47">
        <f>+INDEX('[10]PAGE 3'!$1:$1048576,MATCH("Policy Work - service, parts &amp; body shop depts",'[10]PAGE 3'!$B:$B,0),10)</f>
        <v>3901</v>
      </c>
      <c r="W37" s="13">
        <f>+INDEX('[10]PAGE 3'!$1:$1048576,MATCH("Policy Work - service, parts &amp; body shop depts",'[10]PAGE 3'!$B:$B,0),12)</f>
        <v>31896</v>
      </c>
      <c r="X37" s="47">
        <f>IFERROR(VLOOKUP("Policy &amp; Claims Adjustments",'[11]PAGE 3'!$B:$S,6,FALSE),0)</f>
        <v>0</v>
      </c>
      <c r="Y37" s="13">
        <f>IFERROR(VLOOKUP("Policy &amp; Claims Adjustments",'[11]PAGE 3'!$B:$S,8,FALSE),0)</f>
        <v>0</v>
      </c>
      <c r="Z37" s="47">
        <f>IFERROR(VLOOKUP("Policy &amp; Claims Adjustments",'[12]PAGE 3'!$B:$S,6,FALSE),0)</f>
        <v>1075</v>
      </c>
      <c r="AA37" s="13">
        <f>IFERROR(VLOOKUP("Policy &amp; Claims Adjustments",'[12]PAGE 3'!$B:$S,8,FALSE),0)</f>
        <v>2223</v>
      </c>
      <c r="AB37" s="47">
        <f t="shared" si="0"/>
        <v>44064</v>
      </c>
      <c r="AC37" s="13">
        <f t="shared" si="1"/>
        <v>500581</v>
      </c>
    </row>
    <row r="38" spans="1:29">
      <c r="A38" s="5" t="s">
        <v>9</v>
      </c>
      <c r="B38" s="47"/>
      <c r="C38" s="13"/>
      <c r="D38" s="47"/>
      <c r="E38" s="13"/>
      <c r="F38" s="47"/>
      <c r="G38" s="13"/>
      <c r="H38" s="47">
        <f>IFERROR(VLOOKUP("",'[7]PAGE 3'!$B:$P,12,FALSE),0)</f>
        <v>0</v>
      </c>
      <c r="I38" s="13">
        <f>IFERROR(VLOOKUP("",'[7]PAGE 3'!$B:$P,14,FALSE),0)</f>
        <v>0</v>
      </c>
      <c r="J38" s="47">
        <f>IFERROR(VLOOKUP("",'[8]PAGE 3'!$B:$P,12,FALSE),0)</f>
        <v>0</v>
      </c>
      <c r="K38" s="13">
        <f>IFERROR(VLOOKUP("",'[8]PAGE 3'!$B:$P,14,FALSE),0)</f>
        <v>0</v>
      </c>
      <c r="L38" s="47"/>
      <c r="M38" s="13"/>
      <c r="N38" s="47">
        <f>IFERROR(VLOOKUP("",'[9]PAGE 3'!$B:$S,6,FALSE),0)</f>
        <v>0</v>
      </c>
      <c r="O38" s="13">
        <f>IFERROR(VLOOKUP("",'[9]PAGE 3'!$B:$S,8,FALSE),0)</f>
        <v>0</v>
      </c>
      <c r="P38" s="47"/>
      <c r="Q38" s="13"/>
      <c r="R38" s="47">
        <f>[3]P5!$AM$111</f>
        <v>684</v>
      </c>
      <c r="S38" s="13">
        <f>[3]P5!$AV$111</f>
        <v>3816</v>
      </c>
      <c r="T38" s="47">
        <f>SUM([13]P5!$AM$111)</f>
        <v>0</v>
      </c>
      <c r="U38" s="13">
        <f>[13]P5!$AV$111</f>
        <v>860</v>
      </c>
      <c r="V38" s="47"/>
      <c r="W38" s="13"/>
      <c r="X38" s="47">
        <f>IFERROR(VLOOKUP("",'[11]PAGE 3'!$B:$S,6,FALSE),0)</f>
        <v>0</v>
      </c>
      <c r="Y38" s="13">
        <f>IFERROR(VLOOKUP("",'[11]PAGE 3'!$B:$S,8,FALSE),0)</f>
        <v>0</v>
      </c>
      <c r="Z38" s="47">
        <f>IFERROR(VLOOKUP("",'[12]PAGE 3'!$B:$S,6,FALSE),0)</f>
        <v>0</v>
      </c>
      <c r="AA38" s="13">
        <f>IFERROR(VLOOKUP("",'[12]PAGE 3'!$B:$S,8,FALSE),0)</f>
        <v>0</v>
      </c>
      <c r="AB38" s="47">
        <f t="shared" si="0"/>
        <v>684</v>
      </c>
      <c r="AC38" s="13">
        <f t="shared" si="1"/>
        <v>4676</v>
      </c>
    </row>
    <row r="39" spans="1:29">
      <c r="A39" s="5" t="s">
        <v>214</v>
      </c>
      <c r="B39" s="47">
        <f>INDEX('[4]Page 3'!$B:$DP,MATCH("0140",'[4]Page 3'!$R:$R,0),18)</f>
        <v>0</v>
      </c>
      <c r="C39" s="13">
        <f>INDEX('[4]Page 3'!$B:$DP,MATCH("0140",'[4]Page 3'!$R:$R,0),34)</f>
        <v>0</v>
      </c>
      <c r="D39" s="47">
        <f>INDEX('[5]Page 3'!$B:$DP,MATCH("0140",'[5]Page 3'!$R:$R,0),18)</f>
        <v>0</v>
      </c>
      <c r="E39" s="13">
        <f>INDEX('[5]Page 3'!$B:$DP,MATCH("0140",'[5]Page 3'!$R:$R,0),34)</f>
        <v>0</v>
      </c>
      <c r="F39" s="47">
        <f>INDEX('[6]Page 3'!$B:$DP,MATCH("0140",'[6]Page 3'!$R:$R,0),18)</f>
        <v>0</v>
      </c>
      <c r="G39" s="13">
        <f>INDEX('[6]Page 3'!$B:$DP,MATCH("0140",'[6]Page 3'!$R:$R,0),34)</f>
        <v>0</v>
      </c>
      <c r="H39" s="47"/>
      <c r="I39" s="13"/>
      <c r="J39" s="47"/>
      <c r="K39" s="13"/>
      <c r="L39" s="47"/>
      <c r="M39" s="13"/>
      <c r="N39" s="47">
        <f>IFERROR(VLOOKUP("",'[9]PAGE 3'!$B:$S,6,FALSE),0)</f>
        <v>0</v>
      </c>
      <c r="O39" s="13">
        <f>IFERROR(VLOOKUP("",'[9]PAGE 3'!$B:$S,8,FALSE),0)</f>
        <v>0</v>
      </c>
      <c r="P39" s="47"/>
      <c r="Q39" s="13"/>
      <c r="R39" s="47"/>
      <c r="S39" s="13"/>
      <c r="T39" s="47"/>
      <c r="U39" s="13"/>
      <c r="V39" s="47"/>
      <c r="W39" s="13"/>
      <c r="X39" s="47">
        <f>IFERROR(VLOOKUP("",'[11]PAGE 3'!$B:$S,6,FALSE),0)</f>
        <v>0</v>
      </c>
      <c r="Y39" s="13">
        <f>IFERROR(VLOOKUP("",'[11]PAGE 3'!$B:$S,8,FALSE),0)</f>
        <v>0</v>
      </c>
      <c r="Z39" s="47">
        <f>IFERROR(VLOOKUP("",'[12]PAGE 3'!$B:$S,6,FALSE),0)</f>
        <v>0</v>
      </c>
      <c r="AA39" s="13">
        <f>IFERROR(VLOOKUP("",'[12]PAGE 3'!$B:$S,8,FALSE),0)</f>
        <v>0</v>
      </c>
      <c r="AB39" s="47">
        <f t="shared" si="0"/>
        <v>0</v>
      </c>
      <c r="AC39" s="13">
        <f t="shared" si="1"/>
        <v>0</v>
      </c>
    </row>
    <row r="40" spans="1:29">
      <c r="A40" s="5" t="s">
        <v>10</v>
      </c>
      <c r="B40" s="47">
        <f>INDEX('[4]Page 3'!$B:$DP,MATCH("0150",'[4]Page 3'!$R:$R,0),18)</f>
        <v>4641</v>
      </c>
      <c r="C40" s="13">
        <f>INDEX('[4]Page 3'!$B:$DP,MATCH("0150",'[4]Page 3'!$R:$R,0),34)</f>
        <v>65303</v>
      </c>
      <c r="D40" s="47">
        <f>INDEX('[5]Page 3'!$B:$DP,MATCH("0150",'[5]Page 3'!$R:$R,0),18)</f>
        <v>0</v>
      </c>
      <c r="E40" s="13">
        <f>INDEX('[5]Page 3'!$B:$DP,MATCH("0150",'[5]Page 3'!$R:$R,0),34)</f>
        <v>0</v>
      </c>
      <c r="F40" s="47">
        <f>INDEX('[6]Page 3'!$B:$DP,MATCH("0150",'[6]Page 3'!$R:$R,0),18)</f>
        <v>9494</v>
      </c>
      <c r="G40" s="13">
        <f>INDEX('[6]Page 3'!$B:$DP,MATCH("0150",'[6]Page 3'!$R:$R,0),34)</f>
        <v>107679</v>
      </c>
      <c r="H40" s="47">
        <f>IFERROR(VLOOKUP("",'[7]PAGE 3'!$B:$P,12,FALSE),0)</f>
        <v>0</v>
      </c>
      <c r="I40" s="13">
        <f>IFERROR(VLOOKUP("",'[7]PAGE 3'!$B:$P,14,FALSE),0)</f>
        <v>0</v>
      </c>
      <c r="J40" s="47">
        <f>IFERROR(VLOOKUP("",'[8]PAGE 3'!$B:$P,12,FALSE),0)</f>
        <v>0</v>
      </c>
      <c r="K40" s="13">
        <f>IFERROR(VLOOKUP("",'[8]PAGE 3'!$B:$P,14,FALSE),0)</f>
        <v>0</v>
      </c>
      <c r="L40" s="47"/>
      <c r="M40" s="13"/>
      <c r="N40" s="47">
        <f>IFERROR(VLOOKUP("Advertising - Departmental",'[9]PAGE 3'!$B:$S,6,FALSE),0)</f>
        <v>4</v>
      </c>
      <c r="O40" s="13">
        <f>IFERROR(VLOOKUP("Advertising - Departmental",'[9]PAGE 3'!$B:$S,8,FALSE),0)</f>
        <v>25305</v>
      </c>
      <c r="P40" s="47">
        <f>'[2]PAGE 5'!$AL$52</f>
        <v>1368</v>
      </c>
      <c r="Q40" s="13">
        <f>'[2]PAGE 5'!$AW$52</f>
        <v>17089</v>
      </c>
      <c r="R40" s="47">
        <f>[3]P5!$AM$103</f>
        <v>1871</v>
      </c>
      <c r="S40" s="13">
        <f>[3]P5!$AV$103</f>
        <v>27871</v>
      </c>
      <c r="T40" s="47">
        <f>SUM([13]P5!$AM$103)</f>
        <v>0</v>
      </c>
      <c r="U40" s="13">
        <f>[13]P5!$AV$103</f>
        <v>1404</v>
      </c>
      <c r="V40" s="47">
        <f>SUM('[10]PAGE 3'!$J$30:$K$30)+SUM('[10]PAGE 3'!$J$27:$K$27)+SUM('[10]PAGE 3'!$J$28:$K$28)</f>
        <v>1112</v>
      </c>
      <c r="W40" s="13">
        <f>SUM('[10]PAGE 3'!$L$30:$M$30)+SUM('[10]PAGE 3'!$L$27:$M$27)+SUM('[10]PAGE 3'!$L$28:$M$28)</f>
        <v>23106</v>
      </c>
      <c r="X40" s="47">
        <f>IFERROR(VLOOKUP("Advertising - Departmental",'[11]PAGE 3'!$B:$S,6,FALSE),0)</f>
        <v>0</v>
      </c>
      <c r="Y40" s="13">
        <f>IFERROR(VLOOKUP("Advertising - Departmental",'[11]PAGE 3'!$B:$S,8,FALSE),0)</f>
        <v>0</v>
      </c>
      <c r="Z40" s="47">
        <f>IFERROR(VLOOKUP("Advertising - Departmental",'[12]PAGE 3'!$B:$S,6,FALSE),0)</f>
        <v>1835</v>
      </c>
      <c r="AA40" s="13">
        <f>IFERROR(VLOOKUP("Advertising - Departmental",'[12]PAGE 3'!$B:$S,8,FALSE),0)</f>
        <v>4814</v>
      </c>
      <c r="AB40" s="47">
        <f t="shared" si="0"/>
        <v>20325</v>
      </c>
      <c r="AC40" s="13">
        <f t="shared" si="1"/>
        <v>272571</v>
      </c>
    </row>
    <row r="41" spans="1:29">
      <c r="A41" s="6" t="s">
        <v>52</v>
      </c>
      <c r="B41" s="47">
        <f>-INDEX('[4]Page 3'!$B:$DP,MATCH("0170",'[4]Page 3'!$R:$R,0),18)</f>
        <v>0</v>
      </c>
      <c r="C41" s="13">
        <f>-INDEX('[4]Page 3'!$B:$DP,MATCH("0170",'[4]Page 3'!$R:$R,0),34)</f>
        <v>0</v>
      </c>
      <c r="D41" s="47">
        <f>-INDEX('[5]Page 3'!$B:$DP,MATCH("0170",'[5]Page 3'!$R:$R,0),18)</f>
        <v>0</v>
      </c>
      <c r="E41" s="13">
        <f>-INDEX('[5]Page 3'!$B:$DP,MATCH("0170",'[5]Page 3'!$R:$R,0),34)</f>
        <v>0</v>
      </c>
      <c r="F41" s="47">
        <f>-INDEX('[6]Page 3'!$B:$DP,MATCH("0170",'[6]Page 3'!$R:$R,0),18)</f>
        <v>0</v>
      </c>
      <c r="G41" s="13">
        <f>-INDEX('[6]Page 3'!$B:$DP,MATCH("0170",'[6]Page 3'!$R:$R,0),34)</f>
        <v>0</v>
      </c>
      <c r="H41" s="47">
        <f>IFERROR(VLOOKUP("",'[7]PAGE 3'!$B:$P,12,FALSE),0)</f>
        <v>0</v>
      </c>
      <c r="I41" s="13">
        <f>IFERROR(VLOOKUP("",'[7]PAGE 3'!$B:$P,14,FALSE),0)</f>
        <v>0</v>
      </c>
      <c r="J41" s="47">
        <f>IFERROR(VLOOKUP("",'[8]PAGE 3'!$B:$P,12,FALSE),0)</f>
        <v>0</v>
      </c>
      <c r="K41" s="13">
        <f>IFERROR(VLOOKUP("",'[8]PAGE 3'!$B:$P,14,FALSE),0)</f>
        <v>0</v>
      </c>
      <c r="L41" s="47"/>
      <c r="M41" s="13"/>
      <c r="N41" s="47">
        <f>IFERROR(VLOOKUP("",'[9]PAGE 3'!$B:$S,6,FALSE),0)</f>
        <v>0</v>
      </c>
      <c r="O41" s="13">
        <f>IFERROR(VLOOKUP("",'[9]PAGE 3'!$B:$S,8,FALSE),0)</f>
        <v>0</v>
      </c>
      <c r="P41" s="47">
        <f>'[2]PAGE 5'!$AL$53</f>
        <v>-137</v>
      </c>
      <c r="Q41" s="13">
        <f>'[2]PAGE 5'!$AW$53</f>
        <v>-1964</v>
      </c>
      <c r="R41" s="47"/>
      <c r="S41" s="13"/>
      <c r="T41" s="47"/>
      <c r="U41" s="13"/>
      <c r="V41" s="47"/>
      <c r="W41" s="13"/>
      <c r="X41" s="47">
        <f>IFERROR(VLOOKUP("",'[11]PAGE 3'!$B:$S,6,FALSE),0)</f>
        <v>0</v>
      </c>
      <c r="Y41" s="13">
        <f>IFERROR(VLOOKUP("",'[11]PAGE 3'!$B:$S,8,FALSE),0)</f>
        <v>0</v>
      </c>
      <c r="Z41" s="47">
        <f>IFERROR(VLOOKUP("",'[12]PAGE 3'!$B:$S,6,FALSE),0)</f>
        <v>0</v>
      </c>
      <c r="AA41" s="13">
        <f>IFERROR(VLOOKUP("",'[12]PAGE 3'!$B:$S,8,FALSE),0)</f>
        <v>0</v>
      </c>
      <c r="AB41" s="47">
        <f t="shared" si="0"/>
        <v>-137</v>
      </c>
      <c r="AC41" s="13">
        <f t="shared" si="1"/>
        <v>-1964</v>
      </c>
    </row>
    <row r="42" spans="1:29">
      <c r="A42" s="7" t="s">
        <v>11</v>
      </c>
      <c r="B42" s="47">
        <f>INDEX('[4]Page 3'!$B:$DP,MATCH("0160",'[4]Page 3'!$R:$R,0),18)</f>
        <v>0</v>
      </c>
      <c r="C42" s="13">
        <f>INDEX('[4]Page 3'!$B:$DP,MATCH("0160",'[4]Page 3'!$R:$R,0),34)</f>
        <v>0</v>
      </c>
      <c r="D42" s="47">
        <f>INDEX('[5]Page 3'!$B:$DP,MATCH("0160",'[5]Page 3'!$R:$R,0),18)</f>
        <v>0</v>
      </c>
      <c r="E42" s="13">
        <f>INDEX('[5]Page 3'!$B:$DP,MATCH("0160",'[5]Page 3'!$R:$R,0),34)</f>
        <v>0</v>
      </c>
      <c r="F42" s="47">
        <f>INDEX('[6]Page 3'!$B:$DP,MATCH("0160",'[6]Page 3'!$R:$R,0),18)</f>
        <v>0</v>
      </c>
      <c r="G42" s="13">
        <f>INDEX('[6]Page 3'!$B:$DP,MATCH("0160",'[6]Page 3'!$R:$R,0),34)</f>
        <v>0</v>
      </c>
      <c r="H42" s="47"/>
      <c r="I42" s="13"/>
      <c r="J42" s="47"/>
      <c r="K42" s="13"/>
      <c r="L42" s="47"/>
      <c r="M42" s="13"/>
      <c r="N42" s="47"/>
      <c r="O42" s="13"/>
      <c r="P42" s="47"/>
      <c r="Q42" s="13"/>
      <c r="R42" s="47"/>
      <c r="S42" s="13"/>
      <c r="T42" s="47"/>
      <c r="U42" s="13"/>
      <c r="V42" s="47"/>
      <c r="W42" s="13"/>
      <c r="X42" s="47"/>
      <c r="Y42" s="13"/>
      <c r="Z42" s="47"/>
      <c r="AA42" s="13"/>
      <c r="AB42" s="47">
        <f t="shared" si="0"/>
        <v>0</v>
      </c>
      <c r="AC42" s="13">
        <f t="shared" si="1"/>
        <v>0</v>
      </c>
    </row>
    <row r="43" spans="1:29">
      <c r="A43" s="6" t="s">
        <v>53</v>
      </c>
      <c r="B43" s="47">
        <f>-INDEX('[4]Page 3'!$B:$DP,MATCH("0180",'[4]Page 3'!$R:$R,0),18)</f>
        <v>0</v>
      </c>
      <c r="C43" s="13">
        <f>-INDEX('[4]Page 3'!$B:$DP,MATCH("0180",'[4]Page 3'!$R:$R,0),34)</f>
        <v>0</v>
      </c>
      <c r="D43" s="47">
        <f>-INDEX('[5]Page 3'!$B:$DP,MATCH("0180",'[5]Page 3'!$R:$R,0),18)</f>
        <v>0</v>
      </c>
      <c r="E43" s="13">
        <f>-INDEX('[5]Page 3'!$B:$DP,MATCH("0180",'[5]Page 3'!$R:$R,0),34)</f>
        <v>0</v>
      </c>
      <c r="F43" s="47">
        <f>-INDEX('[6]Page 3'!$B:$DP,MATCH("0180",'[6]Page 3'!$R:$R,0),18)</f>
        <v>0</v>
      </c>
      <c r="G43" s="13">
        <f>-INDEX('[6]Page 3'!$B:$DP,MATCH("0180",'[6]Page 3'!$R:$R,0),34)</f>
        <v>0</v>
      </c>
      <c r="H43" s="47"/>
      <c r="I43" s="13"/>
      <c r="J43" s="47"/>
      <c r="K43" s="13"/>
      <c r="L43" s="47"/>
      <c r="M43" s="13"/>
      <c r="N43" s="47"/>
      <c r="O43" s="13"/>
      <c r="P43" s="47"/>
      <c r="Q43" s="13"/>
      <c r="R43" s="47"/>
      <c r="S43" s="13"/>
      <c r="T43" s="47"/>
      <c r="U43" s="13"/>
      <c r="V43" s="47"/>
      <c r="W43" s="13"/>
      <c r="X43" s="47"/>
      <c r="Y43" s="13"/>
      <c r="Z43" s="47"/>
      <c r="AA43" s="13"/>
      <c r="AB43" s="47">
        <f t="shared" si="0"/>
        <v>0</v>
      </c>
      <c r="AC43" s="13">
        <f t="shared" si="1"/>
        <v>0</v>
      </c>
    </row>
    <row r="44" spans="1:29">
      <c r="A44" s="5" t="s">
        <v>12</v>
      </c>
      <c r="B44" s="47">
        <f>-INDEX('[4]Page 3'!$B:$DP,MATCH("0190",'[4]Page 3'!$R:$R,0),18)</f>
        <v>0</v>
      </c>
      <c r="C44" s="13">
        <f>-INDEX('[4]Page 3'!$B:$DP,MATCH("0190",'[4]Page 3'!$R:$R,0),34)</f>
        <v>0</v>
      </c>
      <c r="D44" s="47">
        <f>-INDEX('[5]Page 3'!$B:$DP,MATCH("0190",'[5]Page 3'!$R:$R,0),18)</f>
        <v>0</v>
      </c>
      <c r="E44" s="13">
        <f>-INDEX('[5]Page 3'!$B:$DP,MATCH("0190",'[5]Page 3'!$R:$R,0),34)</f>
        <v>0</v>
      </c>
      <c r="F44" s="47">
        <f>-INDEX('[6]Page 3'!$B:$DP,MATCH("0190",'[6]Page 3'!$R:$R,0),18)</f>
        <v>0</v>
      </c>
      <c r="G44" s="13">
        <f>-INDEX('[6]Page 3'!$B:$DP,MATCH("0190",'[6]Page 3'!$R:$R,0),34)</f>
        <v>0</v>
      </c>
      <c r="H44" s="47"/>
      <c r="I44" s="13"/>
      <c r="J44" s="47"/>
      <c r="K44" s="13"/>
      <c r="L44" s="47"/>
      <c r="M44" s="13"/>
      <c r="N44" s="47"/>
      <c r="O44" s="13"/>
      <c r="P44" s="47">
        <f>'[2]PAGE 5'!$AL$59</f>
        <v>2930</v>
      </c>
      <c r="Q44" s="13">
        <f>'[2]PAGE 5'!$AW$59</f>
        <v>20445</v>
      </c>
      <c r="R44" s="47"/>
      <c r="S44" s="13"/>
      <c r="T44" s="47"/>
      <c r="U44" s="13"/>
      <c r="V44" s="47"/>
      <c r="W44" s="13"/>
      <c r="X44" s="47"/>
      <c r="Y44" s="13"/>
      <c r="Z44" s="47"/>
      <c r="AA44" s="13"/>
      <c r="AB44" s="47">
        <f t="shared" si="0"/>
        <v>2930</v>
      </c>
      <c r="AC44" s="13">
        <f t="shared" si="1"/>
        <v>20445</v>
      </c>
    </row>
    <row r="45" spans="1:29">
      <c r="A45" s="11" t="s">
        <v>54</v>
      </c>
      <c r="B45" s="16">
        <f t="shared" ref="B45:C45" si="19">SUM(B33:B44)</f>
        <v>30595</v>
      </c>
      <c r="C45" s="17">
        <f t="shared" si="19"/>
        <v>368349</v>
      </c>
      <c r="D45" s="16">
        <f t="shared" ref="D45:E45" si="20">SUM(D33:D44)</f>
        <v>36792</v>
      </c>
      <c r="E45" s="17">
        <f t="shared" si="20"/>
        <v>422019</v>
      </c>
      <c r="F45" s="16">
        <f t="shared" ref="F45:G45" si="21">SUM(F33:F44)</f>
        <v>59017</v>
      </c>
      <c r="G45" s="17">
        <f t="shared" si="21"/>
        <v>574521</v>
      </c>
      <c r="H45" s="16">
        <f t="shared" ref="H45:O45" si="22">SUM(H33:H41)</f>
        <v>7621</v>
      </c>
      <c r="I45" s="17">
        <f t="shared" si="22"/>
        <v>73556</v>
      </c>
      <c r="J45" s="16">
        <f t="shared" si="22"/>
        <v>1188</v>
      </c>
      <c r="K45" s="17">
        <f t="shared" si="22"/>
        <v>17305</v>
      </c>
      <c r="L45" s="16"/>
      <c r="M45" s="17"/>
      <c r="N45" s="16">
        <f t="shared" si="22"/>
        <v>38483</v>
      </c>
      <c r="O45" s="17">
        <f t="shared" si="22"/>
        <v>508662</v>
      </c>
      <c r="P45" s="16">
        <f t="shared" ref="P45:Q45" si="23">SUM(P33:P44)</f>
        <v>29560</v>
      </c>
      <c r="Q45" s="17">
        <f t="shared" si="23"/>
        <v>311520</v>
      </c>
      <c r="R45" s="16">
        <f t="shared" ref="R45:S45" si="24">SUM(R32:R44)</f>
        <v>5948</v>
      </c>
      <c r="S45" s="17">
        <f t="shared" si="24"/>
        <v>51820</v>
      </c>
      <c r="T45" s="16">
        <f t="shared" ref="T45:U45" si="25">SUM(T32:T44)</f>
        <v>33</v>
      </c>
      <c r="U45" s="17">
        <f t="shared" si="25"/>
        <v>5480</v>
      </c>
      <c r="V45" s="16">
        <f t="shared" ref="V45:W45" si="26">SUM(V32:V44)</f>
        <v>5013</v>
      </c>
      <c r="W45" s="17">
        <f t="shared" si="26"/>
        <v>55002</v>
      </c>
      <c r="X45" s="16">
        <f t="shared" ref="X45:AA45" si="27">SUM(X33:X41)</f>
        <v>0</v>
      </c>
      <c r="Y45" s="17">
        <f t="shared" si="27"/>
        <v>0</v>
      </c>
      <c r="Z45" s="16">
        <f t="shared" si="27"/>
        <v>14910</v>
      </c>
      <c r="AA45" s="17">
        <f t="shared" si="27"/>
        <v>61622</v>
      </c>
      <c r="AB45" s="16">
        <f t="shared" si="0"/>
        <v>229160</v>
      </c>
      <c r="AC45" s="17">
        <f t="shared" si="1"/>
        <v>2449856</v>
      </c>
    </row>
    <row r="46" spans="1:29">
      <c r="A46" s="4"/>
      <c r="B46" s="22"/>
      <c r="C46" s="23"/>
      <c r="D46" s="22"/>
      <c r="E46" s="23"/>
      <c r="F46" s="22"/>
      <c r="G46" s="23"/>
      <c r="H46" s="22"/>
      <c r="I46" s="23"/>
      <c r="J46" s="22"/>
      <c r="K46" s="23"/>
      <c r="L46" s="22"/>
      <c r="M46" s="23"/>
      <c r="N46" s="22"/>
      <c r="O46" s="23"/>
      <c r="P46" s="22"/>
      <c r="Q46" s="23"/>
      <c r="R46" s="22"/>
      <c r="S46" s="23"/>
      <c r="T46" s="22"/>
      <c r="U46" s="23"/>
      <c r="V46" s="22"/>
      <c r="W46" s="23"/>
      <c r="X46" s="22"/>
      <c r="Y46" s="23"/>
      <c r="Z46" s="22"/>
      <c r="AA46" s="23"/>
      <c r="AB46" s="22">
        <f t="shared" si="0"/>
        <v>0</v>
      </c>
      <c r="AC46" s="23">
        <f t="shared" si="1"/>
        <v>0</v>
      </c>
    </row>
    <row r="47" spans="1:29">
      <c r="A47" s="5" t="s">
        <v>13</v>
      </c>
      <c r="B47" s="47">
        <f>INDEX('[4]Page 3'!$B:$DP,MATCH("0200",'[4]Page 3'!$R:$R,0),18)</f>
        <v>9250</v>
      </c>
      <c r="C47" s="13">
        <f>INDEX('[4]Page 3'!$B:$DP,MATCH("0200",'[4]Page 3'!$R:$R,0),34)</f>
        <v>107220</v>
      </c>
      <c r="D47" s="47">
        <f>INDEX('[5]Page 3'!$B:$DP,MATCH("0200",'[5]Page 3'!$R:$R,0),18)</f>
        <v>1200</v>
      </c>
      <c r="E47" s="13">
        <f>INDEX('[5]Page 3'!$B:$DP,MATCH("0200",'[5]Page 3'!$R:$R,0),34)</f>
        <v>11955</v>
      </c>
      <c r="F47" s="47">
        <f>INDEX('[6]Page 3'!$B:$DP,MATCH("0200",'[6]Page 3'!$R:$R,0),18)</f>
        <v>17288</v>
      </c>
      <c r="G47" s="13">
        <f>INDEX('[6]Page 3'!$B:$DP,MATCH("0200",'[6]Page 3'!$R:$R,0),34)</f>
        <v>171249</v>
      </c>
      <c r="H47" s="47">
        <f>IFERROR(VLOOKUP("Compensation  Owners",'[7]PAGE 3'!$B:$P,12,FALSE),0)</f>
        <v>9866</v>
      </c>
      <c r="I47" s="13">
        <f>IFERROR(VLOOKUP("Compensation  Owners",'[7]PAGE 3'!$B:$P,14,FALSE),0)</f>
        <v>107636</v>
      </c>
      <c r="J47" s="47">
        <f>IFERROR(VLOOKUP("Compensation  Owners",'[8]PAGE 3'!$B:$P,12,FALSE),0)</f>
        <v>8430</v>
      </c>
      <c r="K47" s="13">
        <f>IFERROR(VLOOKUP("Compensation  Owners",'[8]PAGE 3'!$B:$P,14,FALSE),0)</f>
        <v>89505</v>
      </c>
      <c r="L47" s="47"/>
      <c r="M47" s="13"/>
      <c r="N47" s="47">
        <f>IFERROR(VLOOKUP("Owners Salaries",'[9]PAGE 3'!$B:$S,6,FALSE),0)</f>
        <v>16301</v>
      </c>
      <c r="O47" s="13">
        <f>IFERROR(VLOOKUP("Owners Salaries",'[9]PAGE 3'!$B:$S,8,FALSE),0)</f>
        <v>146291</v>
      </c>
      <c r="P47" s="47">
        <f>'[2]PAGE 2'!$BN$15</f>
        <v>8777</v>
      </c>
      <c r="Q47" s="13">
        <f>'[2]PAGE 2'!$BN$16</f>
        <v>99752</v>
      </c>
      <c r="R47" s="47">
        <f>[3]P2!$AW$29</f>
        <v>6737</v>
      </c>
      <c r="S47" s="13">
        <f>[3]P2!$AW$31</f>
        <v>88452</v>
      </c>
      <c r="T47" s="47">
        <f>[13]P2!$AW$29</f>
        <v>3294</v>
      </c>
      <c r="U47" s="13">
        <f>[13]P2!$AW$31</f>
        <v>48114</v>
      </c>
      <c r="V47" s="47">
        <f>+INDEX('[10]PAGE 3'!$1:$1048576,MATCH("Salaries - Owners/General Managers",'[10]PAGE 3'!$B:$B,0),10)</f>
        <v>0</v>
      </c>
      <c r="W47" s="13">
        <f>+INDEX('[10]PAGE 3'!$1:$1048576,MATCH("Salaries - Owners/General Managers",'[10]PAGE 3'!$B:$B,0),12)</f>
        <v>6110</v>
      </c>
      <c r="X47" s="47">
        <f>IFERROR(VLOOKUP("Owners Salaries",'[11]PAGE 3'!$B:$S,6,FALSE),0)</f>
        <v>0</v>
      </c>
      <c r="Y47" s="13">
        <f>IFERROR(VLOOKUP("Owners Salaries",'[11]PAGE 3'!$B:$S,8,FALSE),0)</f>
        <v>0</v>
      </c>
      <c r="Z47" s="47">
        <f>IFERROR(VLOOKUP("Owners Salaries",'[12]PAGE 3'!$B:$S,6,FALSE),0)</f>
        <v>6000</v>
      </c>
      <c r="AA47" s="13">
        <f>IFERROR(VLOOKUP("Owners Salaries",'[12]PAGE 3'!$B:$S,8,FALSE),0)</f>
        <v>23675</v>
      </c>
      <c r="AB47" s="47">
        <f t="shared" si="0"/>
        <v>87143</v>
      </c>
      <c r="AC47" s="13">
        <f t="shared" si="1"/>
        <v>899959</v>
      </c>
    </row>
    <row r="48" spans="1:29">
      <c r="A48" s="5" t="s">
        <v>14</v>
      </c>
      <c r="B48" s="47">
        <f>INDEX('[4]Page 3'!$B:$DP,MATCH("0210",'[4]Page 3'!$R:$R,0),18)</f>
        <v>24861</v>
      </c>
      <c r="C48" s="13">
        <f>INDEX('[4]Page 3'!$B:$DP,MATCH("0210",'[4]Page 3'!$R:$R,0),34)</f>
        <v>243986</v>
      </c>
      <c r="D48" s="47">
        <f>INDEX('[5]Page 3'!$B:$DP,MATCH("0210",'[5]Page 3'!$R:$R,0),18)</f>
        <v>16429</v>
      </c>
      <c r="E48" s="13">
        <f>INDEX('[5]Page 3'!$B:$DP,MATCH("0210",'[5]Page 3'!$R:$R,0),34)</f>
        <v>200576</v>
      </c>
      <c r="F48" s="47">
        <f>INDEX('[6]Page 3'!$B:$DP,MATCH("0210",'[6]Page 3'!$R:$R,0),18)</f>
        <v>22564</v>
      </c>
      <c r="G48" s="13">
        <f>INDEX('[6]Page 3'!$B:$DP,MATCH("0210",'[6]Page 3'!$R:$R,0),34)</f>
        <v>275748</v>
      </c>
      <c r="H48" s="47">
        <f>IFERROR(VLOOKUP("Compensation  Supervisors",'[7]PAGE 3'!$B:$P,12,FALSE),0)</f>
        <v>13362</v>
      </c>
      <c r="I48" s="13">
        <f>IFERROR(VLOOKUP("Compensation  Supervisors",'[7]PAGE 3'!$B:$P,14,FALSE),0)</f>
        <v>131261</v>
      </c>
      <c r="J48" s="47">
        <f>IFERROR(VLOOKUP("Compensation  Supervisors",'[8]PAGE 3'!$B:$P,12,FALSE),0)</f>
        <v>12167</v>
      </c>
      <c r="K48" s="13">
        <f>IFERROR(VLOOKUP("Compensation  Supervisors",'[8]PAGE 3'!$B:$P,14,FALSE),0)</f>
        <v>141221</v>
      </c>
      <c r="L48" s="47"/>
      <c r="M48" s="13"/>
      <c r="N48" s="47">
        <f>IFERROR(VLOOKUP("Supervision Compensation                     ",'[9]PAGE 3'!$B:$S,6,FALSE),0)</f>
        <v>17715</v>
      </c>
      <c r="O48" s="13">
        <f>IFERROR(VLOOKUP("Supervision Compensation                     ",'[9]PAGE 3'!$B:$S,8,FALSE),0)</f>
        <v>209680</v>
      </c>
      <c r="P48" s="47">
        <f>'[2]PAGE 5'!$AL$49+$Q$3*('[2]PAGE 6'!$O$5)</f>
        <v>13617</v>
      </c>
      <c r="Q48" s="13">
        <f>'[2]PAGE 5'!$AW$49+'[2]PAGE 6'!$BP$5</f>
        <v>200595</v>
      </c>
      <c r="R48" s="47">
        <f>SUM([3]P5!$AM$97)+SUM([3]P6!$M$9)*S3</f>
        <v>7630</v>
      </c>
      <c r="S48" s="13">
        <f>SUM([3]P5!$AV$97)+SUM([3]P6!$BN$9)</f>
        <v>110672</v>
      </c>
      <c r="T48" s="47">
        <f>SUM([13]P5!$AM$97)+SUM([13]P6!$M$9)*U3</f>
        <v>5664</v>
      </c>
      <c r="U48" s="13">
        <f>SUM([13]P5!$AV$97)+SUM([13]P6!$BN$9)</f>
        <v>81422</v>
      </c>
      <c r="V48" s="47">
        <f>+INDEX('[10]PAGE 3'!$1:$1048576,MATCH("Salaries - Supervision",'[10]PAGE 3'!$B:$B,0),10)</f>
        <v>8497</v>
      </c>
      <c r="W48" s="13">
        <f>+INDEX('[10]PAGE 3'!$1:$1048576,MATCH("Salaries - Supervision",'[10]PAGE 3'!$B:$B,0),12)</f>
        <v>52844</v>
      </c>
      <c r="X48" s="47">
        <f>IFERROR(VLOOKUP("Supervision Compensation                     ",'[11]PAGE 3'!$B:$S,6,FALSE),0)</f>
        <v>0</v>
      </c>
      <c r="Y48" s="13">
        <f>IFERROR(VLOOKUP("Supervision Compensation                     ",'[11]PAGE 3'!$B:$S,8,FALSE),0)</f>
        <v>0</v>
      </c>
      <c r="Z48" s="47">
        <f>IFERROR(VLOOKUP("Supervision Compensation                     ",'[12]PAGE 3'!$B:$S,6,FALSE),0)</f>
        <v>3000</v>
      </c>
      <c r="AA48" s="13">
        <f>IFERROR(VLOOKUP("Supervision Compensation                     ",'[12]PAGE 3'!$B:$S,8,FALSE),0)</f>
        <v>20500</v>
      </c>
      <c r="AB48" s="47">
        <f t="shared" si="0"/>
        <v>145506</v>
      </c>
      <c r="AC48" s="13">
        <f t="shared" si="1"/>
        <v>1668505</v>
      </c>
    </row>
    <row r="49" spans="1:29">
      <c r="A49" s="5" t="s">
        <v>15</v>
      </c>
      <c r="B49" s="47">
        <f>INDEX('[4]Page 3'!$B:$DP,MATCH("0220",'[4]Page 3'!$R:$R,0),18)</f>
        <v>3918</v>
      </c>
      <c r="C49" s="13">
        <f>INDEX('[4]Page 3'!$B:$DP,MATCH("0220",'[4]Page 3'!$R:$R,0),34)</f>
        <v>44251</v>
      </c>
      <c r="D49" s="47">
        <f>INDEX('[5]Page 3'!$B:$DP,MATCH("0220",'[5]Page 3'!$R:$R,0),18)</f>
        <v>7571</v>
      </c>
      <c r="E49" s="13">
        <f>INDEX('[5]Page 3'!$B:$DP,MATCH("0220",'[5]Page 3'!$R:$R,0),34)</f>
        <v>63997</v>
      </c>
      <c r="F49" s="47">
        <f>INDEX('[6]Page 3'!$B:$DP,MATCH("0220",'[6]Page 3'!$R:$R,0),18)</f>
        <v>918</v>
      </c>
      <c r="G49" s="13">
        <f>INDEX('[6]Page 3'!$B:$DP,MATCH("0220",'[6]Page 3'!$R:$R,0),34)</f>
        <v>39758</v>
      </c>
      <c r="H49" s="47">
        <f>IFERROR(VLOOKUP("Compensation  Clerical",'[7]PAGE 3'!$B:$P,12,FALSE),0)</f>
        <v>5941</v>
      </c>
      <c r="I49" s="13">
        <f>IFERROR(VLOOKUP("Compensation  Clerical",'[7]PAGE 3'!$B:$P,14,FALSE),0)</f>
        <v>60041</v>
      </c>
      <c r="J49" s="47">
        <f>IFERROR(VLOOKUP("Compensation  Clerical",'[8]PAGE 3'!$B:$P,12,FALSE),0)</f>
        <v>4998</v>
      </c>
      <c r="K49" s="13">
        <f>IFERROR(VLOOKUP("Compensation  Clerical",'[8]PAGE 3'!$B:$P,14,FALSE),0)</f>
        <v>41891</v>
      </c>
      <c r="L49" s="47"/>
      <c r="M49" s="13"/>
      <c r="N49" s="47">
        <f>IFERROR(VLOOKUP("Clerical Salaries                                  ",'[9]PAGE 3'!$B:$S,6,FALSE),0)</f>
        <v>0</v>
      </c>
      <c r="O49" s="13">
        <f>IFERROR(VLOOKUP("Clerical Salaries                                  ",'[9]PAGE 3'!$B:$S,8,FALSE),0)</f>
        <v>19307</v>
      </c>
      <c r="P49" s="47">
        <f>$Q$3*'[2]PAGE 6'!$O$6</f>
        <v>5682.3259566176312</v>
      </c>
      <c r="Q49" s="13">
        <f>'[2]PAGE 6'!$BP$6</f>
        <v>45825</v>
      </c>
      <c r="R49" s="47">
        <f>[3]P6!$M$11*S3</f>
        <v>6835.6243844284927</v>
      </c>
      <c r="S49" s="13">
        <f>[3]P6!$BN$11</f>
        <v>61735</v>
      </c>
      <c r="T49" s="47">
        <f>[13]P6!$M$11*U3</f>
        <v>3064.0354196802064</v>
      </c>
      <c r="U49" s="13">
        <f>[13]P6!$BN$11</f>
        <v>34392</v>
      </c>
      <c r="V49" s="47">
        <f>+INDEX('[10]PAGE 3'!$1:$1048576,MATCH("Salaries - clerical",'[10]PAGE 3'!$B:$B,0),10)</f>
        <v>0</v>
      </c>
      <c r="W49" s="13">
        <f>+INDEX('[10]PAGE 3'!$1:$1048576,MATCH("Salaries - clerical",'[10]PAGE 3'!$B:$B,0),12)</f>
        <v>500</v>
      </c>
      <c r="X49" s="47">
        <f>IFERROR(VLOOKUP("Clerical Salaries                                  ",'[11]PAGE 3'!$B:$S,6,FALSE),0)</f>
        <v>0</v>
      </c>
      <c r="Y49" s="13">
        <f>IFERROR(VLOOKUP("Clerical Salaries                                  ",'[11]PAGE 3'!$B:$S,8,FALSE),0)</f>
        <v>0</v>
      </c>
      <c r="Z49" s="47">
        <f>IFERROR(VLOOKUP("Clerical Salaries                                  ",'[12]PAGE 3'!$B:$S,6,FALSE),0)</f>
        <v>4139</v>
      </c>
      <c r="AA49" s="13">
        <f>IFERROR(VLOOKUP("Clerical Salaries                                  ",'[12]PAGE 3'!$B:$S,8,FALSE),0)</f>
        <v>8515</v>
      </c>
      <c r="AB49" s="47">
        <f t="shared" si="0"/>
        <v>43066.985760726333</v>
      </c>
      <c r="AC49" s="13">
        <f t="shared" si="1"/>
        <v>420212</v>
      </c>
    </row>
    <row r="50" spans="1:29">
      <c r="A50" s="5" t="s">
        <v>16</v>
      </c>
      <c r="B50" s="47">
        <f>INDEX('[4]Page 3'!$B:$DP,MATCH("0230",'[4]Page 3'!$R:$R,0),18)</f>
        <v>11224</v>
      </c>
      <c r="C50" s="13">
        <f>INDEX('[4]Page 3'!$B:$DP,MATCH("0230",'[4]Page 3'!$R:$R,0),34)</f>
        <v>84374</v>
      </c>
      <c r="D50" s="47">
        <f>INDEX('[5]Page 3'!$B:$DP,MATCH("0230",'[5]Page 3'!$R:$R,0),18)</f>
        <v>12667</v>
      </c>
      <c r="E50" s="13">
        <f>INDEX('[5]Page 3'!$B:$DP,MATCH("0230",'[5]Page 3'!$R:$R,0),34)</f>
        <v>158729</v>
      </c>
      <c r="F50" s="47">
        <f>INDEX('[6]Page 3'!$B:$DP,MATCH("0230",'[6]Page 3'!$R:$R,0),18)</f>
        <v>24876</v>
      </c>
      <c r="G50" s="13">
        <f>INDEX('[6]Page 3'!$B:$DP,MATCH("0230",'[6]Page 3'!$R:$R,0),34)</f>
        <v>190916</v>
      </c>
      <c r="H50" s="47">
        <f>IFERROR(VLOOKUP("Other Salaries &amp; Wages",'[7]PAGE 3'!$B:$P,12,FALSE),0)</f>
        <v>27283</v>
      </c>
      <c r="I50" s="13">
        <f>IFERROR(VLOOKUP("Other Salaries &amp; Wages",'[7]PAGE 3'!$B:$P,14,FALSE),0)</f>
        <v>376014</v>
      </c>
      <c r="J50" s="47">
        <f>IFERROR(VLOOKUP("Other Salaries &amp; Wages",'[8]PAGE 3'!$B:$P,12,FALSE),0)</f>
        <v>19893</v>
      </c>
      <c r="K50" s="13">
        <f>IFERROR(VLOOKUP("Other Salaries &amp; Wages",'[8]PAGE 3'!$B:$P,14,FALSE),0)</f>
        <v>245819</v>
      </c>
      <c r="L50" s="47"/>
      <c r="M50" s="13"/>
      <c r="N50" s="47">
        <f>IFERROR(VLOOKUP("Salaries &amp; Wages                    ",'[9]PAGE 3'!$B:$S,6,FALSE)+VLOOKUP("Salaries &amp; Wages - Admin. &amp; General     ",'[9]PAGE 3'!$B:$S,6,FALSE),0)</f>
        <v>24430</v>
      </c>
      <c r="O50" s="13">
        <f>IFERROR(VLOOKUP("Salaries &amp; Wages                    ",'[9]PAGE 3'!$B:$S,8,FALSE)+VLOOKUP("Salaries &amp; Wages - Admin. &amp; General     ",'[9]PAGE 3'!$B:$S,8,FALSE),0)</f>
        <v>225624</v>
      </c>
      <c r="P50" s="47">
        <f>'[2]PAGE 5'!$AL$50</f>
        <v>24917</v>
      </c>
      <c r="Q50" s="13">
        <f>'[2]PAGE 5'!$AW$50</f>
        <v>217247</v>
      </c>
      <c r="R50" s="47">
        <f>[3]P5!$AM$99</f>
        <v>30008</v>
      </c>
      <c r="S50" s="13">
        <f>[3]P5!$AV$99</f>
        <v>348132</v>
      </c>
      <c r="T50" s="47">
        <f>SUM([13]P5!$AM$99)</f>
        <v>0</v>
      </c>
      <c r="U50" s="13">
        <f>SUM([13]P5!$AV$99)</f>
        <v>0</v>
      </c>
      <c r="V50" s="47">
        <f>+INDEX('[10]PAGE 3'!$1:$1048576,MATCH("Other salaries and wages",'[10]PAGE 3'!$B:$B,0),10)</f>
        <v>16862</v>
      </c>
      <c r="W50" s="13">
        <f>+INDEX('[10]PAGE 3'!$1:$1048576,MATCH("Other salaries and wages",'[10]PAGE 3'!$B:$B,0),12)</f>
        <v>95249</v>
      </c>
      <c r="X50" s="47">
        <f>IFERROR(VLOOKUP("Salaries &amp; Wages                    ",'[11]PAGE 3'!$B:$S,6,FALSE)+VLOOKUP("Salaries &amp; Wages - Admin. &amp; General     ",'[11]PAGE 3'!$B:$S,6,FALSE),0)</f>
        <v>0</v>
      </c>
      <c r="Y50" s="13">
        <f>IFERROR(VLOOKUP("Salaries &amp; Wages                    ",'[11]PAGE 3'!$B:$S,8,FALSE)+VLOOKUP("Salaries &amp; Wages - Admin. &amp; General     ",'[11]PAGE 3'!$B:$S,8,FALSE),0)</f>
        <v>0</v>
      </c>
      <c r="Z50" s="47">
        <f>IFERROR(VLOOKUP("Salaries &amp; Wages                    ",'[12]PAGE 3'!$B:$S,6,FALSE)+VLOOKUP("Salaries &amp; Wages - Admin. &amp; General     ",'[12]PAGE 3'!$B:$S,6,FALSE),0)</f>
        <v>20275</v>
      </c>
      <c r="AA50" s="13">
        <f>IFERROR(VLOOKUP("Salaries &amp; Wages                    ",'[12]PAGE 3'!$B:$S,8,FALSE)+VLOOKUP("Salaries &amp; Wages - Admin. &amp; General     ",'[12]PAGE 3'!$B:$S,8,FALSE),0)</f>
        <v>57734</v>
      </c>
      <c r="AB50" s="47">
        <f t="shared" si="0"/>
        <v>212435</v>
      </c>
      <c r="AC50" s="13">
        <f t="shared" si="1"/>
        <v>1999838</v>
      </c>
    </row>
    <row r="51" spans="1:29">
      <c r="A51" s="5" t="s">
        <v>17</v>
      </c>
      <c r="B51" s="47">
        <f>INDEX('[4]Page 3'!$B:$DP,MATCH("0240",'[4]Page 3'!$R:$R,0),18)</f>
        <v>1219</v>
      </c>
      <c r="C51" s="13">
        <f>INDEX('[4]Page 3'!$B:$DP,MATCH("0240",'[4]Page 3'!$R:$R,0),34)</f>
        <v>23996</v>
      </c>
      <c r="D51" s="47">
        <f>INDEX('[5]Page 3'!$B:$DP,MATCH("0240",'[5]Page 3'!$R:$R,0),18)</f>
        <v>6630</v>
      </c>
      <c r="E51" s="13">
        <f>INDEX('[5]Page 3'!$B:$DP,MATCH("0240",'[5]Page 3'!$R:$R,0),34)</f>
        <v>19753</v>
      </c>
      <c r="F51" s="47">
        <f>INDEX('[6]Page 3'!$B:$DP,MATCH("0240",'[6]Page 3'!$R:$R,0),18)</f>
        <v>10613</v>
      </c>
      <c r="G51" s="13">
        <f>INDEX('[6]Page 3'!$B:$DP,MATCH("0240",'[6]Page 3'!$R:$R,0),34)</f>
        <v>45198</v>
      </c>
      <c r="H51" s="47">
        <f>IFERROR(VLOOKUP("Absentee Wages - Productive",'[7]PAGE 3'!$B:$P,12,FALSE),0)</f>
        <v>-151</v>
      </c>
      <c r="I51" s="13">
        <f>IFERROR(VLOOKUP("Absentee Wages - Productive",'[7]PAGE 3'!$B:$P,14,FALSE),0)</f>
        <v>12059</v>
      </c>
      <c r="J51" s="47">
        <f>IFERROR(VLOOKUP("Absentee Wages - Productive",'[8]PAGE 3'!$B:$P,12,FALSE),0)</f>
        <v>240</v>
      </c>
      <c r="K51" s="13">
        <f>IFERROR(VLOOKUP("Absentee Wages - Productive",'[8]PAGE 3'!$B:$P,14,FALSE),0)</f>
        <v>6240</v>
      </c>
      <c r="L51" s="47"/>
      <c r="M51" s="13"/>
      <c r="N51" s="47">
        <f>IFERROR(VLOOKUP("Vacation &amp; Time Off Pay                     ",'[9]PAGE 3'!$B:$S,6,FALSE),0)</f>
        <v>1779</v>
      </c>
      <c r="O51" s="13">
        <f>IFERROR(VLOOKUP("Vacation &amp; Time Off Pay                     ",'[9]PAGE 3'!$B:$S,8,FALSE),0)</f>
        <v>21729</v>
      </c>
      <c r="P51" s="47">
        <f>'[2]PAGE 5'!$AL$61</f>
        <v>-1558</v>
      </c>
      <c r="Q51" s="13">
        <f>'[2]PAGE 5'!$AW$61</f>
        <v>25992</v>
      </c>
      <c r="R51" s="47">
        <f>SUM([3]P5!$AM$121)</f>
        <v>8625</v>
      </c>
      <c r="S51" s="13">
        <f>SUM([3]P5!$AV$121)</f>
        <v>30190</v>
      </c>
      <c r="T51" s="47">
        <f>SUM([13]P5!$AM$121)</f>
        <v>240</v>
      </c>
      <c r="U51" s="13">
        <f>SUM([13]P5!$AV$121)</f>
        <v>862</v>
      </c>
      <c r="V51" s="47">
        <f>+INDEX('[10]PAGE 3'!$1:$1048576,MATCH("Leave - vacation, sick &amp; holiday compensation",'[10]PAGE 3'!$B:$B,0),10)</f>
        <v>710</v>
      </c>
      <c r="W51" s="13">
        <f>+INDEX('[10]PAGE 3'!$1:$1048576,MATCH("Leave - vacation, sick &amp; holiday compensation",'[10]PAGE 3'!$B:$B,0),12)</f>
        <v>13961</v>
      </c>
      <c r="X51" s="47">
        <f>IFERROR(VLOOKUP("Vacation &amp; Time Off Pay                     ",'[11]PAGE 3'!$B:$S,6,FALSE),0)</f>
        <v>0</v>
      </c>
      <c r="Y51" s="13">
        <f>IFERROR(VLOOKUP("Vacation &amp; Time Off Pay                     ",'[11]PAGE 3'!$B:$S,8,FALSE),0)</f>
        <v>0</v>
      </c>
      <c r="Z51" s="47">
        <f>IFERROR(VLOOKUP("Vacation &amp; Time Off Pay                     ",'[12]PAGE 3'!$B:$S,6,FALSE),0)</f>
        <v>3049</v>
      </c>
      <c r="AA51" s="13">
        <f>IFERROR(VLOOKUP("Vacation &amp; Time Off Pay                     ",'[12]PAGE 3'!$B:$S,8,FALSE),0)</f>
        <v>4453</v>
      </c>
      <c r="AB51" s="47">
        <f t="shared" si="0"/>
        <v>31396</v>
      </c>
      <c r="AC51" s="13">
        <f t="shared" si="1"/>
        <v>204433</v>
      </c>
    </row>
    <row r="52" spans="1:29">
      <c r="A52" s="5" t="s">
        <v>18</v>
      </c>
      <c r="B52" s="47">
        <f>INDEX('[4]Page 3'!$B:$DP,MATCH("0250",'[4]Page 3'!$R:$R,0),18)</f>
        <v>10057</v>
      </c>
      <c r="C52" s="13">
        <f>INDEX('[4]Page 3'!$B:$DP,MATCH("0250",'[4]Page 3'!$R:$R,0),34)</f>
        <v>132497</v>
      </c>
      <c r="D52" s="47">
        <f>INDEX('[5]Page 3'!$B:$DP,MATCH("0250",'[5]Page 3'!$R:$R,0),18)</f>
        <v>9833</v>
      </c>
      <c r="E52" s="13">
        <f>INDEX('[5]Page 3'!$B:$DP,MATCH("0250",'[5]Page 3'!$R:$R,0),34)</f>
        <v>151653</v>
      </c>
      <c r="F52" s="47">
        <f>INDEX('[6]Page 3'!$B:$DP,MATCH("0250",'[6]Page 3'!$R:$R,0),18)</f>
        <v>15286</v>
      </c>
      <c r="G52" s="13">
        <f>INDEX('[6]Page 3'!$B:$DP,MATCH("0250",'[6]Page 3'!$R:$R,0),34)</f>
        <v>165959</v>
      </c>
      <c r="H52" s="47">
        <f>IFERROR(VLOOKUP("Payroll Taxes",'[7]PAGE 3'!$B:$P,12,FALSE),0)</f>
        <v>7075</v>
      </c>
      <c r="I52" s="13">
        <f>IFERROR(VLOOKUP("Payroll Taxes",'[7]PAGE 3'!$B:$P,14,FALSE),0)</f>
        <v>83095</v>
      </c>
      <c r="J52" s="47">
        <f>IFERROR(VLOOKUP("Payroll Taxes",'[8]PAGE 3'!$B:$P,12,FALSE),0)</f>
        <v>5801</v>
      </c>
      <c r="K52" s="13">
        <f>IFERROR(VLOOKUP("Payroll Taxes",'[8]PAGE 3'!$B:$P,14,FALSE),0)</f>
        <v>67126</v>
      </c>
      <c r="L52" s="47"/>
      <c r="M52" s="13"/>
      <c r="N52" s="47">
        <f>IFERROR(VLOOKUP("Payroll Taxes                                         ",'[9]PAGE 3'!$B:$S,6,FALSE),0)</f>
        <v>12069</v>
      </c>
      <c r="O52" s="13">
        <f>IFERROR(VLOOKUP("Payroll Taxes                                         ",'[9]PAGE 3'!$B:$S,8,FALSE),0)</f>
        <v>132664</v>
      </c>
      <c r="P52" s="47">
        <f>$Q$3*'[2]PAGE 6'!$O$8</f>
        <v>6345.0752981734868</v>
      </c>
      <c r="Q52" s="13">
        <f>'[2]PAGE 6'!$BP$8</f>
        <v>97580</v>
      </c>
      <c r="R52" s="47">
        <f>[3]P6!$M$15*S3</f>
        <v>6424.4123159573237</v>
      </c>
      <c r="S52" s="13">
        <f>[3]P6!$BN$15</f>
        <v>90575</v>
      </c>
      <c r="T52" s="47">
        <f>[13]P6!$M$15*U3</f>
        <v>1736.1427342742093</v>
      </c>
      <c r="U52" s="13">
        <f>[13]P6!$BN$15</f>
        <v>26252</v>
      </c>
      <c r="V52" s="47">
        <f>+INDEX('[10]PAGE 3'!$1:$1048576,MATCH("taxes payroll",'[10]PAGE 3'!$B:$B,0),10)</f>
        <v>3524</v>
      </c>
      <c r="W52" s="13">
        <f>+INDEX('[10]PAGE 3'!$1:$1048576,MATCH("taxes payroll",'[10]PAGE 3'!$B:$B,0),12)</f>
        <v>27563</v>
      </c>
      <c r="X52" s="47">
        <f>IFERROR(VLOOKUP("Payroll Taxes                                         ",'[11]PAGE 3'!$B:$S,6,FALSE),0)</f>
        <v>0</v>
      </c>
      <c r="Y52" s="13">
        <f>IFERROR(VLOOKUP("Payroll Taxes                                         ",'[11]PAGE 3'!$B:$S,8,FALSE),0)</f>
        <v>0</v>
      </c>
      <c r="Z52" s="47">
        <f>IFERROR(VLOOKUP("Payroll Taxes                                         ",'[12]PAGE 3'!$B:$S,6,FALSE),0)</f>
        <v>8298</v>
      </c>
      <c r="AA52" s="13">
        <f>IFERROR(VLOOKUP("Payroll Taxes                                         ",'[12]PAGE 3'!$B:$S,8,FALSE),0)</f>
        <v>21777</v>
      </c>
      <c r="AB52" s="47">
        <f t="shared" si="0"/>
        <v>86448.630348405015</v>
      </c>
      <c r="AC52" s="13">
        <f t="shared" si="1"/>
        <v>996741</v>
      </c>
    </row>
    <row r="53" spans="1:29">
      <c r="A53" s="5" t="s">
        <v>19</v>
      </c>
      <c r="B53" s="47">
        <f>INDEX('[4]Page 3'!$B:$DP,MATCH("0260",'[4]Page 3'!$R:$R,0),18)</f>
        <v>7048</v>
      </c>
      <c r="C53" s="13">
        <f>INDEX('[4]Page 3'!$B:$DP,MATCH("0260",'[4]Page 3'!$R:$R,0),34)</f>
        <v>56171</v>
      </c>
      <c r="D53" s="47">
        <f>INDEX('[5]Page 3'!$B:$DP,MATCH("0260",'[5]Page 3'!$R:$R,0),18)</f>
        <v>15832</v>
      </c>
      <c r="E53" s="13">
        <f>INDEX('[5]Page 3'!$B:$DP,MATCH("0260",'[5]Page 3'!$R:$R,0),34)</f>
        <v>122763</v>
      </c>
      <c r="F53" s="47">
        <f>INDEX('[6]Page 3'!$B:$DP,MATCH("0260",'[6]Page 3'!$R:$R,0),18)</f>
        <v>14048</v>
      </c>
      <c r="G53" s="13">
        <f>INDEX('[6]Page 3'!$B:$DP,MATCH("0260",'[6]Page 3'!$R:$R,0),34)</f>
        <v>128599</v>
      </c>
      <c r="H53" s="47">
        <f>IFERROR(VLOOKUP("Employee Benefits/Pension/401K/Workers' Comp",'[7]PAGE 3'!$B:$P,12,FALSE),0)</f>
        <v>7785</v>
      </c>
      <c r="I53" s="13">
        <f>IFERROR(VLOOKUP("Employee Benefits/Pension/401K/Workers' Comp",'[7]PAGE 3'!$B:$P,14,FALSE),0)</f>
        <v>69048</v>
      </c>
      <c r="J53" s="47">
        <f>IFERROR(VLOOKUP("Employee Benefits/Pension/401K/Workers' Comp",'[8]PAGE 3'!$B:$P,12,FALSE),0)</f>
        <v>4453</v>
      </c>
      <c r="K53" s="13">
        <f>IFERROR(VLOOKUP("Employee Benefits/Pension/401K/Workers' Comp",'[8]PAGE 3'!$B:$P,14,FALSE),0)</f>
        <v>37576</v>
      </c>
      <c r="L53" s="47"/>
      <c r="M53" s="13"/>
      <c r="N53" s="47">
        <f>IFERROR(VLOOKUP("Employee Benefits                                 ",'[9]PAGE 3'!$B:$S,6,FALSE),0)</f>
        <v>9306</v>
      </c>
      <c r="O53" s="13">
        <f>IFERROR(VLOOKUP("Employee Benefits                                 ",'[9]PAGE 3'!$B:$S,8,FALSE),0)</f>
        <v>89849</v>
      </c>
      <c r="P53" s="47">
        <f>$Q$3*'[2]PAGE 6'!$O$7</f>
        <v>6780.1766664525385</v>
      </c>
      <c r="Q53" s="13">
        <f>'[2]PAGE 6'!$BP$7</f>
        <v>82544</v>
      </c>
      <c r="R53" s="47">
        <f>[3]P6!$M$13*S3</f>
        <v>5930.5798318905026</v>
      </c>
      <c r="S53" s="13">
        <f>[3]P6!$BN$13</f>
        <v>63915</v>
      </c>
      <c r="T53" s="47">
        <f>[13]P6!$M$13*U3</f>
        <v>1827.9449939403416</v>
      </c>
      <c r="U53" s="13">
        <f>[13]P6!$BN$13</f>
        <v>29401</v>
      </c>
      <c r="V53" s="47">
        <f>+INDEX('[10]PAGE 3'!$1:$1048576,MATCH("employee benefits",'[10]PAGE 3'!$B:$B,0),10)</f>
        <v>2914</v>
      </c>
      <c r="W53" s="13">
        <f>+INDEX('[10]PAGE 3'!$1:$1048576,MATCH("employee benefits",'[10]PAGE 3'!$B:$B,0),12)</f>
        <v>6408</v>
      </c>
      <c r="X53" s="47">
        <f>IFERROR(VLOOKUP("Employee Benefits                                 ",'[11]PAGE 3'!$B:$S,6,FALSE),0)</f>
        <v>0</v>
      </c>
      <c r="Y53" s="13">
        <f>IFERROR(VLOOKUP("Employee Benefits                                 ",'[11]PAGE 3'!$B:$S,8,FALSE),0)</f>
        <v>0</v>
      </c>
      <c r="Z53" s="47">
        <f>IFERROR(VLOOKUP("Employee Benefits                                 ",'[12]PAGE 3'!$B:$S,6,FALSE),0)</f>
        <v>8534</v>
      </c>
      <c r="AA53" s="13">
        <f>IFERROR(VLOOKUP("Employee Benefits                                 ",'[12]PAGE 3'!$B:$S,8,FALSE),0)</f>
        <v>21570</v>
      </c>
      <c r="AB53" s="47">
        <f t="shared" si="0"/>
        <v>84458.701492283377</v>
      </c>
      <c r="AC53" s="13">
        <f t="shared" si="1"/>
        <v>707844</v>
      </c>
    </row>
    <row r="54" spans="1:29">
      <c r="A54" s="5" t="s">
        <v>20</v>
      </c>
      <c r="B54" s="47"/>
      <c r="C54" s="13"/>
      <c r="D54" s="47"/>
      <c r="E54" s="13"/>
      <c r="F54" s="47"/>
      <c r="G54" s="13"/>
      <c r="H54" s="47">
        <f>IFERROR(VLOOKUP("",'[7]PAGE 3'!$B:$P,12,FALSE),0)</f>
        <v>0</v>
      </c>
      <c r="I54" s="13">
        <f>IFERROR(VLOOKUP("",'[7]PAGE 3'!$B:$P,14,FALSE),0)</f>
        <v>0</v>
      </c>
      <c r="J54" s="47">
        <f>IFERROR(VLOOKUP("",'[8]PAGE 3'!$B:$P,12,FALSE),0)</f>
        <v>0</v>
      </c>
      <c r="K54" s="13">
        <f>IFERROR(VLOOKUP("",'[8]PAGE 3'!$B:$P,14,FALSE),0)</f>
        <v>0</v>
      </c>
      <c r="L54" s="47"/>
      <c r="M54" s="13"/>
      <c r="N54" s="47">
        <f>IFERROR(VLOOKUP("Pension Fund/Profit Sharing                  ",'[9]PAGE 3'!$B:$S,6,FALSE),0)</f>
        <v>476</v>
      </c>
      <c r="O54" s="13">
        <f>IFERROR(VLOOKUP("Pension Fund/Profit Sharing                  ",'[9]PAGE 3'!$B:$S,8,FALSE),0)</f>
        <v>5734</v>
      </c>
      <c r="P54" s="47">
        <f>$Q$3*'[2]PAGE 6'!$O$9</f>
        <v>651.12216012505087</v>
      </c>
      <c r="Q54" s="13">
        <f>'[2]PAGE 6'!$BP$9</f>
        <v>4464</v>
      </c>
      <c r="R54" s="47">
        <f>[3]P6!$M$17*S3</f>
        <v>717.66360997791742</v>
      </c>
      <c r="S54" s="13">
        <f>[3]P6!$BN$17</f>
        <v>9599</v>
      </c>
      <c r="T54" s="47">
        <f>[13]P6!$M$17*U3</f>
        <v>76.141874193674496</v>
      </c>
      <c r="U54" s="13">
        <f>[13]P6!$BN$17</f>
        <v>1158</v>
      </c>
      <c r="V54" s="47">
        <f>+INDEX('[10]PAGE 3'!$1:$1048576,MATCH("pension &amp; profit sharing",'[10]PAGE 3'!$B:$B,0),10)</f>
        <v>345</v>
      </c>
      <c r="W54" s="13">
        <f>+INDEX('[10]PAGE 3'!$1:$1048576,MATCH("pension &amp; profit sharing",'[10]PAGE 3'!$B:$B,0),12)</f>
        <v>1786</v>
      </c>
      <c r="X54" s="47">
        <f>IFERROR(VLOOKUP("Pension Fund/Profit Sharing                  ",'[11]PAGE 3'!$B:$S,6,FALSE),0)</f>
        <v>0</v>
      </c>
      <c r="Y54" s="13">
        <f>IFERROR(VLOOKUP("Pension Fund/Profit Sharing                  ",'[11]PAGE 3'!$B:$S,8,FALSE),0)</f>
        <v>0</v>
      </c>
      <c r="Z54" s="47">
        <f>IFERROR(VLOOKUP("Pension Fund/Profit Sharing                  ",'[12]PAGE 3'!$B:$S,6,FALSE),0)</f>
        <v>0</v>
      </c>
      <c r="AA54" s="13">
        <f>IFERROR(VLOOKUP("Pension Fund/Profit Sharing                  ",'[12]PAGE 3'!$B:$S,8,FALSE),0)</f>
        <v>0</v>
      </c>
      <c r="AB54" s="47">
        <f t="shared" si="0"/>
        <v>2265.9276442966429</v>
      </c>
      <c r="AC54" s="13">
        <f t="shared" si="1"/>
        <v>22741</v>
      </c>
    </row>
    <row r="55" spans="1:29">
      <c r="A55" s="4" t="s">
        <v>55</v>
      </c>
      <c r="B55" s="24">
        <f t="shared" ref="B55:C55" si="28">SUM(B47:B54)</f>
        <v>67577</v>
      </c>
      <c r="C55" s="25">
        <f t="shared" si="28"/>
        <v>692495</v>
      </c>
      <c r="D55" s="24">
        <f t="shared" ref="D55:E55" si="29">SUM(D47:D54)</f>
        <v>70162</v>
      </c>
      <c r="E55" s="25">
        <f t="shared" si="29"/>
        <v>729426</v>
      </c>
      <c r="F55" s="24">
        <f t="shared" ref="F55:G55" si="30">SUM(F47:F54)</f>
        <v>105593</v>
      </c>
      <c r="G55" s="25">
        <f t="shared" si="30"/>
        <v>1017427</v>
      </c>
      <c r="H55" s="24">
        <f t="shared" ref="H55:K55" si="31">SUM(H47:H54)</f>
        <v>71161</v>
      </c>
      <c r="I55" s="25">
        <f t="shared" si="31"/>
        <v>839154</v>
      </c>
      <c r="J55" s="24">
        <f t="shared" si="31"/>
        <v>55982</v>
      </c>
      <c r="K55" s="25">
        <f t="shared" si="31"/>
        <v>629378</v>
      </c>
      <c r="L55" s="24"/>
      <c r="M55" s="25"/>
      <c r="N55" s="24">
        <f t="shared" ref="N55:Q55" si="32">SUM(N47:N54)</f>
        <v>82076</v>
      </c>
      <c r="O55" s="25">
        <f t="shared" si="32"/>
        <v>850878</v>
      </c>
      <c r="P55" s="24">
        <f t="shared" si="32"/>
        <v>65211.700081368697</v>
      </c>
      <c r="Q55" s="25">
        <f t="shared" si="32"/>
        <v>773999</v>
      </c>
      <c r="R55" s="24">
        <f t="shared" ref="R55:S55" si="33">SUM(R46:R54)</f>
        <v>72908.280142254225</v>
      </c>
      <c r="S55" s="25">
        <f t="shared" si="33"/>
        <v>803270</v>
      </c>
      <c r="T55" s="24">
        <f t="shared" ref="T55:W55" si="34">SUM(T46:T54)</f>
        <v>15902.265022088433</v>
      </c>
      <c r="U55" s="25">
        <f t="shared" si="34"/>
        <v>221601</v>
      </c>
      <c r="V55" s="24">
        <f t="shared" si="34"/>
        <v>32852</v>
      </c>
      <c r="W55" s="25">
        <f t="shared" si="34"/>
        <v>204421</v>
      </c>
      <c r="X55" s="24">
        <f t="shared" ref="X55:AA55" si="35">SUM(X47:X54)</f>
        <v>0</v>
      </c>
      <c r="Y55" s="25">
        <f t="shared" si="35"/>
        <v>0</v>
      </c>
      <c r="Z55" s="24">
        <f t="shared" si="35"/>
        <v>53295</v>
      </c>
      <c r="AA55" s="25">
        <f t="shared" si="35"/>
        <v>158224</v>
      </c>
      <c r="AB55" s="24">
        <f t="shared" si="0"/>
        <v>692720.2452457113</v>
      </c>
      <c r="AC55" s="25">
        <f t="shared" si="1"/>
        <v>6920273</v>
      </c>
    </row>
    <row r="56" spans="1:29">
      <c r="A56" s="5" t="s">
        <v>21</v>
      </c>
      <c r="B56" s="47">
        <f>INDEX('[4]Page 3'!$B:$DP,MATCH("0310",'[4]Page 3'!$R:$R,0),18)</f>
        <v>850</v>
      </c>
      <c r="C56" s="13">
        <f>INDEX('[4]Page 3'!$B:$DP,MATCH("0310",'[4]Page 3'!$R:$R,0),34)</f>
        <v>10692</v>
      </c>
      <c r="D56" s="47">
        <f>INDEX('[5]Page 3'!$B:$DP,MATCH("0310",'[5]Page 3'!$R:$R,0),18)</f>
        <v>75</v>
      </c>
      <c r="E56" s="13">
        <f>INDEX('[5]Page 3'!$B:$DP,MATCH("0310",'[5]Page 3'!$R:$R,0),34)</f>
        <v>1103</v>
      </c>
      <c r="F56" s="47">
        <f>INDEX('[6]Page 3'!$B:$DP,MATCH("0310",'[6]Page 3'!$R:$R,0),18)</f>
        <v>536</v>
      </c>
      <c r="G56" s="13">
        <f>INDEX('[6]Page 3'!$B:$DP,MATCH("0310",'[6]Page 3'!$R:$R,0),34)</f>
        <v>3797</v>
      </c>
      <c r="H56" s="47">
        <f>IFERROR(VLOOKUP("Company Vehicle Expense",'[7]PAGE 3'!$B:$P,12,FALSE),0)</f>
        <v>1645</v>
      </c>
      <c r="I56" s="13">
        <f>IFERROR(VLOOKUP("Company Vehicle Expense",'[7]PAGE 3'!$B:$P,14,FALSE),0)</f>
        <v>29196</v>
      </c>
      <c r="J56" s="47">
        <f>IFERROR(VLOOKUP("Company Vehicle Expense",'[8]PAGE 3'!$B:$P,12,FALSE),0)</f>
        <v>173</v>
      </c>
      <c r="K56" s="13">
        <f>IFERROR(VLOOKUP("Company Vehicle Expense",'[8]PAGE 3'!$B:$P,14,FALSE),0)</f>
        <v>2837</v>
      </c>
      <c r="L56" s="47"/>
      <c r="M56" s="13"/>
      <c r="N56" s="47">
        <f>IFERROR(VLOOKUP("Demos. &amp; Company Vehicles - Dept'l.",'[9]PAGE 3'!$B:$S,6,FALSE)+VLOOKUP("Company Vehicles- Administration",'[9]PAGE 3'!$B:$S,6,FALSE),0)</f>
        <v>1443</v>
      </c>
      <c r="O56" s="13">
        <f>IFERROR(VLOOKUP("Demos. &amp; Company Vehicles - Dept'l.",'[9]PAGE 3'!$B:$S,8,FALSE)+VLOOKUP("Company Vehicles- Administration",'[9]PAGE 3'!$B:$S,8,FALSE),0)</f>
        <v>15474</v>
      </c>
      <c r="P56" s="47">
        <f>'[2]PAGE 5'!$AL$56</f>
        <v>-7411</v>
      </c>
      <c r="Q56" s="13">
        <f>'[2]PAGE 5'!$AW$56</f>
        <v>2852</v>
      </c>
      <c r="R56" s="47"/>
      <c r="S56" s="13"/>
      <c r="T56" s="47"/>
      <c r="U56" s="13"/>
      <c r="V56" s="47">
        <f>+INDEX('[10]PAGE 3'!$1:$1048576,MATCH("company vehicle expense",'[10]PAGE 3'!$B:$B,0),10)</f>
        <v>-532</v>
      </c>
      <c r="W56" s="13">
        <f>+INDEX('[10]PAGE 3'!$1:$1048576,MATCH("company vehicle expense",'[10]PAGE 3'!$B:$B,0),12)</f>
        <v>831</v>
      </c>
      <c r="X56" s="47">
        <f>IFERROR(VLOOKUP("Demos. &amp; Company Vehicles - Dept'l.",'[11]PAGE 3'!$B:$S,6,FALSE)+VLOOKUP("Company Vehicles- Administration",'[11]PAGE 3'!$B:$S,6,FALSE),0)</f>
        <v>0</v>
      </c>
      <c r="Y56" s="13">
        <f>IFERROR(VLOOKUP("Demos. &amp; Company Vehicles - Dept'l.",'[11]PAGE 3'!$B:$S,8,FALSE)+VLOOKUP("Company Vehicles- Administration",'[11]PAGE 3'!$B:$S,8,FALSE),0)</f>
        <v>0</v>
      </c>
      <c r="Z56" s="47">
        <f>IFERROR(VLOOKUP("Demos. &amp; Company Vehicles - Dept'l.",'[12]PAGE 3'!$B:$S,6,FALSE)+VLOOKUP("Company Vehicles- Administration",'[12]PAGE 3'!$B:$S,6,FALSE),0)</f>
        <v>30</v>
      </c>
      <c r="AA56" s="13">
        <f>IFERROR(VLOOKUP("Demos. &amp; Company Vehicles - Dept'l.",'[12]PAGE 3'!$B:$S,8,FALSE)+VLOOKUP("Company Vehicles- Administration",'[12]PAGE 3'!$B:$S,8,FALSE),0)</f>
        <v>993</v>
      </c>
      <c r="AB56" s="47">
        <f t="shared" si="0"/>
        <v>-3191</v>
      </c>
      <c r="AC56" s="13">
        <f t="shared" si="1"/>
        <v>67775</v>
      </c>
    </row>
    <row r="57" spans="1:29">
      <c r="A57" s="5" t="s">
        <v>22</v>
      </c>
      <c r="B57" s="47">
        <f>INDEX('[4]Page 3'!$B:$DP,MATCH("0320",'[4]Page 3'!$R:$R,0),18)</f>
        <v>0</v>
      </c>
      <c r="C57" s="13">
        <f>INDEX('[4]Page 3'!$B:$DP,MATCH("0320",'[4]Page 3'!$R:$R,0),34)</f>
        <v>434</v>
      </c>
      <c r="D57" s="47">
        <f>INDEX('[5]Page 3'!$B:$DP,MATCH("0320",'[5]Page 3'!$R:$R,0),18)</f>
        <v>85</v>
      </c>
      <c r="E57" s="13">
        <f>INDEX('[5]Page 3'!$B:$DP,MATCH("0320",'[5]Page 3'!$R:$R,0),34)</f>
        <v>8729</v>
      </c>
      <c r="F57" s="47">
        <f>INDEX('[6]Page 3'!$B:$DP,MATCH("0320",'[6]Page 3'!$R:$R,0),18)</f>
        <v>120</v>
      </c>
      <c r="G57" s="13">
        <f>INDEX('[6]Page 3'!$B:$DP,MATCH("0320",'[6]Page 3'!$R:$R,0),34)</f>
        <v>9932</v>
      </c>
      <c r="H57" s="47">
        <f>IFERROR(VLOOKUP("Other Supplies &amp; Tools",'[7]PAGE 3'!$B:$P,12,FALSE),0)</f>
        <v>8013</v>
      </c>
      <c r="I57" s="13">
        <f>IFERROR(VLOOKUP("Other Supplies &amp; Tools",'[7]PAGE 3'!$B:$P,14,FALSE),0)</f>
        <v>58070</v>
      </c>
      <c r="J57" s="47">
        <f>IFERROR(VLOOKUP("Other Supplies &amp; Tools",'[8]PAGE 3'!$B:$P,12,FALSE),0)</f>
        <v>-5144</v>
      </c>
      <c r="K57" s="13">
        <f>IFERROR(VLOOKUP("Other Supplies &amp; Tools",'[8]PAGE 3'!$B:$P,14,FALSE),0)</f>
        <v>-54785</v>
      </c>
      <c r="L57" s="47"/>
      <c r="M57" s="13"/>
      <c r="N57" s="47">
        <f>IFERROR(VLOOKUP("Supplies &amp; Small Tools",'[9]PAGE 3'!$B:$S,6,FALSE),0)</f>
        <v>-475</v>
      </c>
      <c r="O57" s="13">
        <f>IFERROR(VLOOKUP("Supplies &amp; Small Tools",'[9]PAGE 3'!$B:$S,8,FALSE),0)</f>
        <v>9637</v>
      </c>
      <c r="P57" s="47">
        <f>'[2]PAGE 5'!$AL$57</f>
        <v>6930</v>
      </c>
      <c r="Q57" s="13">
        <f>'[2]PAGE 5'!$AW$57</f>
        <v>53377</v>
      </c>
      <c r="R57" s="47">
        <f>[3]P5!$AM$113</f>
        <v>-627</v>
      </c>
      <c r="S57" s="13">
        <f>[3]P5!$AV$113</f>
        <v>-21316</v>
      </c>
      <c r="T57" s="47">
        <f>[13]P5!$AM$113</f>
        <v>-1333</v>
      </c>
      <c r="U57" s="13">
        <f>[13]P5!$AV$113</f>
        <v>-21009</v>
      </c>
      <c r="V57" s="47">
        <f>+INDEX('[10]PAGE 3'!$1:$1048576,MATCH("small tools &amp; other supplies",'[10]PAGE 3'!$B:$B,0),10)</f>
        <v>1484</v>
      </c>
      <c r="W57" s="13">
        <f>+INDEX('[10]PAGE 3'!$1:$1048576,MATCH("small tools &amp; other supplies",'[10]PAGE 3'!$B:$B,0),12)</f>
        <v>-21044</v>
      </c>
      <c r="X57" s="47">
        <f>IFERROR(VLOOKUP("Supplies &amp; Small Tools",'[11]PAGE 3'!$B:$S,6,FALSE),0)</f>
        <v>0</v>
      </c>
      <c r="Y57" s="13">
        <f>IFERROR(VLOOKUP("Supplies &amp; Small Tools",'[11]PAGE 3'!$B:$S,8,FALSE),0)</f>
        <v>0</v>
      </c>
      <c r="Z57" s="47">
        <f>IFERROR(VLOOKUP("Supplies &amp; Small Tools",'[12]PAGE 3'!$B:$S,6,FALSE),0)</f>
        <v>-500</v>
      </c>
      <c r="AA57" s="13">
        <f>IFERROR(VLOOKUP("Supplies &amp; Small Tools",'[12]PAGE 3'!$B:$S,8,FALSE),0)</f>
        <v>-7331</v>
      </c>
      <c r="AB57" s="47">
        <f t="shared" si="0"/>
        <v>8553</v>
      </c>
      <c r="AC57" s="13">
        <f t="shared" si="1"/>
        <v>14694</v>
      </c>
    </row>
    <row r="58" spans="1:29">
      <c r="A58" s="5" t="s">
        <v>23</v>
      </c>
      <c r="B58" s="47">
        <f>INDEX('[4]Page 3'!$B:$DP,MATCH("0340",'[4]Page 3'!$R:$R,0),18)</f>
        <v>0</v>
      </c>
      <c r="C58" s="13">
        <f>INDEX('[4]Page 3'!$B:$DP,MATCH("0340",'[4]Page 3'!$R:$R,0),34)</f>
        <v>0</v>
      </c>
      <c r="D58" s="47">
        <f>INDEX('[5]Page 3'!$B:$DP,MATCH("0340",'[5]Page 3'!$R:$R,0),18)</f>
        <v>0</v>
      </c>
      <c r="E58" s="13">
        <f>INDEX('[5]Page 3'!$B:$DP,MATCH("0340",'[5]Page 3'!$R:$R,0),34)</f>
        <v>0</v>
      </c>
      <c r="F58" s="47">
        <f>INDEX('[6]Page 3'!$B:$DP,MATCH("0340",'[6]Page 3'!$R:$R,0),18)</f>
        <v>0</v>
      </c>
      <c r="G58" s="13">
        <f>INDEX('[6]Page 3'!$B:$DP,MATCH("0340",'[6]Page 3'!$R:$R,0),34)</f>
        <v>0</v>
      </c>
      <c r="H58" s="47">
        <f>IFERROR(VLOOKUP("Postage/Express Mail/Freight",'[7]PAGE 3'!$B:$P,12,FALSE),0)</f>
        <v>727</v>
      </c>
      <c r="I58" s="13">
        <f>IFERROR(VLOOKUP("Postage/Express Mail/Freight",'[7]PAGE 3'!$B:$P,14,FALSE),0)</f>
        <v>4373</v>
      </c>
      <c r="J58" s="47">
        <f>IFERROR(VLOOKUP("Postage/Express Mail/Freight",'[8]PAGE 3'!$B:$P,12,FALSE),0)</f>
        <v>93</v>
      </c>
      <c r="K58" s="13">
        <f>IFERROR(VLOOKUP("Postage/Express Mail/Freight",'[8]PAGE 3'!$B:$P,14,FALSE),0)</f>
        <v>483</v>
      </c>
      <c r="L58" s="47"/>
      <c r="M58" s="13"/>
      <c r="N58" s="47">
        <f>IFERROR(VLOOKUP("",'[9]PAGE 3'!$B:$S,6,FALSE),0)</f>
        <v>0</v>
      </c>
      <c r="O58" s="13">
        <f>IFERROR(VLOOKUP("",'[9]PAGE 3'!$B:$S,8,FALSE),0)</f>
        <v>0</v>
      </c>
      <c r="P58" s="47">
        <f>'[2]PAGE 5'!$AL$58</f>
        <v>18</v>
      </c>
      <c r="Q58" s="13">
        <f>'[2]PAGE 5'!$AW$58</f>
        <v>471</v>
      </c>
      <c r="R58" s="47"/>
      <c r="S58" s="13"/>
      <c r="T58" s="47"/>
      <c r="U58" s="13"/>
      <c r="V58" s="47">
        <f>+INDEX('[10]PAGE 3'!$1:$1048576,MATCH("freight, express and cartage - parts department",'[10]PAGE 3'!$B:$B,0),10)</f>
        <v>0</v>
      </c>
      <c r="W58" s="13">
        <f>+INDEX('[10]PAGE 3'!$1:$1048576,MATCH("freight, express and cartage - parts department",'[10]PAGE 3'!$B:$B,0),12)</f>
        <v>0</v>
      </c>
      <c r="X58" s="47">
        <f>IFERROR(VLOOKUP("",'[11]PAGE 3'!$B:$S,6,FALSE),0)</f>
        <v>0</v>
      </c>
      <c r="Y58" s="13">
        <f>IFERROR(VLOOKUP("",'[11]PAGE 3'!$B:$S,8,FALSE),0)</f>
        <v>0</v>
      </c>
      <c r="Z58" s="47">
        <f>IFERROR(VLOOKUP("",'[12]PAGE 3'!$B:$S,6,FALSE),0)</f>
        <v>0</v>
      </c>
      <c r="AA58" s="13">
        <f>IFERROR(VLOOKUP("",'[12]PAGE 3'!$B:$S,8,FALSE),0)</f>
        <v>0</v>
      </c>
      <c r="AB58" s="47">
        <f t="shared" si="0"/>
        <v>838</v>
      </c>
      <c r="AC58" s="13">
        <f t="shared" si="1"/>
        <v>5327</v>
      </c>
    </row>
    <row r="59" spans="1:29">
      <c r="A59" s="5" t="s">
        <v>24</v>
      </c>
      <c r="B59" s="47">
        <f>INDEX('[4]Page 3'!$B:$DP,MATCH("0350",'[4]Page 3'!$R:$R,0),18)</f>
        <v>369</v>
      </c>
      <c r="C59" s="13">
        <f>INDEX('[4]Page 3'!$B:$DP,MATCH("0350",'[4]Page 3'!$R:$R,0),34)</f>
        <v>18763</v>
      </c>
      <c r="D59" s="47">
        <f>INDEX('[5]Page 3'!$B:$DP,MATCH("0350",'[5]Page 3'!$R:$R,0),18)</f>
        <v>8883</v>
      </c>
      <c r="E59" s="13">
        <f>INDEX('[5]Page 3'!$B:$DP,MATCH("0350",'[5]Page 3'!$R:$R,0),34)</f>
        <v>127107</v>
      </c>
      <c r="F59" s="47">
        <f>INDEX('[6]Page 3'!$B:$DP,MATCH("0350",'[6]Page 3'!$R:$R,0),18)</f>
        <v>8253</v>
      </c>
      <c r="G59" s="13">
        <f>INDEX('[6]Page 3'!$B:$DP,MATCH("0350",'[6]Page 3'!$R:$R,0),34)</f>
        <v>77672</v>
      </c>
      <c r="H59" s="47">
        <f>IFERROR(VLOOKUP("Adv. - Serv, Body, P &amp; A",'[7]PAGE 3'!$B:$P,12,FALSE),0)</f>
        <v>3300</v>
      </c>
      <c r="I59" s="13">
        <f>IFERROR(VLOOKUP("Adv. - Serv, Body, P &amp; A",'[7]PAGE 3'!$B:$P,14,FALSE),0)</f>
        <v>45112</v>
      </c>
      <c r="J59" s="47">
        <f>IFERROR(VLOOKUP("Adv. - Serv, Body, P &amp; A",'[8]PAGE 3'!$B:$P,12,FALSE),0)</f>
        <v>1968</v>
      </c>
      <c r="K59" s="13">
        <f>IFERROR(VLOOKUP("Adv. - Serv, Body, P &amp; A",'[8]PAGE 3'!$B:$P,14,FALSE),0)</f>
        <v>20621</v>
      </c>
      <c r="L59" s="47"/>
      <c r="M59" s="13"/>
      <c r="N59" s="47">
        <f>IFERROR(VLOOKUP("Advertising General &amp; Institutional",'[9]PAGE 3'!$B:$S,6,FALSE),0)</f>
        <v>445</v>
      </c>
      <c r="O59" s="13">
        <f>IFERROR(VLOOKUP("Advertising General &amp; Institutional",'[9]PAGE 3'!$B:$S,8,FALSE),0)</f>
        <v>805</v>
      </c>
      <c r="P59" s="47">
        <f>$Q$3*'[2]PAGE 6'!$O$10</f>
        <v>0</v>
      </c>
      <c r="Q59" s="13">
        <f>'[2]PAGE 6'!$BP$10</f>
        <v>2484</v>
      </c>
      <c r="R59" s="47">
        <f>IFERROR([3]P6!$M$19*S3,0)</f>
        <v>0</v>
      </c>
      <c r="S59" s="13">
        <f>IFERROR([3]P6!$BN$19,0)</f>
        <v>0</v>
      </c>
      <c r="T59" s="47">
        <f>IFERROR([13]P6!$M$19*U3,0)</f>
        <v>0</v>
      </c>
      <c r="U59" s="13">
        <f>IFERROR([13]P6!$BN$19,0)</f>
        <v>0</v>
      </c>
      <c r="V59" s="47"/>
      <c r="W59" s="13"/>
      <c r="X59" s="47">
        <f>IFERROR(VLOOKUP("Advertising General &amp; Institutional",'[11]PAGE 3'!$B:$S,6,FALSE),0)</f>
        <v>0</v>
      </c>
      <c r="Y59" s="13">
        <f>IFERROR(VLOOKUP("Advertising General &amp; Institutional",'[11]PAGE 3'!$B:$S,8,FALSE),0)</f>
        <v>0</v>
      </c>
      <c r="Z59" s="47">
        <f>IFERROR(VLOOKUP("Advertising General &amp; Institutional",'[12]PAGE 3'!$B:$S,6,FALSE),0)</f>
        <v>-11511</v>
      </c>
      <c r="AA59" s="13">
        <f>IFERROR(VLOOKUP("Advertising General &amp; Institutional",'[12]PAGE 3'!$B:$S,8,FALSE),0)</f>
        <v>-11001</v>
      </c>
      <c r="AB59" s="47">
        <f t="shared" si="0"/>
        <v>11707</v>
      </c>
      <c r="AC59" s="13">
        <f t="shared" si="1"/>
        <v>281563</v>
      </c>
    </row>
    <row r="60" spans="1:29">
      <c r="A60" s="5" t="s">
        <v>25</v>
      </c>
      <c r="B60" s="47">
        <f>INDEX('[4]Page 3'!$B:$DP,MATCH("0360",'[4]Page 3'!$R:$R,0),18)</f>
        <v>620</v>
      </c>
      <c r="C60" s="13">
        <f>INDEX('[4]Page 3'!$B:$DP,MATCH("0360",'[4]Page 3'!$R:$R,0),34)</f>
        <v>12835</v>
      </c>
      <c r="D60" s="47">
        <f>INDEX('[5]Page 3'!$B:$DP,MATCH("0360",'[5]Page 3'!$R:$R,0),18)</f>
        <v>1970</v>
      </c>
      <c r="E60" s="13">
        <f>INDEX('[5]Page 3'!$B:$DP,MATCH("0360",'[5]Page 3'!$R:$R,0),34)</f>
        <v>15434</v>
      </c>
      <c r="F60" s="47">
        <f>INDEX('[6]Page 3'!$B:$DP,MATCH("0360",'[6]Page 3'!$R:$R,0),18)</f>
        <v>3397</v>
      </c>
      <c r="G60" s="13">
        <f>INDEX('[6]Page 3'!$B:$DP,MATCH("0360",'[6]Page 3'!$R:$R,0),34)</f>
        <v>30242</v>
      </c>
      <c r="H60" s="47">
        <f>IFERROR(VLOOKUP("Office Supplies &amp; Stationery",'[7]PAGE 3'!$B:$P,12,FALSE),0)</f>
        <v>694</v>
      </c>
      <c r="I60" s="13">
        <f>IFERROR(VLOOKUP("Office Supplies &amp; Stationery",'[7]PAGE 3'!$B:$P,14,FALSE),0)</f>
        <v>6097</v>
      </c>
      <c r="J60" s="47">
        <f>IFERROR(VLOOKUP("Office Supplies &amp; Stationery",'[8]PAGE 3'!$B:$P,12,FALSE),0)</f>
        <v>958</v>
      </c>
      <c r="K60" s="13">
        <f>IFERROR(VLOOKUP("Office Supplies &amp; Stationery",'[8]PAGE 3'!$B:$P,14,FALSE),0)</f>
        <v>4237</v>
      </c>
      <c r="L60" s="47"/>
      <c r="M60" s="13"/>
      <c r="N60" s="47">
        <f>IFERROR(VLOOKUP("Stationery &amp; Office Supplies",'[9]PAGE 3'!$B:$S,6,FALSE),0)</f>
        <v>852</v>
      </c>
      <c r="O60" s="13">
        <f>IFERROR(VLOOKUP("Stationery &amp; Office Supplies",'[9]PAGE 3'!$B:$S,8,FALSE),0)</f>
        <v>8286</v>
      </c>
      <c r="P60" s="47">
        <f>$Q$3*'[2]PAGE 6'!$O$16</f>
        <v>1284.8035481038951</v>
      </c>
      <c r="Q60" s="13">
        <f>'[2]PAGE 6'!$BP$16</f>
        <v>7396</v>
      </c>
      <c r="R60" s="47">
        <f>[3]P6!$M$31*S3</f>
        <v>980.91493417974937</v>
      </c>
      <c r="S60" s="13">
        <f>[3]P6!$BN$31</f>
        <v>19899</v>
      </c>
      <c r="T60" s="47">
        <f>[13]P6!$M$31*U3</f>
        <v>685.54687438914732</v>
      </c>
      <c r="U60" s="13">
        <f>[13]P6!$BN$31</f>
        <v>8107</v>
      </c>
      <c r="V60" s="47">
        <f>+INDEX('[10]PAGE 3'!$1:$1048576,MATCH("stationery, office supplies &amp; postage",'[10]PAGE 3'!$B:$B,0),10)</f>
        <v>576</v>
      </c>
      <c r="W60" s="13">
        <f>+INDEX('[10]PAGE 3'!$1:$1048576,MATCH("stationery, office supplies &amp; postage",'[10]PAGE 3'!$B:$B,0),12)</f>
        <v>5455</v>
      </c>
      <c r="X60" s="47">
        <f>IFERROR(VLOOKUP("Stationery &amp; Office Supplies",'[11]PAGE 3'!$B:$S,6,FALSE),0)</f>
        <v>0</v>
      </c>
      <c r="Y60" s="13">
        <f>IFERROR(VLOOKUP("Stationery &amp; Office Supplies",'[11]PAGE 3'!$B:$S,8,FALSE),0)</f>
        <v>0</v>
      </c>
      <c r="Z60" s="47">
        <f>IFERROR(VLOOKUP("Stationery &amp; Office Supplies",'[12]PAGE 3'!$B:$S,6,FALSE),0)</f>
        <v>716</v>
      </c>
      <c r="AA60" s="13">
        <f>IFERROR(VLOOKUP("Stationery &amp; Office Supplies",'[12]PAGE 3'!$B:$S,8,FALSE),0)</f>
        <v>2969</v>
      </c>
      <c r="AB60" s="47">
        <f t="shared" si="0"/>
        <v>12734.265356672791</v>
      </c>
      <c r="AC60" s="13">
        <f t="shared" si="1"/>
        <v>120957</v>
      </c>
    </row>
    <row r="61" spans="1:29">
      <c r="A61" s="5" t="s">
        <v>26</v>
      </c>
      <c r="B61" s="47">
        <f>INDEX('[4]Page 3'!$B:$DP,MATCH("0370",'[4]Page 3'!$R:$R,0),18)</f>
        <v>5556</v>
      </c>
      <c r="C61" s="13">
        <f>INDEX('[4]Page 3'!$B:$DP,MATCH("0370",'[4]Page 3'!$R:$R,0),34)</f>
        <v>-9434</v>
      </c>
      <c r="D61" s="47">
        <f>INDEX('[5]Page 3'!$B:$DP,MATCH("0370",'[5]Page 3'!$R:$R,0),18)</f>
        <v>2838</v>
      </c>
      <c r="E61" s="13">
        <f>INDEX('[5]Page 3'!$B:$DP,MATCH("0370",'[5]Page 3'!$R:$R,0),34)</f>
        <v>-15167</v>
      </c>
      <c r="F61" s="47">
        <f>INDEX('[6]Page 3'!$B:$DP,MATCH("0370",'[6]Page 3'!$R:$R,0),18)</f>
        <v>17101</v>
      </c>
      <c r="G61" s="13">
        <f>INDEX('[6]Page 3'!$B:$DP,MATCH("0370",'[6]Page 3'!$R:$R,0),34)</f>
        <v>153722</v>
      </c>
      <c r="H61" s="47">
        <f>IFERROR(VLOOKUP("Laundry &amp; Uniforms",'[7]PAGE 3'!$B:$P,12,FALSE),0)</f>
        <v>633</v>
      </c>
      <c r="I61" s="13">
        <f>IFERROR(VLOOKUP("Laundry &amp; Uniforms",'[7]PAGE 3'!$B:$P,14,FALSE),0)</f>
        <v>5202</v>
      </c>
      <c r="J61" s="47">
        <f>IFERROR(VLOOKUP("Laundry &amp; Uniforms",'[8]PAGE 3'!$B:$P,12,FALSE),0)</f>
        <v>424</v>
      </c>
      <c r="K61" s="13">
        <f>IFERROR(VLOOKUP("Laundry &amp; Uniforms",'[8]PAGE 3'!$B:$P,14,FALSE),0)</f>
        <v>4817</v>
      </c>
      <c r="L61" s="47"/>
      <c r="M61" s="13"/>
      <c r="N61" s="47">
        <f>IFERROR(VLOOKUP("Laundry &amp; Uniforms",'[9]PAGE 3'!$B:$S,6,FALSE),0)</f>
        <v>132</v>
      </c>
      <c r="O61" s="13">
        <f>IFERROR(VLOOKUP("Laundry &amp; Uniforms",'[9]PAGE 3'!$B:$S,8,FALSE),0)</f>
        <v>6652</v>
      </c>
      <c r="P61" s="47"/>
      <c r="Q61" s="13"/>
      <c r="R61" s="47"/>
      <c r="S61" s="13"/>
      <c r="T61" s="47"/>
      <c r="U61" s="13"/>
      <c r="V61" s="47">
        <f>+INDEX('[10]PAGE 3'!$1:$1048576,MATCH("laundry &amp; uniforms",'[10]PAGE 3'!$B:$B,0),10)</f>
        <v>185</v>
      </c>
      <c r="W61" s="13">
        <f>+INDEX('[10]PAGE 3'!$1:$1048576,MATCH("laundry &amp; uniforms",'[10]PAGE 3'!$B:$B,0),12)</f>
        <v>2929</v>
      </c>
      <c r="X61" s="47">
        <f>IFERROR(VLOOKUP("Laundry &amp; Uniforms",'[11]PAGE 3'!$B:$S,6,FALSE),0)</f>
        <v>0</v>
      </c>
      <c r="Y61" s="13">
        <f>IFERROR(VLOOKUP("Laundry &amp; Uniforms",'[11]PAGE 3'!$B:$S,8,FALSE),0)</f>
        <v>0</v>
      </c>
      <c r="Z61" s="47">
        <f>IFERROR(VLOOKUP("Laundry &amp; Uniforms",'[12]PAGE 3'!$B:$S,6,FALSE),0)</f>
        <v>337</v>
      </c>
      <c r="AA61" s="13">
        <f>IFERROR(VLOOKUP("Laundry &amp; Uniforms",'[12]PAGE 3'!$B:$S,8,FALSE),0)</f>
        <v>1564</v>
      </c>
      <c r="AB61" s="47">
        <f t="shared" si="0"/>
        <v>27206</v>
      </c>
      <c r="AC61" s="13">
        <f t="shared" si="1"/>
        <v>150285</v>
      </c>
    </row>
    <row r="62" spans="1:29">
      <c r="A62" s="5" t="s">
        <v>27</v>
      </c>
      <c r="B62" s="47">
        <f>INDEX('[4]Page 3'!$B:$DP,MATCH("0380",'[4]Page 3'!$R:$R,0),18)</f>
        <v>3169</v>
      </c>
      <c r="C62" s="13">
        <f>INDEX('[4]Page 3'!$B:$DP,MATCH("0380",'[4]Page 3'!$R:$R,0),34)</f>
        <v>20715</v>
      </c>
      <c r="D62" s="47">
        <f>INDEX('[5]Page 3'!$B:$DP,MATCH("0380",'[5]Page 3'!$R:$R,0),18)</f>
        <v>-221</v>
      </c>
      <c r="E62" s="13">
        <f>INDEX('[5]Page 3'!$B:$DP,MATCH("0380",'[5]Page 3'!$R:$R,0),34)</f>
        <v>17242</v>
      </c>
      <c r="F62" s="47">
        <f>INDEX('[6]Page 3'!$B:$DP,MATCH("0380",'[6]Page 3'!$R:$R,0),18)</f>
        <v>4861</v>
      </c>
      <c r="G62" s="13">
        <f>INDEX('[6]Page 3'!$B:$DP,MATCH("0380",'[6]Page 3'!$R:$R,0),34)</f>
        <v>-25781</v>
      </c>
      <c r="H62" s="47">
        <f>IFERROR(VLOOKUP("Outside Services",'[7]PAGE 3'!$B:$P,12,FALSE),0)</f>
        <v>1799</v>
      </c>
      <c r="I62" s="13">
        <f>IFERROR(VLOOKUP("Outside Services",'[7]PAGE 3'!$B:$P,14,FALSE),0)</f>
        <v>58366</v>
      </c>
      <c r="J62" s="47">
        <f>IFERROR(VLOOKUP("Outside Services",'[8]PAGE 3'!$B:$P,12,FALSE),0)</f>
        <v>4992</v>
      </c>
      <c r="K62" s="13">
        <f>IFERROR(VLOOKUP("Outside Services",'[8]PAGE 3'!$B:$P,14,FALSE),0)</f>
        <v>48810</v>
      </c>
      <c r="L62" s="47"/>
      <c r="M62" s="13"/>
      <c r="N62" s="47">
        <f>IFERROR(VLOOKUP("Outside Services - Departmental",'[9]PAGE 3'!$B:$S,6,FALSE)+VLOOKUP("Outside Services - Gen. &amp; Inst.",'[9]PAGE 3'!$B:$S,6,FALSE),0)</f>
        <v>9927</v>
      </c>
      <c r="O62" s="13">
        <f>IFERROR(VLOOKUP("Outside Services - Departmental",'[9]PAGE 3'!$B:$S,8,FALSE)+VLOOKUP("Outside Services - Gen. &amp; Inst.",'[9]PAGE 3'!$B:$S,8,FALSE),0)</f>
        <v>104905</v>
      </c>
      <c r="P62" s="47">
        <f>$Q$3*'[2]PAGE 6'!$O$17</f>
        <v>-1713.1733902914284</v>
      </c>
      <c r="Q62" s="13">
        <f>'[2]PAGE 6'!$BP$17</f>
        <v>41302</v>
      </c>
      <c r="R62" s="47">
        <f>[3]P6!$M$33*S3</f>
        <v>10409.362360977671</v>
      </c>
      <c r="S62" s="13">
        <f>[3]P6!$BN$33</f>
        <v>148099</v>
      </c>
      <c r="T62" s="47">
        <f>[13]P6!$M$33*U3</f>
        <v>1032.2354079518354</v>
      </c>
      <c r="U62" s="13">
        <f>[13]P6!$BN$33</f>
        <v>29829</v>
      </c>
      <c r="V62" s="47">
        <f>+INDEX('[10]PAGE 3'!$1:$1048576,MATCH("outside services",'[10]PAGE 3'!$B:$B,0),10)</f>
        <v>0</v>
      </c>
      <c r="W62" s="13">
        <f>+INDEX('[10]PAGE 3'!$1:$1048576,MATCH("outside services",'[10]PAGE 3'!$B:$B,0),12)</f>
        <v>2000</v>
      </c>
      <c r="X62" s="47">
        <f>IFERROR(VLOOKUP("Outside Services - Departmental",'[11]PAGE 3'!$B:$S,6,FALSE)+VLOOKUP("Outside Services - Gen. &amp; Inst.",'[11]PAGE 3'!$B:$S,6,FALSE),0)</f>
        <v>0</v>
      </c>
      <c r="Y62" s="13">
        <f>IFERROR(VLOOKUP("Outside Services - Departmental",'[11]PAGE 3'!$B:$S,8,FALSE)+VLOOKUP("Outside Services - Gen. &amp; Inst.",'[11]PAGE 3'!$B:$S,8,FALSE),0)</f>
        <v>0</v>
      </c>
      <c r="Z62" s="47">
        <f>IFERROR(VLOOKUP("Outside Services - Departmental",'[12]PAGE 3'!$B:$S,6,FALSE)+VLOOKUP("Outside Services - Gen. &amp; Inst.",'[12]PAGE 3'!$B:$S,6,FALSE),0)</f>
        <v>607</v>
      </c>
      <c r="AA62" s="13">
        <f>IFERROR(VLOOKUP("Outside Services - Departmental",'[12]PAGE 3'!$B:$S,8,FALSE)+VLOOKUP("Outside Services - Gen. &amp; Inst.",'[12]PAGE 3'!$B:$S,8,FALSE),0)</f>
        <v>14087</v>
      </c>
      <c r="AB62" s="47">
        <f t="shared" si="0"/>
        <v>34862.424378638076</v>
      </c>
      <c r="AC62" s="13">
        <f t="shared" si="1"/>
        <v>459574</v>
      </c>
    </row>
    <row r="63" spans="1:29">
      <c r="A63" s="5" t="s">
        <v>28</v>
      </c>
      <c r="B63" s="47">
        <f>INDEX('[4]Page 3'!$B:$DP,MATCH("0390",'[4]Page 3'!$R:$R,0),18)</f>
        <v>665</v>
      </c>
      <c r="C63" s="13">
        <f>INDEX('[4]Page 3'!$B:$DP,MATCH("0390",'[4]Page 3'!$R:$R,0),34)</f>
        <v>6960</v>
      </c>
      <c r="D63" s="47">
        <f>INDEX('[5]Page 3'!$B:$DP,MATCH("0390",'[5]Page 3'!$R:$R,0),18)</f>
        <v>4856</v>
      </c>
      <c r="E63" s="13">
        <f>INDEX('[5]Page 3'!$B:$DP,MATCH("0390",'[5]Page 3'!$R:$R,0),34)</f>
        <v>37164</v>
      </c>
      <c r="F63" s="47">
        <f>INDEX('[6]Page 3'!$B:$DP,MATCH("0390",'[6]Page 3'!$R:$R,0),18)</f>
        <v>3738</v>
      </c>
      <c r="G63" s="13">
        <f>INDEX('[6]Page 3'!$B:$DP,MATCH("0390",'[6]Page 3'!$R:$R,0),34)</f>
        <v>20449</v>
      </c>
      <c r="H63" s="47">
        <f>IFERROR(VLOOKUP("Travel &amp; Entertainment",'[7]PAGE 3'!$B:$P,12,FALSE),0)</f>
        <v>60</v>
      </c>
      <c r="I63" s="13">
        <f>IFERROR(VLOOKUP("Travel &amp; Entertainment",'[7]PAGE 3'!$B:$P,14,FALSE),0)</f>
        <v>124</v>
      </c>
      <c r="J63" s="47">
        <f>IFERROR(VLOOKUP("Travel &amp; Entertainment",'[8]PAGE 3'!$B:$P,12,FALSE),0)</f>
        <v>0</v>
      </c>
      <c r="K63" s="13">
        <f>IFERROR(VLOOKUP("Travel &amp; Entertainment",'[8]PAGE 3'!$B:$P,14,FALSE),0)</f>
        <v>6</v>
      </c>
      <c r="L63" s="47"/>
      <c r="M63" s="13"/>
      <c r="N63" s="47">
        <f>IFERROR(VLOOKUP("Travel &amp; EntertainmentS",'[9]PAGE 3'!$B:$S,6,FALSE),0)</f>
        <v>0</v>
      </c>
      <c r="O63" s="13">
        <f>IFERROR(VLOOKUP("Travel &amp; EntertainmentS",'[9]PAGE 3'!$B:$S,8,FALSE),0)</f>
        <v>8</v>
      </c>
      <c r="P63" s="47">
        <f>$Q$3*'[2]PAGE 6'!$O$24</f>
        <v>406.95135007815679</v>
      </c>
      <c r="Q63" s="13">
        <f>'[2]PAGE 6'!$BP$24</f>
        <v>10965</v>
      </c>
      <c r="R63" s="47">
        <f>[3]P6!$M$47*S3</f>
        <v>619.65311696738911</v>
      </c>
      <c r="S63" s="13">
        <f>[3]P6!$BN$47</f>
        <v>7763</v>
      </c>
      <c r="T63" s="47">
        <f>[13]P6!$M$47*U3</f>
        <v>107.1926384925134</v>
      </c>
      <c r="U63" s="13">
        <f>[13]P6!$BN$47</f>
        <v>1747</v>
      </c>
      <c r="V63" s="47">
        <f>+INDEX('[10]PAGE 3'!$1:$1048576,MATCH("travel and entertainment",'[10]PAGE 3'!$B:$B,0),10)</f>
        <v>525</v>
      </c>
      <c r="W63" s="13">
        <f>+INDEX('[10]PAGE 3'!$1:$1048576,MATCH("travel and entertainment",'[10]PAGE 3'!$B:$B,0),12)</f>
        <v>1002</v>
      </c>
      <c r="X63" s="47">
        <f>IFERROR(VLOOKUP("Travel &amp; EntertainmentS",'[11]PAGE 3'!$B:$S,6,FALSE),0)</f>
        <v>0</v>
      </c>
      <c r="Y63" s="13">
        <f>IFERROR(VLOOKUP("Travel &amp; EntertainmentS",'[11]PAGE 3'!$B:$S,8,FALSE),0)</f>
        <v>0</v>
      </c>
      <c r="Z63" s="47">
        <f>IFERROR(VLOOKUP("Travel &amp; EntertainmentS",'[12]PAGE 3'!$B:$S,6,FALSE),0)</f>
        <v>411</v>
      </c>
      <c r="AA63" s="13">
        <f>IFERROR(VLOOKUP("Travel &amp; EntertainmentS",'[12]PAGE 3'!$B:$S,8,FALSE),0)</f>
        <v>1655</v>
      </c>
      <c r="AB63" s="47">
        <f t="shared" si="0"/>
        <v>11388.79710553806</v>
      </c>
      <c r="AC63" s="13">
        <f t="shared" si="1"/>
        <v>87843</v>
      </c>
    </row>
    <row r="64" spans="1:29">
      <c r="A64" s="5" t="s">
        <v>29</v>
      </c>
      <c r="B64" s="47">
        <f>INDEX('[4]Page 3'!$B:$DP,MATCH("0400",'[4]Page 3'!$R:$R,0),18)</f>
        <v>623</v>
      </c>
      <c r="C64" s="13">
        <f>INDEX('[4]Page 3'!$B:$DP,MATCH("0400",'[4]Page 3'!$R:$R,0),34)</f>
        <v>9577</v>
      </c>
      <c r="D64" s="47">
        <f>INDEX('[5]Page 3'!$B:$DP,MATCH("0400",'[5]Page 3'!$R:$R,0),18)</f>
        <v>1225</v>
      </c>
      <c r="E64" s="13">
        <f>INDEX('[5]Page 3'!$B:$DP,MATCH("0400",'[5]Page 3'!$R:$R,0),34)</f>
        <v>14856</v>
      </c>
      <c r="F64" s="47">
        <f>INDEX('[6]Page 3'!$B:$DP,MATCH("0400",'[6]Page 3'!$R:$R,0),18)</f>
        <v>0</v>
      </c>
      <c r="G64" s="13">
        <f>INDEX('[6]Page 3'!$B:$DP,MATCH("0400",'[6]Page 3'!$R:$R,0),34)</f>
        <v>19074</v>
      </c>
      <c r="H64" s="47">
        <f>IFERROR(VLOOKUP("Legal &amp; Auditing",'[7]PAGE 3'!$B:$P,12,FALSE),0)</f>
        <v>-1691</v>
      </c>
      <c r="I64" s="13">
        <f>IFERROR(VLOOKUP("Legal &amp; Auditing",'[7]PAGE 3'!$B:$P,14,FALSE),0)</f>
        <v>13963</v>
      </c>
      <c r="J64" s="47">
        <f>IFERROR(VLOOKUP("Legal &amp; Auditing",'[8]PAGE 3'!$B:$P,12,FALSE),0)</f>
        <v>3652</v>
      </c>
      <c r="K64" s="13">
        <f>IFERROR(VLOOKUP("Legal &amp; Auditing",'[8]PAGE 3'!$B:$P,14,FALSE),0)</f>
        <v>17100</v>
      </c>
      <c r="L64" s="47"/>
      <c r="M64" s="13"/>
      <c r="N64" s="47">
        <f>IFERROR(VLOOKUP("Legal and Auditing",'[9]PAGE 3'!$B:$S,6,FALSE),0)</f>
        <v>-2112</v>
      </c>
      <c r="O64" s="13">
        <f>IFERROR(VLOOKUP("Legal and Auditing",'[9]PAGE 3'!$B:$S,8,FALSE),0)</f>
        <v>14088</v>
      </c>
      <c r="P64" s="47"/>
      <c r="Q64" s="13"/>
      <c r="R64" s="47"/>
      <c r="S64" s="13"/>
      <c r="T64" s="47"/>
      <c r="U64" s="13"/>
      <c r="V64" s="47">
        <f>+INDEX('[10]PAGE 3'!$1:$1048576,MATCH("legal, accounting and auditing expense",'[10]PAGE 3'!$B:$B,0),10)</f>
        <v>3100</v>
      </c>
      <c r="W64" s="13">
        <f>+INDEX('[10]PAGE 3'!$1:$1048576,MATCH("legal, accounting and auditing expense",'[10]PAGE 3'!$B:$B,0),12)</f>
        <v>5671</v>
      </c>
      <c r="X64" s="47">
        <f>IFERROR(VLOOKUP("Legal and Auditing",'[11]PAGE 3'!$B:$S,6,FALSE),0)</f>
        <v>0</v>
      </c>
      <c r="Y64" s="13">
        <f>IFERROR(VLOOKUP("Legal and Auditing",'[11]PAGE 3'!$B:$S,8,FALSE),0)</f>
        <v>0</v>
      </c>
      <c r="Z64" s="47">
        <f>IFERROR(VLOOKUP("Legal and Auditing",'[12]PAGE 3'!$B:$S,6,FALSE),0)</f>
        <v>-1284</v>
      </c>
      <c r="AA64" s="13">
        <f>IFERROR(VLOOKUP("Legal and Auditing",'[12]PAGE 3'!$B:$S,8,FALSE),0)</f>
        <v>3253</v>
      </c>
      <c r="AB64" s="47">
        <f t="shared" si="0"/>
        <v>3513</v>
      </c>
      <c r="AC64" s="13">
        <f t="shared" si="1"/>
        <v>97582</v>
      </c>
    </row>
    <row r="65" spans="1:29">
      <c r="A65" s="5" t="s">
        <v>30</v>
      </c>
      <c r="B65" s="47">
        <f>INDEX('[4]Page 3'!$B:$DP,MATCH("0410",'[4]Page 3'!$R:$R,0),18)</f>
        <v>3668</v>
      </c>
      <c r="C65" s="13">
        <f>INDEX('[4]Page 3'!$B:$DP,MATCH("0410",'[4]Page 3'!$R:$R,0),34)</f>
        <v>37843</v>
      </c>
      <c r="D65" s="47">
        <f>INDEX('[5]Page 3'!$B:$DP,MATCH("0410",'[5]Page 3'!$R:$R,0),18)</f>
        <v>5198</v>
      </c>
      <c r="E65" s="13">
        <f>INDEX('[5]Page 3'!$B:$DP,MATCH("0410",'[5]Page 3'!$R:$R,0),34)</f>
        <v>56193</v>
      </c>
      <c r="F65" s="47">
        <f>INDEX('[6]Page 3'!$B:$DP,MATCH("0410",'[6]Page 3'!$R:$R,0),18)</f>
        <v>9277</v>
      </c>
      <c r="G65" s="13">
        <f>INDEX('[6]Page 3'!$B:$DP,MATCH("0410",'[6]Page 3'!$R:$R,0),34)</f>
        <v>90846</v>
      </c>
      <c r="H65" s="47">
        <f>IFERROR(VLOOKUP("Telephone",'[7]PAGE 3'!$B:$P,12,FALSE),0)</f>
        <v>239</v>
      </c>
      <c r="I65" s="13">
        <f>IFERROR(VLOOKUP("Telephone",'[7]PAGE 3'!$B:$P,14,FALSE),0)</f>
        <v>3475</v>
      </c>
      <c r="J65" s="47">
        <f>IFERROR(VLOOKUP("Telephone",'[8]PAGE 3'!$B:$P,12,FALSE),0)</f>
        <v>328</v>
      </c>
      <c r="K65" s="13">
        <f>IFERROR(VLOOKUP("Telephone",'[8]PAGE 3'!$B:$P,14,FALSE),0)</f>
        <v>5700</v>
      </c>
      <c r="L65" s="47"/>
      <c r="M65" s="13"/>
      <c r="N65" s="47">
        <f>IFERROR(VLOOKUP("Telephone ",'[9]PAGE 3'!$B:$S,6,FALSE),0)</f>
        <v>432</v>
      </c>
      <c r="O65" s="13">
        <f>IFERROR(VLOOKUP("Telephone ",'[9]PAGE 3'!$B:$S,8,FALSE),0)</f>
        <v>4604</v>
      </c>
      <c r="P65" s="47">
        <f>$Q$3*'[2]PAGE 6'!$O$13</f>
        <v>1525.3026166463244</v>
      </c>
      <c r="Q65" s="13">
        <f>'[2]PAGE 6'!$BP$13</f>
        <v>17420</v>
      </c>
      <c r="R65" s="47">
        <f>[3]P6!$M$25*S3</f>
        <v>136.89068858495264</v>
      </c>
      <c r="S65" s="13">
        <f>[3]P6!$BN$25</f>
        <v>4430</v>
      </c>
      <c r="T65" s="47">
        <f>IFERROR([13]P6!$M$25*U3,0)</f>
        <v>101.25249227882247</v>
      </c>
      <c r="U65" s="13">
        <f>[13]P6!$BN$25</f>
        <v>2845</v>
      </c>
      <c r="V65" s="47">
        <f>+INDEX('[10]PAGE 3'!$1:$1048576,MATCH("Telephone ",'[10]PAGE 3'!$B:$B,0),10)</f>
        <v>465</v>
      </c>
      <c r="W65" s="13">
        <f>+INDEX('[10]PAGE 3'!$1:$1048576,MATCH("Telephone ",'[10]PAGE 3'!$B:$B,0),12)</f>
        <v>1856</v>
      </c>
      <c r="X65" s="47">
        <f>IFERROR(VLOOKUP("Telephone ",'[11]PAGE 3'!$B:$S,6,FALSE),0)</f>
        <v>0</v>
      </c>
      <c r="Y65" s="13">
        <f>IFERROR(VLOOKUP("Telephone ",'[11]PAGE 3'!$B:$S,8,FALSE),0)</f>
        <v>0</v>
      </c>
      <c r="Z65" s="47">
        <f>IFERROR(VLOOKUP("Telephone ",'[12]PAGE 3'!$B:$S,6,FALSE),0)</f>
        <v>419</v>
      </c>
      <c r="AA65" s="13">
        <f>IFERROR(VLOOKUP("Telephone ",'[12]PAGE 3'!$B:$S,8,FALSE),0)</f>
        <v>2696</v>
      </c>
      <c r="AB65" s="47">
        <f t="shared" si="0"/>
        <v>21789.4457975101</v>
      </c>
      <c r="AC65" s="13">
        <f t="shared" si="1"/>
        <v>227908</v>
      </c>
    </row>
    <row r="66" spans="1:29">
      <c r="A66" s="5" t="s">
        <v>31</v>
      </c>
      <c r="B66" s="47">
        <f>INDEX('[4]Page 3'!$B:$DP,MATCH("0420",'[4]Page 3'!$R:$R,0),18)</f>
        <v>926</v>
      </c>
      <c r="C66" s="13">
        <f>INDEX('[4]Page 3'!$B:$DP,MATCH("0420",'[4]Page 3'!$R:$R,0),34)</f>
        <v>14373</v>
      </c>
      <c r="D66" s="47">
        <f>INDEX('[5]Page 3'!$B:$DP,MATCH("0420",'[5]Page 3'!$R:$R,0),18)</f>
        <v>1846</v>
      </c>
      <c r="E66" s="13">
        <f>INDEX('[5]Page 3'!$B:$DP,MATCH("0420",'[5]Page 3'!$R:$R,0),34)</f>
        <v>17093</v>
      </c>
      <c r="F66" s="47">
        <f>INDEX('[6]Page 3'!$B:$DP,MATCH("0420",'[6]Page 3'!$R:$R,0),18)</f>
        <v>1815</v>
      </c>
      <c r="G66" s="13">
        <f>INDEX('[6]Page 3'!$B:$DP,MATCH("0420",'[6]Page 3'!$R:$R,0),34)</f>
        <v>26554</v>
      </c>
      <c r="H66" s="47">
        <f>IFERROR(VLOOKUP("Training",'[7]PAGE 3'!$B:$P,12,FALSE),0)</f>
        <v>3251</v>
      </c>
      <c r="I66" s="13">
        <f>IFERROR(VLOOKUP("Training",'[7]PAGE 3'!$B:$P,14,FALSE),0)</f>
        <v>23780</v>
      </c>
      <c r="J66" s="47">
        <f>IFERROR(VLOOKUP("Training",'[8]PAGE 3'!$B:$P,12,FALSE),0)</f>
        <v>5323</v>
      </c>
      <c r="K66" s="13">
        <f>IFERROR(VLOOKUP("Training",'[8]PAGE 3'!$B:$P,14,FALSE),0)</f>
        <v>32130</v>
      </c>
      <c r="L66" s="47"/>
      <c r="M66" s="13"/>
      <c r="N66" s="47">
        <f>IFERROR(VLOOKUP("Personnel Training",'[9]PAGE 3'!$B:$S,6,FALSE),0)</f>
        <v>4424</v>
      </c>
      <c r="O66" s="13">
        <f>IFERROR(VLOOKUP("Personnel Training",'[9]PAGE 3'!$B:$S,8,FALSE),0)</f>
        <v>39009</v>
      </c>
      <c r="P66" s="47">
        <f>'[2]PAGE 5'!$AL$54</f>
        <v>5815</v>
      </c>
      <c r="Q66" s="13">
        <f>'[2]PAGE 5'!$AW$54</f>
        <v>44422</v>
      </c>
      <c r="R66" s="47">
        <f>SUM([3]P5!$AM$107)</f>
        <v>712</v>
      </c>
      <c r="S66" s="13">
        <f>SUM([3]P5!$AV$107)</f>
        <v>9620</v>
      </c>
      <c r="T66" s="47">
        <f>SUM([13]P5!$AM$107)</f>
        <v>0</v>
      </c>
      <c r="U66" s="13">
        <f>SUM([13]P5!$AV$107)</f>
        <v>0</v>
      </c>
      <c r="V66" s="47">
        <f>+INDEX('[10]PAGE 3'!$1:$1048576,MATCH("Training",'[10]PAGE 3'!$B:$B,0),10)</f>
        <v>303</v>
      </c>
      <c r="W66" s="13">
        <f>+INDEX('[10]PAGE 3'!$1:$1048576,MATCH("Training",'[10]PAGE 3'!$B:$B,0),12)</f>
        <v>3243</v>
      </c>
      <c r="X66" s="47">
        <f>IFERROR(VLOOKUP("Personnel Training",'[11]PAGE 3'!$B:$S,6,FALSE),0)</f>
        <v>0</v>
      </c>
      <c r="Y66" s="13">
        <f>IFERROR(VLOOKUP("Personnel Training",'[11]PAGE 3'!$B:$S,8,FALSE),0)</f>
        <v>0</v>
      </c>
      <c r="Z66" s="47">
        <f>IFERROR(VLOOKUP("Personnel Training",'[12]PAGE 3'!$B:$S,6,FALSE),0)</f>
        <v>1031</v>
      </c>
      <c r="AA66" s="13">
        <f>IFERROR(VLOOKUP("Personnel Training",'[12]PAGE 3'!$B:$S,8,FALSE),0)</f>
        <v>2348</v>
      </c>
      <c r="AB66" s="47">
        <f t="shared" si="0"/>
        <v>25446</v>
      </c>
      <c r="AC66" s="13">
        <f t="shared" si="1"/>
        <v>212572</v>
      </c>
    </row>
    <row r="67" spans="1:29">
      <c r="A67" s="5" t="s">
        <v>32</v>
      </c>
      <c r="B67" s="47">
        <f>INDEX('[4]Page 3'!$B:$DP,MATCH("0430",'[4]Page 3'!$R:$R,0),18)</f>
        <v>0</v>
      </c>
      <c r="C67" s="13">
        <f>INDEX('[4]Page 3'!$B:$DP,MATCH("0430",'[4]Page 3'!$R:$R,0),34)</f>
        <v>0</v>
      </c>
      <c r="D67" s="47">
        <f>INDEX('[5]Page 3'!$B:$DP,MATCH("0430",'[5]Page 3'!$R:$R,0),18)</f>
        <v>0</v>
      </c>
      <c r="E67" s="13">
        <f>INDEX('[5]Page 3'!$B:$DP,MATCH("0430",'[5]Page 3'!$R:$R,0),34)</f>
        <v>761</v>
      </c>
      <c r="F67" s="47">
        <f>INDEX('[6]Page 3'!$B:$DP,MATCH("0430",'[6]Page 3'!$R:$R,0),18)</f>
        <v>0</v>
      </c>
      <c r="G67" s="13">
        <f>INDEX('[6]Page 3'!$B:$DP,MATCH("0430",'[6]Page 3'!$R:$R,0),34)</f>
        <v>0</v>
      </c>
      <c r="H67" s="47">
        <f>IFERROR(VLOOKUP("Bad Debts",'[7]PAGE 3'!$B:$P,12,FALSE),0)</f>
        <v>-901</v>
      </c>
      <c r="I67" s="13">
        <f>IFERROR(VLOOKUP("Bad Debts",'[7]PAGE 3'!$B:$P,14,FALSE),0)</f>
        <v>0</v>
      </c>
      <c r="J67" s="47">
        <f>IFERROR(VLOOKUP("Bad Debts",'[8]PAGE 3'!$B:$P,12,FALSE),0)</f>
        <v>-251</v>
      </c>
      <c r="K67" s="13">
        <f>IFERROR(VLOOKUP("Bad Debts",'[8]PAGE 3'!$B:$P,14,FALSE),0)</f>
        <v>0</v>
      </c>
      <c r="L67" s="47"/>
      <c r="M67" s="13"/>
      <c r="N67" s="47">
        <f>IFERROR(VLOOKUP("",'[9]PAGE 3'!$B:$S,6,FALSE),0)</f>
        <v>0</v>
      </c>
      <c r="O67" s="13">
        <f>IFERROR(VLOOKUP("",'[9]PAGE 3'!$B:$S,8,FALSE),0)</f>
        <v>0</v>
      </c>
      <c r="P67" s="47">
        <f>'[2]PAGE 6'!$O$19*$Q$3</f>
        <v>-136.77237104130532</v>
      </c>
      <c r="Q67" s="13">
        <f>'[2]PAGE 6'!$Z$19*$Q$3</f>
        <v>0</v>
      </c>
      <c r="R67" s="47"/>
      <c r="S67" s="13"/>
      <c r="T67" s="47"/>
      <c r="U67" s="13"/>
      <c r="V67" s="47">
        <f>+INDEX('[10]PAGE 3'!$1:$1048576,MATCH("adjustments for doubtful accounts",'[10]PAGE 3'!$B:$B,0),10)+INDEX('[10]PAGE 3'!$1:$1048576,MATCH("bad debts recovered",'[10]PAGE 3'!$B:$B,0),10)</f>
        <v>0</v>
      </c>
      <c r="W67" s="13">
        <f>+INDEX('[10]PAGE 3'!$1:$1048576,MATCH("adjustments for doubtful accounts",'[10]PAGE 3'!$B:$B,0),12)+INDEX('[10]PAGE 3'!$1:$1048576,MATCH("bad debts recovered",'[10]PAGE 3'!$B:$B,0),12)</f>
        <v>0</v>
      </c>
      <c r="X67" s="47">
        <f>IFERROR(VLOOKUP("",'[11]PAGE 3'!$B:$S,6,FALSE),0)</f>
        <v>0</v>
      </c>
      <c r="Y67" s="13">
        <f>IFERROR(VLOOKUP("",'[11]PAGE 3'!$B:$S,8,FALSE),0)</f>
        <v>0</v>
      </c>
      <c r="Z67" s="47">
        <f>IFERROR(VLOOKUP("",'[12]PAGE 3'!$B:$S,6,FALSE),0)</f>
        <v>0</v>
      </c>
      <c r="AA67" s="13">
        <f>IFERROR(VLOOKUP("",'[12]PAGE 3'!$B:$S,8,FALSE),0)</f>
        <v>0</v>
      </c>
      <c r="AB67" s="47">
        <f t="shared" si="0"/>
        <v>-1288.7723710413054</v>
      </c>
      <c r="AC67" s="13">
        <f t="shared" si="1"/>
        <v>761</v>
      </c>
    </row>
    <row r="68" spans="1:29">
      <c r="A68" s="7" t="s">
        <v>33</v>
      </c>
      <c r="B68" s="47">
        <f>INDEX('[4]Page 3'!$B:$DP,MATCH("0440",'[4]Page 3'!$R:$R,0),18)</f>
        <v>109</v>
      </c>
      <c r="C68" s="13">
        <f>INDEX('[4]Page 3'!$B:$DP,MATCH("0440",'[4]Page 3'!$R:$R,0),34)</f>
        <v>2728</v>
      </c>
      <c r="D68" s="47">
        <f>INDEX('[5]Page 3'!$B:$DP,MATCH("0440",'[5]Page 3'!$R:$R,0),18)</f>
        <v>1440</v>
      </c>
      <c r="E68" s="13">
        <f>INDEX('[5]Page 3'!$B:$DP,MATCH("0440",'[5]Page 3'!$R:$R,0),34)</f>
        <v>10416</v>
      </c>
      <c r="F68" s="47">
        <f>INDEX('[6]Page 3'!$B:$DP,MATCH("0440",'[6]Page 3'!$R:$R,0),18)</f>
        <v>982</v>
      </c>
      <c r="G68" s="13">
        <f>INDEX('[6]Page 3'!$B:$DP,MATCH("0440",'[6]Page 3'!$R:$R,0),34)</f>
        <v>5342</v>
      </c>
      <c r="H68" s="47">
        <f>IFERROR(VLOOKUP("mISCELLANEOUS",'[7]PAGE 3'!$B:$P,12,FALSE),0)</f>
        <v>517</v>
      </c>
      <c r="I68" s="13">
        <f>+VLOOKUP("mISCELLANEOUS",'[7]PAGE 3'!$B:$P,14,FALSE)</f>
        <v>1035</v>
      </c>
      <c r="J68" s="47">
        <f>IFERROR(VLOOKUP("mISCELLANEOUS",'[8]PAGE 3'!$B:$P,12,FALSE),0)</f>
        <v>0</v>
      </c>
      <c r="K68" s="13">
        <f>+VLOOKUP("mISCELLANEOUS",'[8]PAGE 3'!$B:$P,14,FALSE)</f>
        <v>0</v>
      </c>
      <c r="L68" s="47"/>
      <c r="M68" s="13"/>
      <c r="N68" s="47">
        <f>IFERROR(VLOOKUP("Miscellaneous Expenses",'[9]PAGE 3'!$B:$S,6,FALSE)+VLOOKUP("Postage",'[9]PAGE 3'!$B:$S,6,FALSE),0)</f>
        <v>412</v>
      </c>
      <c r="O68" s="13">
        <f>IFERROR(VLOOKUP("Miscellaneous Expenses",'[9]PAGE 3'!$B:$S,8,FALSE)+VLOOKUP("Postage",'[9]PAGE 3'!$B:$S,8,FALSE),0)</f>
        <v>2366</v>
      </c>
      <c r="P68" s="47">
        <f>$Q$3*'[2]PAGE 6'!$O$25</f>
        <v>3535.5810903406777</v>
      </c>
      <c r="Q68" s="13">
        <f>'[2]PAGE 6'!$BP$25</f>
        <v>22539</v>
      </c>
      <c r="R68" s="47"/>
      <c r="S68" s="13"/>
      <c r="T68" s="47"/>
      <c r="U68" s="13"/>
      <c r="V68" s="47">
        <f>+INDEX('[10]PAGE 3'!$1:$1048576,MATCH("miscellaneous",'[10]PAGE 3'!$B:$B,0),10)</f>
        <v>3389</v>
      </c>
      <c r="W68" s="13">
        <f>+INDEX('[10]PAGE 3'!$1:$1048576,MATCH("miscellaneous",'[10]PAGE 3'!$B:$B,0),12)</f>
        <v>10953</v>
      </c>
      <c r="X68" s="47">
        <f>IFERROR(VLOOKUP("Miscellaneous Expenses",'[11]PAGE 3'!$B:$S,6,FALSE)+VLOOKUP("Postage",'[11]PAGE 3'!$B:$S,6,FALSE),0)</f>
        <v>0</v>
      </c>
      <c r="Y68" s="13">
        <f>IFERROR(VLOOKUP("Miscellaneous Expenses",'[11]PAGE 3'!$B:$S,8,FALSE)+VLOOKUP("Postage",'[11]PAGE 3'!$B:$S,8,FALSE),0)</f>
        <v>0</v>
      </c>
      <c r="Z68" s="47">
        <f>IFERROR(VLOOKUP("Miscellaneous Expenses",'[12]PAGE 3'!$B:$S,6,FALSE)+VLOOKUP("Postage",'[12]PAGE 3'!$B:$S,6,FALSE),0)</f>
        <v>580</v>
      </c>
      <c r="AA68" s="13">
        <f>IFERROR(VLOOKUP("Miscellaneous Expenses",'[12]PAGE 3'!$B:$S,8,FALSE)+VLOOKUP("Postage",'[12]PAGE 3'!$B:$S,8,FALSE),0)</f>
        <v>1710</v>
      </c>
      <c r="AB68" s="47">
        <f t="shared" si="0"/>
        <v>10964.581090340678</v>
      </c>
      <c r="AC68" s="13">
        <f t="shared" si="1"/>
        <v>57089</v>
      </c>
    </row>
    <row r="69" spans="1:29">
      <c r="A69" s="5" t="s">
        <v>34</v>
      </c>
      <c r="B69" s="47"/>
      <c r="C69" s="13"/>
      <c r="D69" s="47"/>
      <c r="E69" s="13"/>
      <c r="F69" s="47"/>
      <c r="G69" s="13"/>
      <c r="H69" s="47">
        <f>IFERROR(VLOOKUP("Data Processing Services",'[7]PAGE 3'!$B:$P,12,FALSE),0)</f>
        <v>11411</v>
      </c>
      <c r="I69" s="13">
        <f>IFERROR(VLOOKUP("Data Processing Services",'[7]PAGE 3'!$B:$P,14,FALSE),0)</f>
        <v>82816</v>
      </c>
      <c r="J69" s="47">
        <f>IFERROR(VLOOKUP("Data Processing Services",'[8]PAGE 3'!$B:$P,12,FALSE),0)</f>
        <v>7698</v>
      </c>
      <c r="K69" s="13">
        <f>IFERROR(VLOOKUP("Data Processing Services",'[8]PAGE 3'!$B:$P,14,FALSE),0)</f>
        <v>73417</v>
      </c>
      <c r="L69" s="47"/>
      <c r="M69" s="13"/>
      <c r="N69" s="47">
        <f>IFERROR(VLOOKUP("Data Processing Services",'[9]PAGE 3'!$B:$S,6,FALSE),0)</f>
        <v>8337</v>
      </c>
      <c r="O69" s="13">
        <f>IFERROR(VLOOKUP("Data Processing Services",'[9]PAGE 3'!$B:$S,8,FALSE),0)</f>
        <v>81949</v>
      </c>
      <c r="P69" s="47">
        <f>$Q$3*'[2]PAGE 6'!$O$18</f>
        <v>7243.7340313911909</v>
      </c>
      <c r="Q69" s="13">
        <f>'[2]PAGE 6'!$BP$18</f>
        <v>110419</v>
      </c>
      <c r="R69" s="47">
        <f>[3]P6!$M$35*S3</f>
        <v>3893.9595873218677</v>
      </c>
      <c r="S69" s="13">
        <f>[3]P6!$BN$35</f>
        <v>42587</v>
      </c>
      <c r="T69" s="47">
        <f>[13]P6!$M$35*U3</f>
        <v>1395.3943469252122</v>
      </c>
      <c r="U69" s="13">
        <f>[13]P6!$BN$35</f>
        <v>18354</v>
      </c>
      <c r="V69" s="47">
        <f>+INDEX('[10]PAGE 3'!$1:$1048576,MATCH("data processing",'[10]PAGE 3'!$B:$B,0),10)</f>
        <v>4281</v>
      </c>
      <c r="W69" s="13">
        <f>+INDEX('[10]PAGE 3'!$1:$1048576,MATCH("data processing",'[10]PAGE 3'!$B:$B,0),12)</f>
        <v>21470</v>
      </c>
      <c r="X69" s="47">
        <f>IFERROR(VLOOKUP("Data Processing Services",'[11]PAGE 3'!$B:$S,6,FALSE),0)</f>
        <v>0</v>
      </c>
      <c r="Y69" s="13">
        <f>IFERROR(VLOOKUP("Data Processing Services",'[11]PAGE 3'!$B:$S,8,FALSE),0)</f>
        <v>0</v>
      </c>
      <c r="Z69" s="47">
        <f>IFERROR(VLOOKUP("Data Processing Services",'[12]PAGE 3'!$B:$S,6,FALSE),0)</f>
        <v>-4509</v>
      </c>
      <c r="AA69" s="13">
        <f>IFERROR(VLOOKUP("Data Processing Services",'[12]PAGE 3'!$B:$S,8,FALSE),0)</f>
        <v>14828</v>
      </c>
      <c r="AB69" s="47">
        <f t="shared" si="0"/>
        <v>39751.087965638275</v>
      </c>
      <c r="AC69" s="13">
        <f t="shared" si="1"/>
        <v>445840</v>
      </c>
    </row>
    <row r="70" spans="1:29">
      <c r="A70" s="5" t="s">
        <v>35</v>
      </c>
      <c r="B70" s="47"/>
      <c r="C70" s="13"/>
      <c r="D70" s="47"/>
      <c r="E70" s="13"/>
      <c r="F70" s="47"/>
      <c r="G70" s="13"/>
      <c r="H70" s="47">
        <f>IFERROR(VLOOKUP("Contributions",'[7]PAGE 3'!$B:$P,12,FALSE),0)</f>
        <v>175</v>
      </c>
      <c r="I70" s="13">
        <f>IFERROR(VLOOKUP("Contributions",'[7]PAGE 3'!$B:$P,14,FALSE),0)</f>
        <v>3965</v>
      </c>
      <c r="J70" s="47">
        <f>IFERROR(VLOOKUP("Contributions",'[8]PAGE 3'!$B:$P,12,FALSE),0)</f>
        <v>0</v>
      </c>
      <c r="K70" s="13">
        <f>IFERROR(VLOOKUP("Contributions",'[8]PAGE 3'!$B:$P,14,FALSE),0)</f>
        <v>1734</v>
      </c>
      <c r="L70" s="47"/>
      <c r="M70" s="13"/>
      <c r="N70" s="47">
        <f>IFERROR(VLOOKUP("Contributions",'[9]PAGE 3'!$B:$S,6,FALSE),0)</f>
        <v>0</v>
      </c>
      <c r="O70" s="13">
        <f>IFERROR(VLOOKUP("Contributions",'[9]PAGE 3'!$B:$S,8,FALSE),0)</f>
        <v>9807</v>
      </c>
      <c r="P70" s="47">
        <f>$Q$3*'[2]PAGE 6'!$O$20</f>
        <v>0</v>
      </c>
      <c r="Q70" s="13">
        <f>'[2]PAGE 6'!$BP$20</f>
        <v>2578</v>
      </c>
      <c r="R70" s="47">
        <f>IFERROR([3]P6!$M$39*S3,0)</f>
        <v>0</v>
      </c>
      <c r="S70" s="13">
        <f>[3]P6!$BN$39</f>
        <v>319</v>
      </c>
      <c r="T70" s="47">
        <f>IFERROR([13]P6!$M$39*U3,0)</f>
        <v>0</v>
      </c>
      <c r="U70" s="13">
        <f>[13]P6!$BN$39</f>
        <v>0</v>
      </c>
      <c r="V70" s="47">
        <f>+INDEX('[10]PAGE 3'!$1:$1048576,MATCH("contributions",'[10]PAGE 3'!$B:$B,0),10)</f>
        <v>0</v>
      </c>
      <c r="W70" s="13">
        <f>+INDEX('[10]PAGE 3'!$1:$1048576,MATCH("contributions",'[10]PAGE 3'!$B:$B,0),12)</f>
        <v>0</v>
      </c>
      <c r="X70" s="47">
        <f>IFERROR(VLOOKUP("Contributions",'[11]PAGE 3'!$B:$S,6,FALSE),0)</f>
        <v>0</v>
      </c>
      <c r="Y70" s="13">
        <f>IFERROR(VLOOKUP("Contributions",'[11]PAGE 3'!$B:$S,8,FALSE),0)</f>
        <v>0</v>
      </c>
      <c r="Z70" s="47">
        <f>IFERROR(VLOOKUP("Contributions",'[12]PAGE 3'!$B:$S,6,FALSE),0)</f>
        <v>59</v>
      </c>
      <c r="AA70" s="13">
        <f>IFERROR(VLOOKUP("Contributions",'[12]PAGE 3'!$B:$S,8,FALSE),0)</f>
        <v>191</v>
      </c>
      <c r="AB70" s="47">
        <f t="shared" si="0"/>
        <v>234</v>
      </c>
      <c r="AC70" s="13">
        <f t="shared" si="1"/>
        <v>18594</v>
      </c>
    </row>
    <row r="71" spans="1:29">
      <c r="A71" s="5" t="s">
        <v>36</v>
      </c>
      <c r="B71" s="47">
        <f>INDEX('[4]Page 3'!$B:$DP,MATCH("0480",'[4]Page 3'!$R:$R,0),18)</f>
        <v>304</v>
      </c>
      <c r="C71" s="13">
        <f>INDEX('[4]Page 3'!$B:$DP,MATCH("0480",'[4]Page 3'!$R:$R,0),34)</f>
        <v>5562</v>
      </c>
      <c r="D71" s="47">
        <f>INDEX('[5]Page 3'!$B:$DP,MATCH("0480",'[5]Page 3'!$R:$R,0),18)</f>
        <v>864</v>
      </c>
      <c r="E71" s="13">
        <f>INDEX('[5]Page 3'!$B:$DP,MATCH("0480",'[5]Page 3'!$R:$R,0),34)</f>
        <v>14757</v>
      </c>
      <c r="F71" s="47">
        <f>INDEX('[6]Page 3'!$B:$DP,MATCH("0480",'[6]Page 3'!$R:$R,0),18)</f>
        <v>1281</v>
      </c>
      <c r="G71" s="13">
        <f>INDEX('[6]Page 3'!$B:$DP,MATCH("0480",'[6]Page 3'!$R:$R,0),34)</f>
        <v>11717</v>
      </c>
      <c r="H71" s="47">
        <f>IFERROR(VLOOKUP("Memberships,  Dues, Pblcns.",'[7]PAGE 3'!$B:$P,12,FALSE),0)</f>
        <v>363</v>
      </c>
      <c r="I71" s="13">
        <f>IFERROR(VLOOKUP("Memberships,  Dues, Pblcns.",'[7]PAGE 3'!$B:$P,14,FALSE),0)</f>
        <v>3213</v>
      </c>
      <c r="J71" s="47">
        <f>IFERROR(VLOOKUP("Memberships,  Dues, Pblcns.",'[8]PAGE 3'!$B:$P,12,FALSE),0)</f>
        <v>506</v>
      </c>
      <c r="K71" s="13">
        <f>IFERROR(VLOOKUP("Memberships,  Dues, Pblcns.",'[8]PAGE 3'!$B:$P,14,FALSE),0)</f>
        <v>8291</v>
      </c>
      <c r="L71" s="47"/>
      <c r="M71" s="13"/>
      <c r="N71" s="47">
        <f>IFERROR(VLOOKUP("Dues &amp; Subscriptions",'[9]PAGE 3'!$B:$S,6,FALSE),0)</f>
        <v>320</v>
      </c>
      <c r="O71" s="13">
        <f>IFERROR(VLOOKUP("Dues &amp; Subscriptions",'[9]PAGE 3'!$B:$S,8,FALSE),0)</f>
        <v>3539</v>
      </c>
      <c r="P71" s="47"/>
      <c r="Q71" s="13"/>
      <c r="R71" s="47"/>
      <c r="S71" s="13"/>
      <c r="T71" s="47"/>
      <c r="U71" s="13"/>
      <c r="V71" s="47">
        <f>+INDEX('[10]PAGE 3'!$1:$1048576,MATCH("membership, dues and publications",'[10]PAGE 3'!$B:$B,0),10)</f>
        <v>0</v>
      </c>
      <c r="W71" s="13">
        <f>+INDEX('[10]PAGE 3'!$1:$1048576,MATCH("membership, dues and publications",'[10]PAGE 3'!$B:$B,0),12)</f>
        <v>346</v>
      </c>
      <c r="X71" s="47">
        <f>IFERROR(VLOOKUP("Dues &amp; Subscriptions",'[11]PAGE 3'!$B:$S,6,FALSE),0)</f>
        <v>0</v>
      </c>
      <c r="Y71" s="13">
        <f>IFERROR(VLOOKUP("Dues &amp; Subscriptions",'[11]PAGE 3'!$B:$S,8,FALSE),0)</f>
        <v>0</v>
      </c>
      <c r="Z71" s="47">
        <f>IFERROR(VLOOKUP("Dues &amp; Subscriptions",'[12]PAGE 3'!$B:$S,6,FALSE),0)</f>
        <v>253</v>
      </c>
      <c r="AA71" s="13">
        <f>IFERROR(VLOOKUP("Dues &amp; Subscriptions",'[12]PAGE 3'!$B:$S,8,FALSE),0)</f>
        <v>880</v>
      </c>
      <c r="AB71" s="47">
        <f t="shared" ref="AB71:AB94" si="36">SUMIF($B$5:$AA$5,"Month",B71:AA71)</f>
        <v>3891</v>
      </c>
      <c r="AC71" s="13">
        <f t="shared" ref="AC71:AC94" si="37">SUMIF($B$5:$AA$5,"YTD",B71:AA71)</f>
        <v>48305</v>
      </c>
    </row>
    <row r="72" spans="1:29">
      <c r="A72" s="4" t="s">
        <v>56</v>
      </c>
      <c r="B72" s="24">
        <f t="shared" ref="B72:C72" si="38">SUM(B56:B71)</f>
        <v>16859</v>
      </c>
      <c r="C72" s="25">
        <f t="shared" si="38"/>
        <v>131048</v>
      </c>
      <c r="D72" s="24">
        <f t="shared" ref="D72:E72" si="39">SUM(D56:D71)</f>
        <v>29059</v>
      </c>
      <c r="E72" s="25">
        <f t="shared" si="39"/>
        <v>305688</v>
      </c>
      <c r="F72" s="24">
        <f t="shared" ref="F72:G72" si="40">SUM(F56:F71)</f>
        <v>51361</v>
      </c>
      <c r="G72" s="25">
        <f t="shared" si="40"/>
        <v>423566</v>
      </c>
      <c r="H72" s="24">
        <f t="shared" ref="H72:K72" si="41">SUM(H56:H71)</f>
        <v>30235</v>
      </c>
      <c r="I72" s="25">
        <f t="shared" si="41"/>
        <v>338787</v>
      </c>
      <c r="J72" s="24">
        <f t="shared" si="41"/>
        <v>20720</v>
      </c>
      <c r="K72" s="25">
        <f t="shared" si="41"/>
        <v>165398</v>
      </c>
      <c r="L72" s="24"/>
      <c r="M72" s="25"/>
      <c r="N72" s="24">
        <f t="shared" ref="N72:Q72" si="42">SUM(N56:N71)</f>
        <v>24137</v>
      </c>
      <c r="O72" s="25">
        <f t="shared" si="42"/>
        <v>301129</v>
      </c>
      <c r="P72" s="24">
        <f t="shared" si="42"/>
        <v>17498.426875227509</v>
      </c>
      <c r="Q72" s="25">
        <f t="shared" si="42"/>
        <v>316225</v>
      </c>
      <c r="R72" s="24">
        <f t="shared" ref="R72:S72" si="43">SUM(R56:R71)</f>
        <v>16125.780688031629</v>
      </c>
      <c r="S72" s="25">
        <f t="shared" si="43"/>
        <v>211401</v>
      </c>
      <c r="T72" s="24">
        <f t="shared" ref="T72:AA72" si="44">SUM(T56:T71)</f>
        <v>1988.6217600375307</v>
      </c>
      <c r="U72" s="25">
        <f t="shared" si="44"/>
        <v>39873</v>
      </c>
      <c r="V72" s="24">
        <f t="shared" si="44"/>
        <v>13776</v>
      </c>
      <c r="W72" s="25">
        <f t="shared" si="44"/>
        <v>34712</v>
      </c>
      <c r="X72" s="24">
        <f t="shared" si="44"/>
        <v>0</v>
      </c>
      <c r="Y72" s="25">
        <f t="shared" si="44"/>
        <v>0</v>
      </c>
      <c r="Z72" s="24">
        <f t="shared" si="44"/>
        <v>-13361</v>
      </c>
      <c r="AA72" s="25">
        <f t="shared" si="44"/>
        <v>28842</v>
      </c>
      <c r="AB72" s="24">
        <f t="shared" si="36"/>
        <v>208398.82932329667</v>
      </c>
      <c r="AC72" s="25">
        <f t="shared" si="37"/>
        <v>2296669</v>
      </c>
    </row>
    <row r="73" spans="1:29">
      <c r="A73" s="5" t="s">
        <v>37</v>
      </c>
      <c r="B73" s="47">
        <f>INDEX('[4]Page 3'!$B:$DP,MATCH("0500",'[4]Page 3'!$R:$R,0),18)</f>
        <v>11300</v>
      </c>
      <c r="C73" s="13">
        <f>INDEX('[4]Page 3'!$B:$DP,MATCH("0500",'[4]Page 3'!$R:$R,0),34)</f>
        <v>136700</v>
      </c>
      <c r="D73" s="47">
        <f>INDEX('[5]Page 3'!$B:$DP,MATCH("0500",'[5]Page 3'!$R:$R,0),18)</f>
        <v>6900</v>
      </c>
      <c r="E73" s="13">
        <f>INDEX('[5]Page 3'!$B:$DP,MATCH("0500",'[5]Page 3'!$R:$R,0),34)</f>
        <v>82800</v>
      </c>
      <c r="F73" s="47">
        <f>INDEX('[6]Page 3'!$B:$DP,MATCH("0500",'[6]Page 3'!$R:$R,0),18)</f>
        <v>19710</v>
      </c>
      <c r="G73" s="13">
        <f>INDEX('[6]Page 3'!$B:$DP,MATCH("0500",'[6]Page 3'!$R:$R,0),34)</f>
        <v>233472</v>
      </c>
      <c r="H73" s="47">
        <f>IFERROR(VLOOKUP("Rent",'[7]PAGE 3'!$B:$P,12,FALSE),0)</f>
        <v>15224</v>
      </c>
      <c r="I73" s="13">
        <f>IFERROR(VLOOKUP("Rent",'[7]PAGE 3'!$B:$P,14,FALSE),0)</f>
        <v>177244</v>
      </c>
      <c r="J73" s="47">
        <f>IFERROR(VLOOKUP("Rent",'[8]PAGE 3'!$B:$P,12,FALSE),0)</f>
        <v>14859</v>
      </c>
      <c r="K73" s="13">
        <f>IFERROR(VLOOKUP("Rent",'[8]PAGE 3'!$B:$P,14,FALSE),0)</f>
        <v>164875</v>
      </c>
      <c r="L73" s="47"/>
      <c r="M73" s="13"/>
      <c r="N73" s="47">
        <f>IFERROR(VLOOKUP("Rent &amp; Equivalent",'[9]PAGE 3'!$B:$S,6,FALSE),0)</f>
        <v>24081</v>
      </c>
      <c r="O73" s="13">
        <f>IFERROR(VLOOKUP("Rent &amp; Equivalent",'[9]PAGE 3'!$B:$S,8,FALSE),0)</f>
        <v>245909</v>
      </c>
      <c r="P73" s="47">
        <f>$Q$3*'[2]PAGE 6'!$O$11</f>
        <v>12685.866897925098</v>
      </c>
      <c r="Q73" s="13">
        <f>'[2]PAGE 6'!$BP$11</f>
        <v>150014</v>
      </c>
      <c r="R73" s="47">
        <f>[3]P6!$M$21*S3</f>
        <v>8956.4850527417129</v>
      </c>
      <c r="S73" s="13">
        <f>[3]P6!$BN$21</f>
        <v>121572</v>
      </c>
      <c r="T73" s="47">
        <f>[13]P6!$M$21*U3</f>
        <v>2892.5811994214005</v>
      </c>
      <c r="U73" s="13">
        <f>[13]P6!$BN$21</f>
        <v>56253</v>
      </c>
      <c r="V73" s="47">
        <f>+INDEX('[10]PAGE 3'!$1:$1048576,MATCH("rent",'[10]PAGE 3'!$B:$B,0),10)</f>
        <v>13200</v>
      </c>
      <c r="W73" s="13">
        <f>+INDEX('[10]PAGE 3'!$1:$1048576,MATCH("rent",'[10]PAGE 3'!$B:$B,0),12)</f>
        <v>55300</v>
      </c>
      <c r="X73" s="47">
        <f>IFERROR(VLOOKUP("Rent &amp; Equivalent",'[11]PAGE 3'!$B:$S,6,FALSE),0)</f>
        <v>0</v>
      </c>
      <c r="Y73" s="13">
        <f>IFERROR(VLOOKUP("Rent &amp; Equivalent",'[11]PAGE 3'!$B:$S,8,FALSE),0)</f>
        <v>0</v>
      </c>
      <c r="Z73" s="47">
        <f>IFERROR(VLOOKUP("Rent &amp; Equivalent",'[12]PAGE 3'!$B:$S,6,FALSE),0)</f>
        <v>9000</v>
      </c>
      <c r="AA73" s="13">
        <f>IFERROR(VLOOKUP("Rent &amp; Equivalent",'[12]PAGE 3'!$B:$S,8,FALSE),0)</f>
        <v>35992</v>
      </c>
      <c r="AB73" s="47">
        <f t="shared" si="36"/>
        <v>138808.93315008821</v>
      </c>
      <c r="AC73" s="13">
        <f t="shared" si="37"/>
        <v>1460131</v>
      </c>
    </row>
    <row r="74" spans="1:29">
      <c r="A74" s="5" t="s">
        <v>38</v>
      </c>
      <c r="B74" s="47">
        <f>INDEX('[4]Page 3'!$B:$DP,MATCH("0510",'[4]Page 3'!$R:$R,0),18)</f>
        <v>-115</v>
      </c>
      <c r="C74" s="13">
        <f>INDEX('[4]Page 3'!$B:$DP,MATCH("0510",'[4]Page 3'!$R:$R,0),34)</f>
        <v>869</v>
      </c>
      <c r="D74" s="47">
        <f>INDEX('[5]Page 3'!$B:$DP,MATCH("0510",'[5]Page 3'!$R:$R,0),18)</f>
        <v>0</v>
      </c>
      <c r="E74" s="13">
        <f>INDEX('[5]Page 3'!$B:$DP,MATCH("0510",'[5]Page 3'!$R:$R,0),34)</f>
        <v>0</v>
      </c>
      <c r="F74" s="47">
        <f>INDEX('[6]Page 3'!$B:$DP,MATCH("0510",'[6]Page 3'!$R:$R,0),18)</f>
        <v>0</v>
      </c>
      <c r="G74" s="13">
        <f>INDEX('[6]Page 3'!$B:$DP,MATCH("0510",'[6]Page 3'!$R:$R,0),34)</f>
        <v>0</v>
      </c>
      <c r="H74" s="47">
        <f>IFERROR(VLOOKUP("Amortization  - Leaseholds",'[7]PAGE 3'!$B:$P,12,FALSE),0)</f>
        <v>0</v>
      </c>
      <c r="I74" s="13">
        <f>IFERROR(VLOOKUP("Amortization  - Leaseholds",'[7]PAGE 3'!$B:$P,14,FALSE),0)</f>
        <v>0</v>
      </c>
      <c r="J74" s="47">
        <f>IFERROR(VLOOKUP("Amortization  - Leaseholds",'[8]PAGE 3'!$B:$P,12,FALSE),0)</f>
        <v>0</v>
      </c>
      <c r="K74" s="13">
        <f>IFERROR(VLOOKUP("Amortization  - Leaseholds",'[8]PAGE 3'!$B:$P,14,FALSE),0)</f>
        <v>0</v>
      </c>
      <c r="L74" s="47"/>
      <c r="M74" s="13"/>
      <c r="N74" s="47">
        <f>IFERROR(VLOOKUP("",'[9]PAGE 3'!$B:$S,6,FALSE),0)</f>
        <v>0</v>
      </c>
      <c r="O74" s="13">
        <f>IFERROR(VLOOKUP("",'[9]PAGE 3'!$B:$S,8,FALSE),0)</f>
        <v>0</v>
      </c>
      <c r="P74" s="47"/>
      <c r="Q74" s="13"/>
      <c r="R74" s="47"/>
      <c r="S74" s="13"/>
      <c r="T74" s="47"/>
      <c r="U74" s="13"/>
      <c r="V74" s="47">
        <f>+INDEX('[10]PAGE 3'!$1:$1048576,MATCH("amortization - leaseholds",'[10]PAGE 3'!$B:$B,0),10)</f>
        <v>0</v>
      </c>
      <c r="W74" s="13">
        <f>+INDEX('[10]PAGE 3'!$1:$1048576,MATCH("amortization - leaseholds",'[10]PAGE 3'!$B:$B,0),12)</f>
        <v>0</v>
      </c>
      <c r="X74" s="47">
        <f>IFERROR(VLOOKUP("",'[11]PAGE 3'!$B:$S,6,FALSE),0)</f>
        <v>0</v>
      </c>
      <c r="Y74" s="13">
        <f>IFERROR(VLOOKUP("",'[11]PAGE 3'!$B:$S,8,FALSE),0)</f>
        <v>0</v>
      </c>
      <c r="Z74" s="47">
        <f>IFERROR(VLOOKUP("",'[12]PAGE 3'!$B:$S,6,FALSE),0)</f>
        <v>0</v>
      </c>
      <c r="AA74" s="13">
        <f>IFERROR(VLOOKUP("",'[12]PAGE 3'!$B:$S,8,FALSE),0)</f>
        <v>0</v>
      </c>
      <c r="AB74" s="47">
        <f t="shared" si="36"/>
        <v>-115</v>
      </c>
      <c r="AC74" s="13">
        <f t="shared" si="37"/>
        <v>869</v>
      </c>
    </row>
    <row r="75" spans="1:29">
      <c r="A75" s="5" t="s">
        <v>39</v>
      </c>
      <c r="B75" s="47">
        <f>INDEX('[4]Page 3'!$B:$DP,MATCH("0520",'[4]Page 3'!$R:$R,0),18)</f>
        <v>0</v>
      </c>
      <c r="C75" s="13">
        <f>INDEX('[4]Page 3'!$B:$DP,MATCH("0520",'[4]Page 3'!$R:$R,0),34)</f>
        <v>7824</v>
      </c>
      <c r="D75" s="47">
        <f>INDEX('[5]Page 3'!$B:$DP,MATCH("0520",'[5]Page 3'!$R:$R,0),18)</f>
        <v>0</v>
      </c>
      <c r="E75" s="13">
        <f>INDEX('[5]Page 3'!$B:$DP,MATCH("0520",'[5]Page 3'!$R:$R,0),34)</f>
        <v>3148</v>
      </c>
      <c r="F75" s="47">
        <f>INDEX('[6]Page 3'!$B:$DP,MATCH("0520",'[6]Page 3'!$R:$R,0),18)</f>
        <v>0</v>
      </c>
      <c r="G75" s="13">
        <f>INDEX('[6]Page 3'!$B:$DP,MATCH("0520",'[6]Page 3'!$R:$R,0),34)</f>
        <v>1169</v>
      </c>
      <c r="H75" s="47">
        <f>IFERROR(VLOOKUP("Repairs &amp; Maint - Real Estate",'[7]PAGE 3'!$B:$P,12,FALSE),0)</f>
        <v>0</v>
      </c>
      <c r="I75" s="13">
        <f>IFERROR(VLOOKUP("Repairs &amp; Maint - Real Estate",'[7]PAGE 3'!$B:$P,14,FALSE),0)</f>
        <v>431</v>
      </c>
      <c r="J75" s="47">
        <f>IFERROR(VLOOKUP("Repairs &amp; Maint - Real Estate",'[8]PAGE 3'!$B:$P,12,FALSE),0)</f>
        <v>116</v>
      </c>
      <c r="K75" s="13">
        <f>IFERROR(VLOOKUP("Repairs &amp; Maint - Real Estate",'[8]PAGE 3'!$B:$P,14,FALSE),0)</f>
        <v>186</v>
      </c>
      <c r="L75" s="47"/>
      <c r="M75" s="13"/>
      <c r="N75" s="47">
        <f>IFERROR(VLOOKUP("",'[9]PAGE 3'!$B:$S,6,FALSE),0)</f>
        <v>0</v>
      </c>
      <c r="O75" s="13">
        <f>IFERROR(VLOOKUP("",'[9]PAGE 3'!$B:$S,8,FALSE),0)</f>
        <v>0</v>
      </c>
      <c r="P75" s="47"/>
      <c r="Q75" s="13"/>
      <c r="R75" s="47"/>
      <c r="S75" s="13"/>
      <c r="T75" s="47"/>
      <c r="U75" s="13"/>
      <c r="V75" s="47">
        <f>+INDEX('[10]PAGE 3'!$1:$1048576,MATCH("repairs - real estate",'[10]PAGE 3'!$B:$B,0),10)</f>
        <v>355</v>
      </c>
      <c r="W75" s="13">
        <f>+INDEX('[10]PAGE 3'!$1:$1048576,MATCH("repairs - real estate",'[10]PAGE 3'!$B:$B,0),12)</f>
        <v>4142</v>
      </c>
      <c r="X75" s="47">
        <f>IFERROR(VLOOKUP("",'[11]PAGE 3'!$B:$S,6,FALSE),0)</f>
        <v>0</v>
      </c>
      <c r="Y75" s="13">
        <f>IFERROR(VLOOKUP("",'[11]PAGE 3'!$B:$S,8,FALSE),0)</f>
        <v>0</v>
      </c>
      <c r="Z75" s="47">
        <f>IFERROR(VLOOKUP("",'[12]PAGE 3'!$B:$S,6,FALSE),0)</f>
        <v>0</v>
      </c>
      <c r="AA75" s="13">
        <f>IFERROR(VLOOKUP("",'[12]PAGE 3'!$B:$S,8,FALSE),0)</f>
        <v>0</v>
      </c>
      <c r="AB75" s="47">
        <f t="shared" si="36"/>
        <v>471</v>
      </c>
      <c r="AC75" s="13">
        <f t="shared" si="37"/>
        <v>16900</v>
      </c>
    </row>
    <row r="76" spans="1:29">
      <c r="A76" s="5" t="s">
        <v>40</v>
      </c>
      <c r="B76" s="47">
        <f>INDEX('[4]Page 3'!$B:$DP,MATCH("0530",'[4]Page 3'!$R:$R,0),18)</f>
        <v>0</v>
      </c>
      <c r="C76" s="13">
        <f>INDEX('[4]Page 3'!$B:$DP,MATCH("0530",'[4]Page 3'!$R:$R,0),34)</f>
        <v>0</v>
      </c>
      <c r="D76" s="47">
        <f>INDEX('[5]Page 3'!$B:$DP,MATCH("0530",'[5]Page 3'!$R:$R,0),18)</f>
        <v>480</v>
      </c>
      <c r="E76" s="13">
        <f>INDEX('[5]Page 3'!$B:$DP,MATCH("0530",'[5]Page 3'!$R:$R,0),34)</f>
        <v>2880</v>
      </c>
      <c r="F76" s="47">
        <f>INDEX('[6]Page 3'!$B:$DP,MATCH("0530",'[6]Page 3'!$R:$R,0),18)</f>
        <v>304</v>
      </c>
      <c r="G76" s="13">
        <f>INDEX('[6]Page 3'!$B:$DP,MATCH("0530",'[6]Page 3'!$R:$R,0),34)</f>
        <v>2252</v>
      </c>
      <c r="H76" s="47">
        <f>IFERROR(VLOOKUP("Depreciation  - Bldg &amp; Imps",'[7]PAGE 3'!$B:$P,12,FALSE),0)</f>
        <v>0</v>
      </c>
      <c r="I76" s="13">
        <f>IFERROR(VLOOKUP("Depreciation  - Bldg &amp; Imps",'[7]PAGE 3'!$B:$P,14,FALSE),0)</f>
        <v>0</v>
      </c>
      <c r="J76" s="47">
        <f>IFERROR(VLOOKUP("Depreciation  - Bldg &amp; Imps",'[8]PAGE 3'!$B:$P,12,FALSE),0)</f>
        <v>0</v>
      </c>
      <c r="K76" s="13">
        <f>IFERROR(VLOOKUP("Depreciation  - Bldg &amp; Imps",'[8]PAGE 3'!$B:$P,14,FALSE),0)</f>
        <v>0</v>
      </c>
      <c r="L76" s="47"/>
      <c r="M76" s="13"/>
      <c r="N76" s="47">
        <f>IFERROR(VLOOKUP("",'[9]PAGE 3'!$B:$S,6,FALSE),0)</f>
        <v>0</v>
      </c>
      <c r="O76" s="13">
        <f>IFERROR(VLOOKUP("",'[9]PAGE 3'!$B:$S,8,FALSE),0)</f>
        <v>0</v>
      </c>
      <c r="P76" s="47"/>
      <c r="Q76" s="13"/>
      <c r="R76" s="47"/>
      <c r="S76" s="13"/>
      <c r="T76" s="47"/>
      <c r="U76" s="13"/>
      <c r="V76" s="47">
        <f>+INDEX('[10]PAGE 3'!$1:$1048576,MATCH("depreciation - buildings and improvements",'[10]PAGE 3'!$B:$B,0),10)</f>
        <v>0</v>
      </c>
      <c r="W76" s="13">
        <f>+INDEX('[10]PAGE 3'!$1:$1048576,MATCH("depreciation - buildings and improvements",'[10]PAGE 3'!$B:$B,0),12)</f>
        <v>0</v>
      </c>
      <c r="X76" s="47">
        <f>IFERROR(VLOOKUP("",'[11]PAGE 3'!$B:$S,6,FALSE),0)</f>
        <v>0</v>
      </c>
      <c r="Y76" s="13">
        <f>IFERROR(VLOOKUP("",'[11]PAGE 3'!$B:$S,8,FALSE),0)</f>
        <v>0</v>
      </c>
      <c r="Z76" s="47">
        <f>IFERROR(VLOOKUP("",'[12]PAGE 3'!$B:$S,6,FALSE),0)</f>
        <v>0</v>
      </c>
      <c r="AA76" s="13">
        <f>IFERROR(VLOOKUP("",'[12]PAGE 3'!$B:$S,8,FALSE),0)</f>
        <v>0</v>
      </c>
      <c r="AB76" s="47">
        <f t="shared" si="36"/>
        <v>784</v>
      </c>
      <c r="AC76" s="13">
        <f t="shared" si="37"/>
        <v>5132</v>
      </c>
    </row>
    <row r="77" spans="1:29">
      <c r="A77" s="5" t="s">
        <v>41</v>
      </c>
      <c r="B77" s="47">
        <f>INDEX('[4]Page 3'!$B:$DP,MATCH("0540",'[4]Page 3'!$R:$R,0),18)</f>
        <v>1146</v>
      </c>
      <c r="C77" s="13">
        <f>INDEX('[4]Page 3'!$B:$DP,MATCH("0540",'[4]Page 3'!$R:$R,0),34)</f>
        <v>10672</v>
      </c>
      <c r="D77" s="47">
        <f>INDEX('[5]Page 3'!$B:$DP,MATCH("0540",'[5]Page 3'!$R:$R,0),18)</f>
        <v>423</v>
      </c>
      <c r="E77" s="13">
        <f>INDEX('[5]Page 3'!$B:$DP,MATCH("0540",'[5]Page 3'!$R:$R,0),34)</f>
        <v>4760</v>
      </c>
      <c r="F77" s="47">
        <f>INDEX('[6]Page 3'!$B:$DP,MATCH("0540",'[6]Page 3'!$R:$R,0),18)</f>
        <v>0</v>
      </c>
      <c r="G77" s="13">
        <f>INDEX('[6]Page 3'!$B:$DP,MATCH("0540",'[6]Page 3'!$R:$R,0),34)</f>
        <v>0</v>
      </c>
      <c r="H77" s="47">
        <f>IFERROR(VLOOKUP("Insurance - Bldgs &amp; Imps",'[7]PAGE 3'!$B:$P,12,FALSE),0)</f>
        <v>0</v>
      </c>
      <c r="I77" s="13">
        <f>IFERROR(VLOOKUP("Insurance - Bldgs &amp; Imps",'[7]PAGE 3'!$B:$P,14,FALSE),0)</f>
        <v>0</v>
      </c>
      <c r="J77" s="47">
        <f>IFERROR(VLOOKUP("Insurance - Bldgs &amp; Imps",'[8]PAGE 3'!$B:$P,12,FALSE),0)</f>
        <v>0</v>
      </c>
      <c r="K77" s="13">
        <f>IFERROR(VLOOKUP("Insurance - Bldgs &amp; Imps",'[8]PAGE 3'!$B:$P,14,FALSE),0)</f>
        <v>0</v>
      </c>
      <c r="L77" s="47"/>
      <c r="M77" s="13"/>
      <c r="N77" s="47">
        <f>IFERROR(VLOOKUP("",'[9]PAGE 3'!$B:$S,6,FALSE),0)</f>
        <v>0</v>
      </c>
      <c r="O77" s="13">
        <f>IFERROR(VLOOKUP("",'[9]PAGE 3'!$B:$S,8,FALSE),0)</f>
        <v>0</v>
      </c>
      <c r="P77" s="47"/>
      <c r="Q77" s="13"/>
      <c r="R77" s="47"/>
      <c r="S77" s="13"/>
      <c r="T77" s="47"/>
      <c r="U77" s="13"/>
      <c r="V77" s="47">
        <f>+INDEX('[10]PAGE 3'!$1:$1048576,MATCH("insurance - building and improvements",'[10]PAGE 3'!$B:$B,0),10)</f>
        <v>0</v>
      </c>
      <c r="W77" s="13">
        <f>+INDEX('[10]PAGE 3'!$1:$1048576,MATCH("insurance - building and improvements",'[10]PAGE 3'!$B:$B,0),12)</f>
        <v>0</v>
      </c>
      <c r="X77" s="47">
        <f>IFERROR(VLOOKUP("",'[11]PAGE 3'!$B:$S,6,FALSE),0)</f>
        <v>0</v>
      </c>
      <c r="Y77" s="13">
        <f>IFERROR(VLOOKUP("",'[11]PAGE 3'!$B:$S,8,FALSE),0)</f>
        <v>0</v>
      </c>
      <c r="Z77" s="47">
        <f>IFERROR(VLOOKUP("",'[12]PAGE 3'!$B:$S,6,FALSE),0)</f>
        <v>0</v>
      </c>
      <c r="AA77" s="13">
        <f>IFERROR(VLOOKUP("",'[12]PAGE 3'!$B:$S,8,FALSE),0)</f>
        <v>0</v>
      </c>
      <c r="AB77" s="47">
        <f t="shared" si="36"/>
        <v>1569</v>
      </c>
      <c r="AC77" s="13">
        <f t="shared" si="37"/>
        <v>15432</v>
      </c>
    </row>
    <row r="78" spans="1:29">
      <c r="A78" s="5" t="s">
        <v>42</v>
      </c>
      <c r="B78" s="47">
        <f>INDEX('[4]Page 3'!$B:$DP,MATCH("0550",'[4]Page 3'!$R:$R,0),18)</f>
        <v>340</v>
      </c>
      <c r="C78" s="13">
        <f>INDEX('[4]Page 3'!$B:$DP,MATCH("0550",'[4]Page 3'!$R:$R,0),34)</f>
        <v>4080</v>
      </c>
      <c r="D78" s="47">
        <f>INDEX('[5]Page 3'!$B:$DP,MATCH("0550",'[5]Page 3'!$R:$R,0),18)</f>
        <v>876</v>
      </c>
      <c r="E78" s="13">
        <f>INDEX('[5]Page 3'!$B:$DP,MATCH("0550",'[5]Page 3'!$R:$R,0),34)</f>
        <v>10509</v>
      </c>
      <c r="F78" s="47">
        <f>INDEX('[6]Page 3'!$B:$DP,MATCH("0550",'[6]Page 3'!$R:$R,0),18)</f>
        <v>1390</v>
      </c>
      <c r="G78" s="13">
        <f>INDEX('[6]Page 3'!$B:$DP,MATCH("0550",'[6]Page 3'!$R:$R,0),34)</f>
        <v>6926</v>
      </c>
      <c r="H78" s="47">
        <f>IFERROR(VLOOKUP("Taxes - Real Estate",'[7]PAGE 3'!$B:$P,12,FALSE),0)</f>
        <v>461</v>
      </c>
      <c r="I78" s="13">
        <f>IFERROR(VLOOKUP("Taxes - Real Estate",'[7]PAGE 3'!$B:$P,14,FALSE),0)</f>
        <v>8034</v>
      </c>
      <c r="J78" s="47">
        <f>IFERROR(VLOOKUP("Taxes - Real Estate",'[8]PAGE 3'!$B:$P,12,FALSE),0)</f>
        <v>76</v>
      </c>
      <c r="K78" s="13">
        <f>IFERROR(VLOOKUP("Taxes - Real Estate",'[8]PAGE 3'!$B:$P,14,FALSE),0)</f>
        <v>5468</v>
      </c>
      <c r="L78" s="47"/>
      <c r="M78" s="13"/>
      <c r="N78" s="47">
        <f>IFERROR(VLOOKUP("",'[9]PAGE 3'!$B:$S,6,FALSE),0)</f>
        <v>0</v>
      </c>
      <c r="O78" s="13">
        <f>IFERROR(VLOOKUP("",'[9]PAGE 3'!$B:$S,8,FALSE),0)</f>
        <v>0</v>
      </c>
      <c r="P78" s="47"/>
      <c r="Q78" s="13"/>
      <c r="R78" s="47"/>
      <c r="S78" s="13"/>
      <c r="T78" s="47"/>
      <c r="U78" s="13"/>
      <c r="V78" s="47">
        <f>+INDEX('[10]PAGE 3'!$1:$1048576,MATCH("taxes - real estate",'[10]PAGE 3'!$B:$B,0),10)</f>
        <v>0</v>
      </c>
      <c r="W78" s="13">
        <f>+INDEX('[10]PAGE 3'!$1:$1048576,MATCH("taxes - real estate",'[10]PAGE 3'!$B:$B,0),12)</f>
        <v>0</v>
      </c>
      <c r="X78" s="47">
        <f>IFERROR(VLOOKUP("",'[11]PAGE 3'!$B:$S,6,FALSE),0)</f>
        <v>0</v>
      </c>
      <c r="Y78" s="13">
        <f>IFERROR(VLOOKUP("",'[11]PAGE 3'!$B:$S,8,FALSE),0)</f>
        <v>0</v>
      </c>
      <c r="Z78" s="47">
        <f>IFERROR(VLOOKUP("",'[12]PAGE 3'!$B:$S,6,FALSE),0)</f>
        <v>0</v>
      </c>
      <c r="AA78" s="13">
        <f>IFERROR(VLOOKUP("",'[12]PAGE 3'!$B:$S,8,FALSE),0)</f>
        <v>0</v>
      </c>
      <c r="AB78" s="47">
        <f t="shared" si="36"/>
        <v>3143</v>
      </c>
      <c r="AC78" s="13">
        <f t="shared" si="37"/>
        <v>35017</v>
      </c>
    </row>
    <row r="79" spans="1:29">
      <c r="A79" s="5" t="s">
        <v>255</v>
      </c>
      <c r="B79" s="47"/>
      <c r="C79" s="13"/>
      <c r="D79" s="47"/>
      <c r="E79" s="13"/>
      <c r="F79" s="47"/>
      <c r="G79" s="13"/>
      <c r="H79" s="47">
        <f>IFERROR(VLOOKUP("Mortgage Interest",'[7]PAGE 3'!$B:$P,12,FALSE)+VLOOKUP("Other Interest",'[7]PAGE 3'!$B:$P,12,FALSE),0)</f>
        <v>1878</v>
      </c>
      <c r="I79" s="13">
        <f>IFERROR(VLOOKUP("Mortgage Interest",'[7]PAGE 3'!$B:$P,14,FALSE)+VLOOKUP("Other Interest",'[7]PAGE 3'!$B:$P,14,FALSE),0)</f>
        <v>27142</v>
      </c>
      <c r="J79" s="47">
        <f>IFERROR(VLOOKUP("Mortgage Interest",'[8]PAGE 3'!$B:$P,12,FALSE)+VLOOKUP("Other Interest",'[8]PAGE 3'!$B:$P,12,FALSE),0)</f>
        <v>1878</v>
      </c>
      <c r="K79" s="13">
        <f>IFERROR(VLOOKUP("Mortgage Interest",'[8]PAGE 3'!$B:$P,14,FALSE)+VLOOKUP("Other Interest",'[8]PAGE 3'!$B:$P,14,FALSE),0)</f>
        <v>27142</v>
      </c>
      <c r="L79" s="47"/>
      <c r="M79" s="13"/>
      <c r="N79" s="47">
        <f>IFERROR(VLOOKUP("Interest - Other Than Floor Plan &amp; R.E. Mortgage",'[9]PAGE 3'!$B:$S,6,FALSE),0)</f>
        <v>1050</v>
      </c>
      <c r="O79" s="13">
        <f>IFERROR(VLOOKUP("Interest - Other Than Floor Plan &amp; R.E. Mortgage",'[9]PAGE 3'!$B:$S,8,FALSE),0)</f>
        <v>40425</v>
      </c>
      <c r="P79" s="47">
        <f>$Q$3*'[2]PAGE 6'!$O$21</f>
        <v>4283.6984218753341</v>
      </c>
      <c r="Q79" s="13">
        <f>'[2]PAGE 6'!$BP$21</f>
        <v>53682</v>
      </c>
      <c r="R79" s="47">
        <f>[3]P6!$M$41*S3</f>
        <v>1028.9751759314684</v>
      </c>
      <c r="S79" s="13">
        <f>[3]P6!$BN$41</f>
        <v>15138</v>
      </c>
      <c r="T79" s="47">
        <f>[13]P6!$M$41*U3</f>
        <v>1028.9953281989131</v>
      </c>
      <c r="U79" s="13">
        <f>[13]P6!$BN$41</f>
        <v>15138</v>
      </c>
      <c r="V79" s="47">
        <f>+INDEX('[10]PAGE 3'!$1:$1048576,MATCH("interest - real estate mortgage",'[10]PAGE 3'!$B:$B,0),10)</f>
        <v>0</v>
      </c>
      <c r="W79" s="13">
        <f>+INDEX('[10]PAGE 3'!$1:$1048576,MATCH("interest - real estate mortgage",'[10]PAGE 3'!$B:$B,0),12)</f>
        <v>0</v>
      </c>
      <c r="X79" s="47">
        <f>IFERROR(VLOOKUP("Interest - Other Than Floor Plan &amp; R.E. Mortgage",'[11]PAGE 3'!$B:$S,6,FALSE),0)</f>
        <v>0</v>
      </c>
      <c r="Y79" s="13">
        <f>IFERROR(VLOOKUP("Interest - Other Than Floor Plan &amp; R.E. Mortgage",'[11]PAGE 3'!$B:$S,8,FALSE),0)</f>
        <v>0</v>
      </c>
      <c r="Z79" s="47">
        <f>IFERROR(VLOOKUP("Interest - Other Than Floor Plan &amp; R.E. Mortgage",'[12]PAGE 3'!$B:$S,6,FALSE),0)</f>
        <v>7970</v>
      </c>
      <c r="AA79" s="13">
        <f>IFERROR(VLOOKUP("Interest - Other Than Floor Plan &amp; R.E. Mortgage",'[12]PAGE 3'!$B:$S,8,FALSE),0)</f>
        <v>7970</v>
      </c>
      <c r="AB79" s="47">
        <f t="shared" si="36"/>
        <v>19117.668926005717</v>
      </c>
      <c r="AC79" s="13">
        <f t="shared" si="37"/>
        <v>186637</v>
      </c>
    </row>
    <row r="80" spans="1:29">
      <c r="A80" s="5" t="s">
        <v>44</v>
      </c>
      <c r="B80" s="47">
        <f>INDEX('[4]Page 3'!$B:$DP,MATCH("0570",'[4]Page 3'!$R:$R,0),18)</f>
        <v>1178</v>
      </c>
      <c r="C80" s="13">
        <f>INDEX('[4]Page 3'!$B:$DP,MATCH("0570",'[4]Page 3'!$R:$R,0),34)</f>
        <v>19952</v>
      </c>
      <c r="D80" s="47">
        <f>INDEX('[5]Page 3'!$B:$DP,MATCH("0570",'[5]Page 3'!$R:$R,0),18)</f>
        <v>2086</v>
      </c>
      <c r="E80" s="13">
        <f>INDEX('[5]Page 3'!$B:$DP,MATCH("0570",'[5]Page 3'!$R:$R,0),34)</f>
        <v>29766</v>
      </c>
      <c r="F80" s="47">
        <f>INDEX('[6]Page 3'!$B:$DP,MATCH("0570",'[6]Page 3'!$R:$R,0),18)</f>
        <v>3717</v>
      </c>
      <c r="G80" s="13">
        <f>INDEX('[6]Page 3'!$B:$DP,MATCH("0570",'[6]Page 3'!$R:$R,0),34)</f>
        <v>35092</v>
      </c>
      <c r="H80" s="47">
        <f>IFERROR(VLOOKUP("Utilities",'[7]PAGE 3'!$B:$P,12,FALSE),0)</f>
        <v>2328</v>
      </c>
      <c r="I80" s="13">
        <f>IFERROR(VLOOKUP("Utilities",'[7]PAGE 3'!$B:$P,14,FALSE),0)</f>
        <v>19529</v>
      </c>
      <c r="J80" s="47">
        <f>IFERROR(VLOOKUP("Utilities",'[8]PAGE 3'!$B:$P,12,FALSE),0)</f>
        <v>1004</v>
      </c>
      <c r="K80" s="13">
        <f>IFERROR(VLOOKUP("Utilities",'[8]PAGE 3'!$B:$P,14,FALSE),0)</f>
        <v>19144</v>
      </c>
      <c r="L80" s="47"/>
      <c r="M80" s="13"/>
      <c r="N80" s="47">
        <f>IFERROR(VLOOKUP("Heat, Light, Power &amp; Water",'[9]PAGE 3'!$B:$S,6,FALSE),0)</f>
        <v>2248</v>
      </c>
      <c r="O80" s="13">
        <f>IFERROR(VLOOKUP("Heat, Light, Power &amp; Water",'[9]PAGE 3'!$B:$S,8,FALSE),0)</f>
        <v>29925</v>
      </c>
      <c r="P80" s="47">
        <f>$Q$3*'[2]PAGE 6'!$O$12</f>
        <v>2726.5740455236505</v>
      </c>
      <c r="Q80" s="13">
        <f>'[2]PAGE 6'!$BP$12</f>
        <v>29949</v>
      </c>
      <c r="R80" s="47">
        <f>[3]P6!$M$23*S3</f>
        <v>2132.470726713917</v>
      </c>
      <c r="S80" s="13">
        <f>[3]P6!$BN$23</f>
        <v>25428</v>
      </c>
      <c r="T80" s="47">
        <f>[13]P6!$M$23*U3</f>
        <v>859.16114781656825</v>
      </c>
      <c r="U80" s="13">
        <f>[13]P6!$BN$23</f>
        <v>10580</v>
      </c>
      <c r="V80" s="47">
        <f>+INDEX('[10]PAGE 3'!$1:$1048576,MATCH("heat, light, power and water",'[10]PAGE 3'!$B:$B,0),10)</f>
        <v>1646</v>
      </c>
      <c r="W80" s="13">
        <f>+INDEX('[10]PAGE 3'!$1:$1048576,MATCH("heat, light, power and water",'[10]PAGE 3'!$B:$B,0),12)</f>
        <v>6720</v>
      </c>
      <c r="X80" s="47">
        <f>IFERROR(VLOOKUP("Heat, Light, Power &amp; Water",'[11]PAGE 3'!$B:$S,6,FALSE),0)</f>
        <v>0</v>
      </c>
      <c r="Y80" s="13">
        <f>IFERROR(VLOOKUP("Heat, Light, Power &amp; Water",'[11]PAGE 3'!$B:$S,8,FALSE),0)</f>
        <v>0</v>
      </c>
      <c r="Z80" s="47">
        <f>IFERROR(VLOOKUP("Heat, Light, Power &amp; Water",'[12]PAGE 3'!$B:$S,6,FALSE),0)</f>
        <v>605</v>
      </c>
      <c r="AA80" s="13">
        <f>IFERROR(VLOOKUP("Heat, Light, Power &amp; Water",'[12]PAGE 3'!$B:$S,8,FALSE),0)</f>
        <v>5956</v>
      </c>
      <c r="AB80" s="47">
        <f t="shared" si="36"/>
        <v>20530.205920054137</v>
      </c>
      <c r="AC80" s="13">
        <f t="shared" si="37"/>
        <v>232041</v>
      </c>
    </row>
    <row r="81" spans="1:29">
      <c r="A81" s="4" t="s">
        <v>57</v>
      </c>
      <c r="B81" s="24">
        <f t="shared" ref="B81:C81" si="45">SUM(B73:B80)</f>
        <v>13849</v>
      </c>
      <c r="C81" s="25">
        <f t="shared" si="45"/>
        <v>180097</v>
      </c>
      <c r="D81" s="24">
        <f t="shared" ref="D81:E81" si="46">SUM(D73:D80)</f>
        <v>10765</v>
      </c>
      <c r="E81" s="25">
        <f t="shared" si="46"/>
        <v>133863</v>
      </c>
      <c r="F81" s="24">
        <f t="shared" ref="F81:G81" si="47">SUM(F73:F80)</f>
        <v>25121</v>
      </c>
      <c r="G81" s="25">
        <f t="shared" si="47"/>
        <v>278911</v>
      </c>
      <c r="H81" s="24">
        <f t="shared" ref="H81:K81" si="48">SUM(H73:H80)</f>
        <v>19891</v>
      </c>
      <c r="I81" s="25">
        <f t="shared" si="48"/>
        <v>232380</v>
      </c>
      <c r="J81" s="24">
        <f t="shared" si="48"/>
        <v>17933</v>
      </c>
      <c r="K81" s="25">
        <f t="shared" si="48"/>
        <v>216815</v>
      </c>
      <c r="L81" s="24"/>
      <c r="M81" s="25"/>
      <c r="N81" s="24">
        <f t="shared" ref="N81:S81" si="49">SUM(N73:N80)</f>
        <v>27379</v>
      </c>
      <c r="O81" s="25">
        <f t="shared" si="49"/>
        <v>316259</v>
      </c>
      <c r="P81" s="24">
        <f t="shared" si="49"/>
        <v>19696.139365324085</v>
      </c>
      <c r="Q81" s="25">
        <f t="shared" si="49"/>
        <v>233645</v>
      </c>
      <c r="R81" s="24">
        <f t="shared" si="49"/>
        <v>12117.930955387097</v>
      </c>
      <c r="S81" s="25">
        <f t="shared" si="49"/>
        <v>162138</v>
      </c>
      <c r="T81" s="24">
        <f t="shared" ref="T81:AA81" si="50">SUM(T73:T80)</f>
        <v>4780.7376754368815</v>
      </c>
      <c r="U81" s="25">
        <f t="shared" si="50"/>
        <v>81971</v>
      </c>
      <c r="V81" s="24">
        <f t="shared" si="50"/>
        <v>15201</v>
      </c>
      <c r="W81" s="25">
        <f t="shared" si="50"/>
        <v>66162</v>
      </c>
      <c r="X81" s="24">
        <f t="shared" si="50"/>
        <v>0</v>
      </c>
      <c r="Y81" s="25">
        <f t="shared" si="50"/>
        <v>0</v>
      </c>
      <c r="Z81" s="24">
        <f t="shared" si="50"/>
        <v>17575</v>
      </c>
      <c r="AA81" s="25">
        <f t="shared" si="50"/>
        <v>49918</v>
      </c>
      <c r="AB81" s="24">
        <f t="shared" si="36"/>
        <v>184308.80799614807</v>
      </c>
      <c r="AC81" s="25">
        <f t="shared" si="37"/>
        <v>1952159</v>
      </c>
    </row>
    <row r="82" spans="1:29">
      <c r="A82" s="8" t="s">
        <v>45</v>
      </c>
      <c r="B82" s="47">
        <f>INDEX('[4]Page 3'!$B:$DP,MATCH("0600",'[4]Page 3'!$R:$R,0),18)</f>
        <v>0</v>
      </c>
      <c r="C82" s="13">
        <f>INDEX('[4]Page 3'!$B:$DP,MATCH("0600",'[4]Page 3'!$R:$R,0),34)</f>
        <v>0</v>
      </c>
      <c r="D82" s="47">
        <f>INDEX('[5]Page 3'!$B:$DP,MATCH("0600",'[5]Page 3'!$R:$R,0),18)</f>
        <v>292</v>
      </c>
      <c r="E82" s="13">
        <f>INDEX('[5]Page 3'!$B:$DP,MATCH("0600",'[5]Page 3'!$R:$R,0),34)</f>
        <v>3419</v>
      </c>
      <c r="F82" s="47">
        <f>INDEX('[6]Page 3'!$B:$DP,MATCH("0600",'[6]Page 3'!$R:$R,0),18)</f>
        <v>0</v>
      </c>
      <c r="G82" s="13">
        <f>INDEX('[6]Page 3'!$B:$DP,MATCH("0600",'[6]Page 3'!$R:$R,0),34)</f>
        <v>0</v>
      </c>
      <c r="H82" s="47">
        <f>IFERROR(VLOOKUP("",'[7]PAGE 3'!$B:$P,12,FALSE),0)</f>
        <v>0</v>
      </c>
      <c r="I82" s="13">
        <f>IFERROR(VLOOKUP("",'[7]PAGE 3'!$B:$P,14,FALSE),0)</f>
        <v>0</v>
      </c>
      <c r="J82" s="47">
        <f>IFERROR(VLOOKUP("",'[8]PAGE 3'!$B:$P,12,FALSE),0)</f>
        <v>0</v>
      </c>
      <c r="K82" s="13">
        <f>IFERROR(VLOOKUP("",'[8]PAGE 3'!$B:$P,14,FALSE),0)</f>
        <v>0</v>
      </c>
      <c r="L82" s="47"/>
      <c r="M82" s="13"/>
      <c r="N82" s="47">
        <f>IFERROR(VLOOKUP("",'[9]PAGE 3'!$B:$S,6,FALSE),0)</f>
        <v>0</v>
      </c>
      <c r="O82" s="13">
        <f>IFERROR(VLOOKUP("",'[9]PAGE 3'!$B:$S,8,FALSE),0)</f>
        <v>0</v>
      </c>
      <c r="P82" s="47"/>
      <c r="Q82" s="13"/>
      <c r="R82" s="47"/>
      <c r="S82" s="13"/>
      <c r="T82" s="47"/>
      <c r="U82" s="13"/>
      <c r="V82" s="47"/>
      <c r="W82" s="13"/>
      <c r="X82" s="47">
        <f>IFERROR(VLOOKUP("",'[11]PAGE 3'!$B:$S,6,FALSE),0)</f>
        <v>0</v>
      </c>
      <c r="Y82" s="13">
        <f>IFERROR(VLOOKUP("",'[11]PAGE 3'!$B:$S,8,FALSE),0)</f>
        <v>0</v>
      </c>
      <c r="Z82" s="47">
        <f>IFERROR(VLOOKUP("",'[12]PAGE 3'!$B:$S,6,FALSE),0)</f>
        <v>0</v>
      </c>
      <c r="AA82" s="13">
        <f>IFERROR(VLOOKUP("",'[12]PAGE 3'!$B:$S,8,FALSE),0)</f>
        <v>0</v>
      </c>
      <c r="AB82" s="47">
        <f t="shared" si="36"/>
        <v>292</v>
      </c>
      <c r="AC82" s="13">
        <f t="shared" si="37"/>
        <v>3419</v>
      </c>
    </row>
    <row r="83" spans="1:29">
      <c r="A83" s="5" t="s">
        <v>46</v>
      </c>
      <c r="B83" s="47">
        <f>INDEX('[4]Page 3'!$B:$DP,MATCH("0620",'[4]Page 3'!$R:$R,0),18)</f>
        <v>188</v>
      </c>
      <c r="C83" s="13">
        <f>INDEX('[4]Page 3'!$B:$DP,MATCH("0620",'[4]Page 3'!$R:$R,0),34)</f>
        <v>3469</v>
      </c>
      <c r="D83" s="47">
        <f>INDEX('[5]Page 3'!$B:$DP,MATCH("0620",'[5]Page 3'!$R:$R,0),18)</f>
        <v>2723</v>
      </c>
      <c r="E83" s="13">
        <f>INDEX('[5]Page 3'!$B:$DP,MATCH("0620",'[5]Page 3'!$R:$R,0),34)</f>
        <v>11933</v>
      </c>
      <c r="F83" s="47">
        <f>INDEX('[6]Page 3'!$B:$DP,MATCH("0620",'[6]Page 3'!$R:$R,0),18)</f>
        <v>1236</v>
      </c>
      <c r="G83" s="13">
        <f>INDEX('[6]Page 3'!$B:$DP,MATCH("0620",'[6]Page 3'!$R:$R,0),34)</f>
        <v>27881</v>
      </c>
      <c r="H83" s="47">
        <f>IFERROR(VLOOKUP("Equipment Repairs &amp; Rentals",'[7]PAGE 3'!$B:$P,12,FALSE),0)</f>
        <v>238</v>
      </c>
      <c r="I83" s="13">
        <f>IFERROR(VLOOKUP("Equipment Repairs &amp; Rentals",'[7]PAGE 3'!$B:$P,14,FALSE),0)</f>
        <v>802</v>
      </c>
      <c r="J83" s="47">
        <f>IFERROR(VLOOKUP("Equipment Repairs &amp; Rentals",'[8]PAGE 3'!$B:$P,12,FALSE),0)</f>
        <v>2743</v>
      </c>
      <c r="K83" s="13">
        <f>IFERROR(VLOOKUP("Equipment Repairs &amp; Rentals",'[8]PAGE 3'!$B:$P,14,FALSE),0)</f>
        <v>28790</v>
      </c>
      <c r="L83" s="47"/>
      <c r="M83" s="13"/>
      <c r="N83" s="47">
        <f>IFERROR(VLOOKUP("Equip. - Maint., Repair &amp; Rental - Dept'l.",'[9]PAGE 3'!$B:$S,6,FALSE),0)</f>
        <v>2533</v>
      </c>
      <c r="O83" s="13">
        <f>IFERROR(VLOOKUP("Equip. - Maint., Repair &amp; Rental - Dept'l.",'[9]PAGE 3'!$B:$S,8,FALSE),0)</f>
        <v>26509</v>
      </c>
      <c r="P83" s="47">
        <f>$Q$3*'[2]PAGE 6'!$O$23</f>
        <v>39.777199631699538</v>
      </c>
      <c r="Q83" s="13">
        <f>'[2]PAGE 6'!$BP$23</f>
        <v>589</v>
      </c>
      <c r="R83" s="47">
        <f>[3]P5!$AM$117+([3]P6!$M$45)*S3</f>
        <v>725.23074562749309</v>
      </c>
      <c r="S83" s="13">
        <f>[3]P5!$AV$117+[3]P6!$BN$45</f>
        <v>15018</v>
      </c>
      <c r="T83" s="47">
        <f>[13]P5!$AM$117+([13]P6!$M$45)*U3</f>
        <v>83.89071113022402</v>
      </c>
      <c r="U83" s="13">
        <f>[13]P5!$AV$117+[13]P6!$BN$45</f>
        <v>1691</v>
      </c>
      <c r="V83" s="47">
        <f>+INDEX('[10]PAGE 3'!$1:$1048576,MATCH("repairs - equipment",'[10]PAGE 3'!$B:$B,0),10)+INDEX('[10]PAGE 3'!$1:$1048576,MATCH("equipment rental",'[10]PAGE 3'!$B:$B,0),10)</f>
        <v>255</v>
      </c>
      <c r="W83" s="13">
        <f>+INDEX('[10]PAGE 3'!$1:$1048576,MATCH("repairs - equipment",'[10]PAGE 3'!$B:$B,0),12)+INDEX('[10]PAGE 3'!$1:$1048576,MATCH("equipment rental",'[10]PAGE 3'!$B:$B,0),12)</f>
        <v>1534</v>
      </c>
      <c r="X83" s="47">
        <f>IFERROR(VLOOKUP("Equip. - Maint., Repair &amp; Rental - Dept'l.",'[11]PAGE 3'!$B:$S,6,FALSE),0)</f>
        <v>0</v>
      </c>
      <c r="Y83" s="13">
        <f>IFERROR(VLOOKUP("Equip. - Maint., Repair &amp; Rental - Dept'l.",'[11]PAGE 3'!$B:$S,8,FALSE),0)</f>
        <v>0</v>
      </c>
      <c r="Z83" s="47">
        <f>IFERROR(VLOOKUP("Equip. - Maint., Repair &amp; Rental - Dept'l.",'[12]PAGE 3'!$B:$S,6,FALSE),0)</f>
        <v>274</v>
      </c>
      <c r="AA83" s="13">
        <f>IFERROR(VLOOKUP("Equip. - Maint., Repair &amp; Rental - Dept'l.",'[12]PAGE 3'!$B:$S,8,FALSE),0)</f>
        <v>274</v>
      </c>
      <c r="AB83" s="47">
        <f t="shared" si="36"/>
        <v>11038.898656389416</v>
      </c>
      <c r="AC83" s="13">
        <f t="shared" si="37"/>
        <v>118490</v>
      </c>
    </row>
    <row r="84" spans="1:29">
      <c r="A84" s="7" t="s">
        <v>47</v>
      </c>
      <c r="B84" s="47">
        <f>INDEX('[4]Page 3'!$B:$DP,MATCH("0630",'[4]Page 3'!$R:$R,0),18)</f>
        <v>-25867</v>
      </c>
      <c r="C84" s="13">
        <f>INDEX('[4]Page 3'!$B:$DP,MATCH("0630",'[4]Page 3'!$R:$R,0),34)</f>
        <v>41920</v>
      </c>
      <c r="D84" s="47">
        <f>INDEX('[5]Page 3'!$B:$DP,MATCH("0630",'[5]Page 3'!$R:$R,0),18)</f>
        <v>6104</v>
      </c>
      <c r="E84" s="13">
        <f>INDEX('[5]Page 3'!$B:$DP,MATCH("0630",'[5]Page 3'!$R:$R,0),34)</f>
        <v>71898</v>
      </c>
      <c r="F84" s="47">
        <f>INDEX('[6]Page 3'!$B:$DP,MATCH("0630",'[6]Page 3'!$R:$R,0),18)</f>
        <v>5989</v>
      </c>
      <c r="G84" s="13">
        <f>INDEX('[6]Page 3'!$B:$DP,MATCH("0630",'[6]Page 3'!$R:$R,0),34)</f>
        <v>69016</v>
      </c>
      <c r="H84" s="47">
        <f>IFERROR(VLOOKUP("Depreciation  - Other",'[7]PAGE 3'!$B:$P,12,FALSE),0)</f>
        <v>3426</v>
      </c>
      <c r="I84" s="13">
        <f>IFERROR(VLOOKUP("Depreciation  - Other",'[7]PAGE 3'!$B:$P,14,FALSE),0)</f>
        <v>40767</v>
      </c>
      <c r="J84" s="47">
        <f>IFERROR(VLOOKUP("Depreciation  - Other",'[8]PAGE 3'!$B:$P,12,FALSE),0)</f>
        <v>2489</v>
      </c>
      <c r="K84" s="13">
        <f>IFERROR(VLOOKUP("Depreciation  - Other",'[8]PAGE 3'!$B:$P,14,FALSE),0)</f>
        <v>28306</v>
      </c>
      <c r="L84" s="47"/>
      <c r="M84" s="13"/>
      <c r="N84" s="47">
        <f>IFERROR(VLOOKUP("Depr. - Equip. &amp; Vehicles - Dept'l.",'[9]PAGE 3'!$B:$S,6,FALSE)+VLOOKUP("Furniture, Signs, Fixtures &amp; Equipment - Depreciation, Maintenance, Repair &amp; Rental",'[9]PAGE 3'!$B:$S,6,FALSE),0)</f>
        <v>-1830</v>
      </c>
      <c r="O84" s="13">
        <f>IFERROR(VLOOKUP("Depr. - Equip. &amp; Vehicles - Dept'l.",'[9]PAGE 3'!$B:$S,8,FALSE)+VLOOKUP("Furniture, Signs, Fixtures &amp; Equipment - Depreciation, Maintenance, Repair &amp; Rental",'[9]PAGE 3'!$B:$S,8,FALSE),0)</f>
        <v>29560</v>
      </c>
      <c r="P84" s="47">
        <f>$Q$3*'[2]PAGE 6'!$O$22</f>
        <v>1983.9643262456907</v>
      </c>
      <c r="Q84" s="13">
        <f>'[2]PAGE 6'!$BP$22+'[2]PAGE 5'!$AW$60</f>
        <v>23616</v>
      </c>
      <c r="R84" s="47">
        <f>[3]P6!$M$43*S3</f>
        <v>2464.0323945291475</v>
      </c>
      <c r="S84" s="13">
        <f>[3]P6!$BN$43</f>
        <v>29569</v>
      </c>
      <c r="T84" s="47">
        <f>[13]P6!$M$43*U3</f>
        <v>532.72311270964462</v>
      </c>
      <c r="U84" s="13">
        <f>[13]P6!$BN$43</f>
        <v>6392</v>
      </c>
      <c r="V84" s="47">
        <f>+INDEX('[10]PAGE 3'!$1:$1048576,MATCH("depreciation - other than bldgs. &amp; improvs.",'[10]PAGE 3'!$B:$B,0),10)</f>
        <v>0</v>
      </c>
      <c r="W84" s="13">
        <f>+INDEX('[10]PAGE 3'!$1:$1048576,MATCH("depreciation - other than bldgs. &amp; improvs.",'[10]PAGE 3'!$B:$B,0),12)</f>
        <v>0</v>
      </c>
      <c r="X84" s="47">
        <f>IFERROR(VLOOKUP("Depr. - Equip. &amp; Vehicles - Dept'l.",'[11]PAGE 3'!$B:$S,6,FALSE)+VLOOKUP("Furniture, Signs, Fixtures &amp; Equipment - Depreciation, Maintenance, Repair &amp; Rental",'[11]PAGE 3'!$B:$S,6,FALSE),0)</f>
        <v>0</v>
      </c>
      <c r="Y84" s="13">
        <f>IFERROR(VLOOKUP("Depr. - Equip. &amp; Vehicles - Dept'l.",'[11]PAGE 3'!$B:$S,8,FALSE)+VLOOKUP("Furniture, Signs, Fixtures &amp; Equipment - Depreciation, Maintenance, Repair &amp; Rental",'[11]PAGE 3'!$B:$S,8,FALSE),0)</f>
        <v>0</v>
      </c>
      <c r="Z84" s="47">
        <f>IFERROR(VLOOKUP("Depr. - Equip. &amp; Vehicles - Dept'l.",'[12]PAGE 3'!$B:$S,6,FALSE)+VLOOKUP("Furniture, Signs, Fixtures &amp; Equipment - Depreciation, Maintenance, Repair &amp; Rental",'[12]PAGE 3'!$B:$S,6,FALSE),0)</f>
        <v>623</v>
      </c>
      <c r="AA84" s="13">
        <f>IFERROR(VLOOKUP("Depr. - Equip. &amp; Vehicles - Dept'l.",'[12]PAGE 3'!$B:$S,8,FALSE)+VLOOKUP("Furniture, Signs, Fixtures &amp; Equipment - Depreciation, Maintenance, Repair &amp; Rental",'[12]PAGE 3'!$B:$S,8,FALSE),0)</f>
        <v>4828</v>
      </c>
      <c r="AB84" s="47">
        <f t="shared" si="36"/>
        <v>-4085.2801665155175</v>
      </c>
      <c r="AC84" s="13">
        <f t="shared" si="37"/>
        <v>345872</v>
      </c>
    </row>
    <row r="85" spans="1:29">
      <c r="A85" s="7" t="s">
        <v>48</v>
      </c>
      <c r="B85" s="47">
        <f>INDEX('[4]Page 3'!$B:$DP,MATCH("0640",'[4]Page 3'!$R:$R,0),18)</f>
        <v>1171</v>
      </c>
      <c r="C85" s="13">
        <f>INDEX('[4]Page 3'!$B:$DP,MATCH("0640",'[4]Page 3'!$R:$R,0),34)</f>
        <v>12070</v>
      </c>
      <c r="D85" s="47">
        <f>INDEX('[5]Page 3'!$B:$DP,MATCH("0640",'[5]Page 3'!$R:$R,0),18)</f>
        <v>3266</v>
      </c>
      <c r="E85" s="13">
        <f>INDEX('[5]Page 3'!$B:$DP,MATCH("0640",'[5]Page 3'!$R:$R,0),34)</f>
        <v>31808</v>
      </c>
      <c r="F85" s="47">
        <f>INDEX('[6]Page 3'!$B:$DP,MATCH("0640",'[6]Page 3'!$R:$R,0),18)</f>
        <v>3310</v>
      </c>
      <c r="G85" s="13">
        <f>INDEX('[6]Page 3'!$B:$DP,MATCH("0640",'[6]Page 3'!$R:$R,0),34)</f>
        <v>25673</v>
      </c>
      <c r="H85" s="47">
        <f>IFERROR(VLOOKUP("Insurance - Other",'[7]PAGE 3'!$B:$P,12,FALSE),0)</f>
        <v>1444</v>
      </c>
      <c r="I85" s="13">
        <f>IFERROR(VLOOKUP("Insurance - Other",'[7]PAGE 3'!$B:$P,14,FALSE),0)</f>
        <v>17253</v>
      </c>
      <c r="J85" s="47">
        <f>IFERROR(VLOOKUP("Insurance - Other",'[8]PAGE 3'!$B:$P,12,FALSE),0)</f>
        <v>1299</v>
      </c>
      <c r="K85" s="13">
        <f>IFERROR(VLOOKUP("Insurance - Other",'[8]PAGE 3'!$B:$P,14,FALSE),0)</f>
        <v>19416</v>
      </c>
      <c r="L85" s="47"/>
      <c r="M85" s="13"/>
      <c r="N85" s="47">
        <f>IFERROR(VLOOKUP("Insurance - Other Than Bldgs. &amp; Improvements",'[9]PAGE 3'!$B:$S,6,FALSE),0)</f>
        <v>1718</v>
      </c>
      <c r="O85" s="13">
        <f>IFERROR(VLOOKUP("Insurance - Other Than Bldgs. &amp; Improvements",'[9]PAGE 3'!$B:$S,8,FALSE),0)</f>
        <v>20284</v>
      </c>
      <c r="P85" s="47">
        <f>$Q$3*'[2]PAGE 6'!$O$15</f>
        <v>2013.6442367401125</v>
      </c>
      <c r="Q85" s="13">
        <f>'[2]PAGE 6'!$BP$15</f>
        <v>19446</v>
      </c>
      <c r="R85" s="47">
        <f>[3]P6!$M$29*S3</f>
        <v>1696.1485319342653</v>
      </c>
      <c r="S85" s="13">
        <f>[3]P6!$BN$29</f>
        <v>19703</v>
      </c>
      <c r="T85" s="47">
        <f>SUM([13]P6!$M$29)*U3</f>
        <v>349.11859337737991</v>
      </c>
      <c r="U85" s="13">
        <f>SUM([13]P6!$BN$29)</f>
        <v>4530</v>
      </c>
      <c r="V85" s="47">
        <f>+INDEX('[10]PAGE 3'!$1:$1048576,MATCH("worker's compensation",'[10]PAGE 3'!$B:$B,0),10)+INDEX('[10]PAGE 3'!$1:$1048576,MATCH("insurance - other than bldgs. &amp; improvs.",'[10]PAGE 3'!$B:$B,0),10)</f>
        <v>1954</v>
      </c>
      <c r="W85" s="13">
        <f>+INDEX('[10]PAGE 3'!$1:$1048576,MATCH("worker's compensation",'[10]PAGE 3'!$B:$B,0),12)+INDEX('[10]PAGE 3'!$1:$1048576,MATCH("insurance - other than bldgs. &amp; improvs.",'[10]PAGE 3'!$B:$B,0),12)</f>
        <v>8863</v>
      </c>
      <c r="X85" s="47">
        <f>IFERROR(VLOOKUP("Insurance - Other Than Bldgs. &amp; Improvements",'[11]PAGE 3'!$B:$S,6,FALSE),0)</f>
        <v>0</v>
      </c>
      <c r="Y85" s="13">
        <f>IFERROR(VLOOKUP("Insurance - Other Than Bldgs. &amp; Improvements",'[11]PAGE 3'!$B:$S,8,FALSE),0)</f>
        <v>0</v>
      </c>
      <c r="Z85" s="47">
        <f>IFERROR(VLOOKUP("Insurance - Other Than Bldgs. &amp; Improvements",'[12]PAGE 3'!$B:$S,6,FALSE),0)</f>
        <v>1187</v>
      </c>
      <c r="AA85" s="13">
        <f>IFERROR(VLOOKUP("Insurance - Other Than Bldgs. &amp; Improvements",'[12]PAGE 3'!$B:$S,8,FALSE),0)</f>
        <v>3560</v>
      </c>
      <c r="AB85" s="47">
        <f t="shared" si="36"/>
        <v>19407.911362051756</v>
      </c>
      <c r="AC85" s="13">
        <f t="shared" si="37"/>
        <v>182606</v>
      </c>
    </row>
    <row r="86" spans="1:29">
      <c r="A86" s="7" t="s">
        <v>49</v>
      </c>
      <c r="B86" s="47">
        <f>INDEX('[4]Page 3'!$B:$DP,MATCH("0650",'[4]Page 3'!$R:$R,0),18)</f>
        <v>0</v>
      </c>
      <c r="C86" s="13">
        <f>INDEX('[4]Page 3'!$B:$DP,MATCH("0650",'[4]Page 3'!$R:$R,0),34)</f>
        <v>169</v>
      </c>
      <c r="D86" s="47">
        <f>INDEX('[5]Page 3'!$B:$DP,MATCH("0650",'[5]Page 3'!$R:$R,0),18)</f>
        <v>1428</v>
      </c>
      <c r="E86" s="13">
        <f>INDEX('[5]Page 3'!$B:$DP,MATCH("0650",'[5]Page 3'!$R:$R,0),34)</f>
        <v>17705</v>
      </c>
      <c r="F86" s="47">
        <f>INDEX('[6]Page 3'!$B:$DP,MATCH("0650",'[6]Page 3'!$R:$R,0),18)</f>
        <v>2019</v>
      </c>
      <c r="G86" s="13">
        <f>INDEX('[6]Page 3'!$B:$DP,MATCH("0650",'[6]Page 3'!$R:$R,0),34)</f>
        <v>26915</v>
      </c>
      <c r="H86" s="47">
        <f>IFERROR(VLOOKUP("Taxes - Other",'[7]PAGE 3'!$B:$P,12,FALSE),0)</f>
        <v>1761</v>
      </c>
      <c r="I86" s="13">
        <f>IFERROR(VLOOKUP("Taxes - Other",'[7]PAGE 3'!$B:$P,14,FALSE),0)</f>
        <v>20107</v>
      </c>
      <c r="J86" s="47">
        <f>IFERROR(VLOOKUP("Taxes - Other",'[8]PAGE 3'!$B:$P,12,FALSE),0)</f>
        <v>2518</v>
      </c>
      <c r="K86" s="13">
        <f>IFERROR(VLOOKUP("Taxes - Other",'[8]PAGE 3'!$B:$P,14,FALSE),0)</f>
        <v>14701</v>
      </c>
      <c r="L86" s="47"/>
      <c r="M86" s="13"/>
      <c r="N86" s="47">
        <f>IFERROR(VLOOKUP("Taxes - Other Than R.E., Pay. &amp; Inc.",'[9]PAGE 3'!$B:$S,6,FALSE),0)</f>
        <v>5295</v>
      </c>
      <c r="O86" s="13">
        <f>IFERROR(VLOOKUP("Taxes - Other Than R.E., Pay. &amp; Inc.",'[9]PAGE 3'!$B:$S,8,FALSE),0)</f>
        <v>44799</v>
      </c>
      <c r="P86" s="47">
        <f>$Q$3*'[2]PAGE 6'!$O$14</f>
        <v>1819.3479154621957</v>
      </c>
      <c r="Q86" s="13">
        <f>'[2]PAGE 6'!$BP$14</f>
        <v>25553</v>
      </c>
      <c r="R86" s="47">
        <f>[3]P6!$M$27*S3</f>
        <v>1300.596542236128</v>
      </c>
      <c r="S86" s="13">
        <f>[3]P6!$BN$27</f>
        <v>29366</v>
      </c>
      <c r="T86" s="47">
        <f>[13]P6!$M$27*U3</f>
        <v>-1904.356874780093</v>
      </c>
      <c r="U86" s="13">
        <f>[13]P6!$BN$27</f>
        <v>2931</v>
      </c>
      <c r="V86" s="47">
        <f>+INDEX('[10]PAGE 3'!$1:$1048576,MATCH("taxes - other than real estate, income &amp; payroll",'[10]PAGE 3'!$B:$B,0),10)</f>
        <v>0</v>
      </c>
      <c r="W86" s="13">
        <f>+INDEX('[10]PAGE 3'!$1:$1048576,MATCH("taxes - other than real estate, income &amp; payroll",'[10]PAGE 3'!$B:$B,0),12)</f>
        <v>3226</v>
      </c>
      <c r="X86" s="47">
        <f>IFERROR(VLOOKUP("Taxes - Other Than R.E., Pay. &amp; Inc.",'[11]PAGE 3'!$B:$S,6,FALSE),0)</f>
        <v>0</v>
      </c>
      <c r="Y86" s="13">
        <f>IFERROR(VLOOKUP("Taxes - Other Than R.E., Pay. &amp; Inc.",'[11]PAGE 3'!$B:$S,8,FALSE),0)</f>
        <v>0</v>
      </c>
      <c r="Z86" s="47">
        <f>IFERROR(VLOOKUP("Taxes - Other Than R.E., Pay. &amp; Inc.",'[12]PAGE 3'!$B:$S,6,FALSE),0)</f>
        <v>-1061</v>
      </c>
      <c r="AA86" s="13">
        <f>IFERROR(VLOOKUP("Taxes - Other Than R.E., Pay. &amp; Inc.",'[12]PAGE 3'!$B:$S,8,FALSE),0)</f>
        <v>176</v>
      </c>
      <c r="AB86" s="47">
        <f t="shared" si="36"/>
        <v>13175.587582918231</v>
      </c>
      <c r="AC86" s="13">
        <f t="shared" si="37"/>
        <v>185648</v>
      </c>
    </row>
    <row r="87" spans="1:29">
      <c r="A87" s="4" t="s">
        <v>58</v>
      </c>
      <c r="B87" s="24">
        <f t="shared" ref="B87:C87" si="51">SUM(B81:B86)</f>
        <v>-10659</v>
      </c>
      <c r="C87" s="25">
        <f t="shared" si="51"/>
        <v>237725</v>
      </c>
      <c r="D87" s="24">
        <f t="shared" ref="D87:E87" si="52">SUM(D81:D86)</f>
        <v>24578</v>
      </c>
      <c r="E87" s="25">
        <f t="shared" si="52"/>
        <v>270626</v>
      </c>
      <c r="F87" s="24">
        <f t="shared" ref="F87:G87" si="53">SUM(F81:F86)</f>
        <v>37675</v>
      </c>
      <c r="G87" s="25">
        <f t="shared" si="53"/>
        <v>428396</v>
      </c>
      <c r="H87" s="24">
        <f t="shared" ref="H87:K87" si="54">SUM(H81:H86)</f>
        <v>26760</v>
      </c>
      <c r="I87" s="25">
        <f t="shared" si="54"/>
        <v>311309</v>
      </c>
      <c r="J87" s="24">
        <f t="shared" si="54"/>
        <v>26982</v>
      </c>
      <c r="K87" s="25">
        <f t="shared" si="54"/>
        <v>308028</v>
      </c>
      <c r="L87" s="24"/>
      <c r="M87" s="25"/>
      <c r="N87" s="24">
        <f t="shared" ref="N87:S87" si="55">SUM(N81:N86)</f>
        <v>35095</v>
      </c>
      <c r="O87" s="25">
        <f t="shared" si="55"/>
        <v>437411</v>
      </c>
      <c r="P87" s="24">
        <f t="shared" si="55"/>
        <v>25552.873043403786</v>
      </c>
      <c r="Q87" s="25">
        <f t="shared" si="55"/>
        <v>302849</v>
      </c>
      <c r="R87" s="24">
        <f t="shared" si="55"/>
        <v>18303.939169714133</v>
      </c>
      <c r="S87" s="25">
        <f t="shared" si="55"/>
        <v>255794</v>
      </c>
      <c r="T87" s="24">
        <f t="shared" ref="T87:U87" si="56">SUM(T81:T86)</f>
        <v>3842.1132178740372</v>
      </c>
      <c r="U87" s="25">
        <f t="shared" si="56"/>
        <v>97515</v>
      </c>
      <c r="V87" s="24">
        <f t="shared" ref="V87:AA87" si="57">SUM(V81:V86)</f>
        <v>17410</v>
      </c>
      <c r="W87" s="25">
        <f t="shared" si="57"/>
        <v>79785</v>
      </c>
      <c r="X87" s="24">
        <f t="shared" si="57"/>
        <v>0</v>
      </c>
      <c r="Y87" s="25">
        <f t="shared" si="57"/>
        <v>0</v>
      </c>
      <c r="Z87" s="24">
        <f t="shared" si="57"/>
        <v>18598</v>
      </c>
      <c r="AA87" s="25">
        <f t="shared" si="57"/>
        <v>58756</v>
      </c>
      <c r="AB87" s="24">
        <f t="shared" si="36"/>
        <v>224137.92543099198</v>
      </c>
      <c r="AC87" s="25">
        <f t="shared" si="37"/>
        <v>2788194</v>
      </c>
    </row>
    <row r="88" spans="1:29">
      <c r="A88" s="11" t="s">
        <v>59</v>
      </c>
      <c r="B88" s="16">
        <f t="shared" ref="B88:C88" si="58">SUM(B87+B72+B55)</f>
        <v>73777</v>
      </c>
      <c r="C88" s="17">
        <f t="shared" si="58"/>
        <v>1061268</v>
      </c>
      <c r="D88" s="16">
        <f t="shared" ref="D88:E88" si="59">SUM(D87+D72+D55)</f>
        <v>123799</v>
      </c>
      <c r="E88" s="17">
        <f t="shared" si="59"/>
        <v>1305740</v>
      </c>
      <c r="F88" s="16">
        <f t="shared" ref="F88:G88" si="60">SUM(F87+F72+F55)</f>
        <v>194629</v>
      </c>
      <c r="G88" s="17">
        <f t="shared" si="60"/>
        <v>1869389</v>
      </c>
      <c r="H88" s="16">
        <f t="shared" ref="H88:K88" si="61">SUM(H87+H72+H55)</f>
        <v>128156</v>
      </c>
      <c r="I88" s="17">
        <f t="shared" si="61"/>
        <v>1489250</v>
      </c>
      <c r="J88" s="16">
        <f t="shared" si="61"/>
        <v>103684</v>
      </c>
      <c r="K88" s="17">
        <f t="shared" si="61"/>
        <v>1102804</v>
      </c>
      <c r="L88" s="16"/>
      <c r="M88" s="17"/>
      <c r="N88" s="16">
        <f t="shared" ref="N88:S88" si="62">SUM(N87+N72+N55)</f>
        <v>141308</v>
      </c>
      <c r="O88" s="17">
        <f t="shared" si="62"/>
        <v>1589418</v>
      </c>
      <c r="P88" s="16">
        <f t="shared" si="62"/>
        <v>108263</v>
      </c>
      <c r="Q88" s="17">
        <f t="shared" si="62"/>
        <v>1393073</v>
      </c>
      <c r="R88" s="16">
        <f t="shared" si="62"/>
        <v>107337.99999999999</v>
      </c>
      <c r="S88" s="17">
        <f t="shared" si="62"/>
        <v>1270465</v>
      </c>
      <c r="T88" s="16">
        <f t="shared" ref="T88:U88" si="63">SUM(T87+T72+T55)</f>
        <v>21733</v>
      </c>
      <c r="U88" s="17">
        <f t="shared" si="63"/>
        <v>358989</v>
      </c>
      <c r="V88" s="16">
        <f t="shared" ref="V88:AA88" si="64">SUM(V87+V72+V55)</f>
        <v>64038</v>
      </c>
      <c r="W88" s="17">
        <f t="shared" si="64"/>
        <v>318918</v>
      </c>
      <c r="X88" s="16">
        <f t="shared" si="64"/>
        <v>0</v>
      </c>
      <c r="Y88" s="17">
        <f t="shared" si="64"/>
        <v>0</v>
      </c>
      <c r="Z88" s="16">
        <f t="shared" si="64"/>
        <v>58532</v>
      </c>
      <c r="AA88" s="17">
        <f t="shared" si="64"/>
        <v>245822</v>
      </c>
      <c r="AB88" s="16">
        <f t="shared" si="36"/>
        <v>1125257</v>
      </c>
      <c r="AC88" s="17">
        <f t="shared" si="37"/>
        <v>12005136</v>
      </c>
    </row>
    <row r="89" spans="1:29">
      <c r="A89" s="4"/>
      <c r="B89" s="24"/>
      <c r="C89" s="25"/>
      <c r="D89" s="24"/>
      <c r="E89" s="25"/>
      <c r="F89" s="24"/>
      <c r="G89" s="25"/>
      <c r="H89" s="24"/>
      <c r="I89" s="25"/>
      <c r="J89" s="24"/>
      <c r="K89" s="25"/>
      <c r="L89" s="24"/>
      <c r="M89" s="25"/>
      <c r="N89" s="24"/>
      <c r="O89" s="25"/>
      <c r="P89" s="24"/>
      <c r="Q89" s="25"/>
      <c r="R89" s="24"/>
      <c r="S89" s="25"/>
      <c r="T89" s="24"/>
      <c r="U89" s="25"/>
      <c r="V89" s="24"/>
      <c r="W89" s="25"/>
      <c r="X89" s="24"/>
      <c r="Y89" s="25"/>
      <c r="Z89" s="24"/>
      <c r="AA89" s="25"/>
      <c r="AB89" s="24">
        <f t="shared" si="36"/>
        <v>0</v>
      </c>
      <c r="AC89" s="25">
        <f t="shared" si="37"/>
        <v>0</v>
      </c>
    </row>
    <row r="90" spans="1:29">
      <c r="A90" s="12" t="s">
        <v>60</v>
      </c>
      <c r="B90" s="20">
        <f t="shared" ref="B90:C90" si="65">B88+B45</f>
        <v>104372</v>
      </c>
      <c r="C90" s="21">
        <f t="shared" si="65"/>
        <v>1429617</v>
      </c>
      <c r="D90" s="20">
        <f t="shared" ref="D90:K90" si="66">D88+D45</f>
        <v>160591</v>
      </c>
      <c r="E90" s="21">
        <f t="shared" si="66"/>
        <v>1727759</v>
      </c>
      <c r="F90" s="20">
        <f t="shared" ref="F90:G90" si="67">F88+F45</f>
        <v>253646</v>
      </c>
      <c r="G90" s="21">
        <f t="shared" si="67"/>
        <v>2443910</v>
      </c>
      <c r="H90" s="20">
        <f t="shared" si="66"/>
        <v>135777</v>
      </c>
      <c r="I90" s="21">
        <f t="shared" si="66"/>
        <v>1562806</v>
      </c>
      <c r="J90" s="20">
        <f t="shared" si="66"/>
        <v>104872</v>
      </c>
      <c r="K90" s="21">
        <f t="shared" si="66"/>
        <v>1120109</v>
      </c>
      <c r="L90" s="20"/>
      <c r="M90" s="21"/>
      <c r="N90" s="20">
        <f t="shared" ref="N90:S90" si="68">N88+N45</f>
        <v>179791</v>
      </c>
      <c r="O90" s="21">
        <f t="shared" si="68"/>
        <v>2098080</v>
      </c>
      <c r="P90" s="20">
        <f t="shared" si="68"/>
        <v>137823</v>
      </c>
      <c r="Q90" s="21">
        <f t="shared" si="68"/>
        <v>1704593</v>
      </c>
      <c r="R90" s="20">
        <f t="shared" si="68"/>
        <v>113285.99999999999</v>
      </c>
      <c r="S90" s="21">
        <f t="shared" si="68"/>
        <v>1322285</v>
      </c>
      <c r="T90" s="20">
        <f t="shared" ref="T90:U90" si="69">T88+T45</f>
        <v>21766</v>
      </c>
      <c r="U90" s="21">
        <f t="shared" si="69"/>
        <v>364469</v>
      </c>
      <c r="V90" s="20">
        <f t="shared" ref="V90:AA90" si="70">V88+V45</f>
        <v>69051</v>
      </c>
      <c r="W90" s="21">
        <f t="shared" si="70"/>
        <v>373920</v>
      </c>
      <c r="X90" s="20">
        <f t="shared" si="70"/>
        <v>0</v>
      </c>
      <c r="Y90" s="21">
        <f t="shared" si="70"/>
        <v>0</v>
      </c>
      <c r="Z90" s="20">
        <f t="shared" si="70"/>
        <v>73442</v>
      </c>
      <c r="AA90" s="21">
        <f t="shared" si="70"/>
        <v>307444</v>
      </c>
      <c r="AB90" s="20">
        <f t="shared" si="36"/>
        <v>1354417</v>
      </c>
      <c r="AC90" s="21">
        <f t="shared" si="37"/>
        <v>14454992</v>
      </c>
    </row>
    <row r="91" spans="1:29">
      <c r="A91" s="4"/>
      <c r="B91" s="22"/>
      <c r="C91" s="23"/>
      <c r="D91" s="22"/>
      <c r="E91" s="23"/>
      <c r="F91" s="22"/>
      <c r="G91" s="23"/>
      <c r="H91" s="22"/>
      <c r="I91" s="23"/>
      <c r="J91" s="22"/>
      <c r="K91" s="23"/>
      <c r="L91" s="22"/>
      <c r="M91" s="23"/>
      <c r="N91" s="22"/>
      <c r="O91" s="23"/>
      <c r="P91" s="22"/>
      <c r="Q91" s="23"/>
      <c r="R91" s="22"/>
      <c r="S91" s="23"/>
      <c r="T91" s="22"/>
      <c r="U91" s="23"/>
      <c r="V91" s="22"/>
      <c r="W91" s="23"/>
      <c r="X91" s="22"/>
      <c r="Y91" s="23"/>
      <c r="Z91" s="22"/>
      <c r="AA91" s="23"/>
      <c r="AB91" s="22">
        <f t="shared" si="36"/>
        <v>0</v>
      </c>
      <c r="AC91" s="23">
        <f t="shared" si="37"/>
        <v>0</v>
      </c>
    </row>
    <row r="92" spans="1:29">
      <c r="A92" s="4" t="s">
        <v>62</v>
      </c>
      <c r="B92" s="24">
        <f t="shared" ref="B92:C92" si="71">B31-B90</f>
        <v>69600</v>
      </c>
      <c r="C92" s="25">
        <f t="shared" si="71"/>
        <v>516957</v>
      </c>
      <c r="D92" s="24">
        <f t="shared" ref="D92:G92" si="72">D31-D90</f>
        <v>-1551</v>
      </c>
      <c r="E92" s="25">
        <f t="shared" si="72"/>
        <v>438663</v>
      </c>
      <c r="F92" s="24">
        <f t="shared" si="72"/>
        <v>-39683</v>
      </c>
      <c r="G92" s="25">
        <f t="shared" si="72"/>
        <v>648728</v>
      </c>
      <c r="H92" s="24">
        <f t="shared" ref="H92:I92" si="73">H31-H90</f>
        <v>-5483</v>
      </c>
      <c r="I92" s="25">
        <f t="shared" si="73"/>
        <v>244645</v>
      </c>
      <c r="J92" s="24">
        <f>J31-J90</f>
        <v>-7312</v>
      </c>
      <c r="K92" s="25">
        <f>K31-K90</f>
        <v>37545</v>
      </c>
      <c r="L92" s="24"/>
      <c r="M92" s="25"/>
      <c r="N92" s="24">
        <f t="shared" ref="N92:S92" si="74">N31-N90</f>
        <v>30312</v>
      </c>
      <c r="O92" s="25">
        <f t="shared" si="74"/>
        <v>289297</v>
      </c>
      <c r="P92" s="24">
        <f t="shared" si="74"/>
        <v>-6801</v>
      </c>
      <c r="Q92" s="25">
        <f t="shared" si="74"/>
        <v>-149027</v>
      </c>
      <c r="R92" s="24">
        <f t="shared" si="74"/>
        <v>-11885.999999999985</v>
      </c>
      <c r="S92" s="25">
        <f t="shared" si="74"/>
        <v>122584</v>
      </c>
      <c r="T92" s="24">
        <f t="shared" ref="T92:U92" si="75">T31-T90</f>
        <v>-5960</v>
      </c>
      <c r="U92" s="25">
        <f t="shared" si="75"/>
        <v>-81321</v>
      </c>
      <c r="V92" s="24">
        <f t="shared" ref="V92:AA92" si="76">V31-V90</f>
        <v>-1133</v>
      </c>
      <c r="W92" s="25">
        <f t="shared" si="76"/>
        <v>137167</v>
      </c>
      <c r="X92" s="24">
        <f t="shared" si="76"/>
        <v>0</v>
      </c>
      <c r="Y92" s="25">
        <f t="shared" si="76"/>
        <v>0</v>
      </c>
      <c r="Z92" s="24">
        <f t="shared" si="76"/>
        <v>11762</v>
      </c>
      <c r="AA92" s="25">
        <f t="shared" si="76"/>
        <v>52730</v>
      </c>
      <c r="AB92" s="24">
        <f t="shared" si="36"/>
        <v>31865.000000000015</v>
      </c>
      <c r="AC92" s="25">
        <f t="shared" si="37"/>
        <v>2257968</v>
      </c>
    </row>
    <row r="93" spans="1:29">
      <c r="A93" s="9" t="s">
        <v>242</v>
      </c>
      <c r="B93" s="47">
        <f>INDEX('[4]Page 3'!$B:$DP,MATCH("8030",'[4]Page 3'!$R:$R,0),18)</f>
        <v>0</v>
      </c>
      <c r="C93" s="13">
        <f>INDEX('[4]Page 3'!$B:$DP,MATCH("8030",'[4]Page 3'!$R:$R,0),34)</f>
        <v>0</v>
      </c>
      <c r="D93" s="47">
        <f>INDEX('[5]Page 3'!$B:$DP,MATCH("8030",'[5]Page 3'!$R:$R,0),18)</f>
        <v>0</v>
      </c>
      <c r="E93" s="13">
        <f>INDEX('[5]Page 3'!$B:$DP,MATCH("8030",'[5]Page 3'!$R:$R,0),34)</f>
        <v>0</v>
      </c>
      <c r="F93" s="47">
        <f>INDEX('[6]Page 3'!$B:$DP,MATCH("8030",'[6]Page 3'!$R:$R,0),18)</f>
        <v>0</v>
      </c>
      <c r="G93" s="13">
        <f>INDEX('[6]Page 3'!$B:$DP,MATCH("8030",'[6]Page 3'!$R:$R,0),34)</f>
        <v>0</v>
      </c>
      <c r="H93" s="47"/>
      <c r="I93" s="13"/>
      <c r="J93" s="47"/>
      <c r="K93" s="13"/>
      <c r="L93" s="47"/>
      <c r="M93" s="13"/>
      <c r="N93" s="47"/>
      <c r="O93" s="13"/>
      <c r="P93" s="47"/>
      <c r="Q93" s="13"/>
      <c r="R93" s="47"/>
      <c r="S93" s="13"/>
      <c r="T93" s="47"/>
      <c r="U93" s="13"/>
      <c r="V93" s="47"/>
      <c r="W93" s="13"/>
      <c r="X93" s="47"/>
      <c r="Y93" s="13"/>
      <c r="Z93" s="47"/>
      <c r="AA93" s="13"/>
      <c r="AB93" s="47">
        <f t="shared" si="36"/>
        <v>0</v>
      </c>
      <c r="AC93" s="13">
        <f t="shared" si="37"/>
        <v>0</v>
      </c>
    </row>
    <row r="94" spans="1:29">
      <c r="A94" s="4" t="s">
        <v>63</v>
      </c>
      <c r="B94" s="24">
        <f t="shared" ref="B94:C94" si="77">SUM(B92:B93)</f>
        <v>69600</v>
      </c>
      <c r="C94" s="25">
        <f t="shared" si="77"/>
        <v>516957</v>
      </c>
      <c r="D94" s="24">
        <f t="shared" ref="D94:E94" si="78">SUM(D92:D93)</f>
        <v>-1551</v>
      </c>
      <c r="E94" s="25">
        <f t="shared" si="78"/>
        <v>438663</v>
      </c>
      <c r="F94" s="24">
        <f t="shared" ref="F94:G94" si="79">SUM(F92:F93)</f>
        <v>-39683</v>
      </c>
      <c r="G94" s="25">
        <f t="shared" si="79"/>
        <v>648728</v>
      </c>
      <c r="H94" s="24">
        <f t="shared" ref="H94:I94" si="80">SUM(H92:H93)</f>
        <v>-5483</v>
      </c>
      <c r="I94" s="25">
        <f t="shared" si="80"/>
        <v>244645</v>
      </c>
      <c r="J94" s="24">
        <f>SUM(J92:J93)</f>
        <v>-7312</v>
      </c>
      <c r="K94" s="25">
        <f>SUM(K92:K93)</f>
        <v>37545</v>
      </c>
      <c r="L94" s="24"/>
      <c r="M94" s="25"/>
      <c r="N94" s="24">
        <f t="shared" ref="N94:S94" si="81">SUM(N92:N93)</f>
        <v>30312</v>
      </c>
      <c r="O94" s="25">
        <f t="shared" si="81"/>
        <v>289297</v>
      </c>
      <c r="P94" s="24">
        <f t="shared" si="81"/>
        <v>-6801</v>
      </c>
      <c r="Q94" s="25">
        <f t="shared" si="81"/>
        <v>-149027</v>
      </c>
      <c r="R94" s="24">
        <f t="shared" si="81"/>
        <v>-11885.999999999985</v>
      </c>
      <c r="S94" s="25">
        <f t="shared" si="81"/>
        <v>122584</v>
      </c>
      <c r="T94" s="24">
        <f t="shared" ref="T94:U94" si="82">SUM(T92:T93)</f>
        <v>-5960</v>
      </c>
      <c r="U94" s="25">
        <f t="shared" si="82"/>
        <v>-81321</v>
      </c>
      <c r="V94" s="24">
        <f t="shared" ref="V94:AA94" si="83">SUM(V92:V93)</f>
        <v>-1133</v>
      </c>
      <c r="W94" s="25">
        <f t="shared" si="83"/>
        <v>137167</v>
      </c>
      <c r="X94" s="24">
        <f t="shared" si="83"/>
        <v>0</v>
      </c>
      <c r="Y94" s="25">
        <f t="shared" si="83"/>
        <v>0</v>
      </c>
      <c r="Z94" s="24">
        <f t="shared" si="83"/>
        <v>11762</v>
      </c>
      <c r="AA94" s="25">
        <f t="shared" si="83"/>
        <v>52730</v>
      </c>
      <c r="AB94" s="24">
        <f t="shared" si="36"/>
        <v>31865.000000000015</v>
      </c>
      <c r="AC94" s="25">
        <f t="shared" si="37"/>
        <v>2257968</v>
      </c>
    </row>
    <row r="95" spans="1:29" ht="15" hidden="1" customHeight="1">
      <c r="A95" s="10" t="s">
        <v>50</v>
      </c>
      <c r="B95" s="18"/>
      <c r="C95" s="19"/>
      <c r="D95" s="18"/>
      <c r="E95" s="19"/>
      <c r="F95" s="18"/>
      <c r="G95" s="19"/>
      <c r="H95" s="18"/>
      <c r="I95" s="19"/>
      <c r="J95" s="18"/>
      <c r="K95" s="19"/>
      <c r="L95" s="18"/>
      <c r="M95" s="19"/>
      <c r="N95" s="18"/>
      <c r="O95" s="19"/>
      <c r="P95" s="18"/>
      <c r="Q95" s="19"/>
      <c r="R95" s="18"/>
      <c r="S95" s="19"/>
      <c r="T95" s="18"/>
      <c r="U95" s="19"/>
      <c r="V95" s="18"/>
      <c r="W95" s="19"/>
      <c r="X95" s="18"/>
      <c r="Y95" s="19"/>
      <c r="Z95" s="18"/>
      <c r="AA95" s="19"/>
      <c r="AB95" s="18">
        <f t="shared" ref="AB95:AB125" si="84">SUMIF($B$5:$Y$5,"Month",B95:Y95)</f>
        <v>0</v>
      </c>
      <c r="AC95" s="19">
        <f t="shared" ref="AC95:AC125" si="85">SUMIF($B$5:$Y$5,"YTD",B95:Y95)</f>
        <v>0</v>
      </c>
    </row>
    <row r="96" spans="1:29" ht="15" hidden="1" customHeight="1">
      <c r="A96" s="4" t="s">
        <v>69</v>
      </c>
      <c r="B96" s="24">
        <f t="shared" ref="B96:C96" si="86">B94-B95</f>
        <v>69600</v>
      </c>
      <c r="C96" s="25">
        <f t="shared" si="86"/>
        <v>516957</v>
      </c>
      <c r="D96" s="24">
        <f t="shared" ref="D96:G96" si="87">D94-D95</f>
        <v>-1551</v>
      </c>
      <c r="E96" s="25">
        <f t="shared" si="87"/>
        <v>438663</v>
      </c>
      <c r="F96" s="24">
        <f t="shared" si="87"/>
        <v>-39683</v>
      </c>
      <c r="G96" s="25">
        <f t="shared" si="87"/>
        <v>648728</v>
      </c>
      <c r="H96" s="24">
        <f t="shared" ref="H96:Q96" si="88">H94-H95</f>
        <v>-5483</v>
      </c>
      <c r="I96" s="25">
        <f t="shared" si="88"/>
        <v>244645</v>
      </c>
      <c r="J96" s="24">
        <f>J94-J95</f>
        <v>-7312</v>
      </c>
      <c r="K96" s="25">
        <f>K94-K95</f>
        <v>37545</v>
      </c>
      <c r="L96" s="24"/>
      <c r="M96" s="25"/>
      <c r="N96" s="24">
        <f t="shared" si="88"/>
        <v>30312</v>
      </c>
      <c r="O96" s="25">
        <f t="shared" si="88"/>
        <v>289297</v>
      </c>
      <c r="P96" s="24">
        <f t="shared" si="88"/>
        <v>-6801</v>
      </c>
      <c r="Q96" s="25">
        <f t="shared" si="88"/>
        <v>-149027</v>
      </c>
      <c r="R96" s="24">
        <f t="shared" ref="R96:AA96" si="89">R94-R95</f>
        <v>-11885.999999999985</v>
      </c>
      <c r="S96" s="25">
        <f t="shared" si="89"/>
        <v>122584</v>
      </c>
      <c r="T96" s="24">
        <f t="shared" si="89"/>
        <v>-5960</v>
      </c>
      <c r="U96" s="25">
        <f t="shared" si="89"/>
        <v>-81321</v>
      </c>
      <c r="V96" s="24">
        <f t="shared" si="89"/>
        <v>-1133</v>
      </c>
      <c r="W96" s="25">
        <f t="shared" si="89"/>
        <v>137167</v>
      </c>
      <c r="X96" s="24">
        <f t="shared" si="89"/>
        <v>0</v>
      </c>
      <c r="Y96" s="25">
        <f t="shared" si="89"/>
        <v>0</v>
      </c>
      <c r="Z96" s="24">
        <f t="shared" si="89"/>
        <v>11762</v>
      </c>
      <c r="AA96" s="25">
        <f t="shared" si="89"/>
        <v>52730</v>
      </c>
      <c r="AB96" s="24">
        <f t="shared" si="84"/>
        <v>20103.000000000015</v>
      </c>
      <c r="AC96" s="25">
        <f t="shared" si="85"/>
        <v>2205238</v>
      </c>
    </row>
    <row r="97" spans="1:29" ht="15" hidden="1" customHeight="1">
      <c r="A97" s="10" t="s">
        <v>51</v>
      </c>
      <c r="B97" s="18"/>
      <c r="C97" s="19"/>
      <c r="D97" s="18"/>
      <c r="E97" s="19"/>
      <c r="F97" s="18"/>
      <c r="G97" s="19"/>
      <c r="H97" s="18"/>
      <c r="I97" s="19"/>
      <c r="J97" s="18"/>
      <c r="K97" s="19"/>
      <c r="L97" s="18"/>
      <c r="M97" s="19"/>
      <c r="N97" s="18"/>
      <c r="O97" s="19"/>
      <c r="P97" s="18"/>
      <c r="Q97" s="19"/>
      <c r="R97" s="18"/>
      <c r="S97" s="19"/>
      <c r="T97" s="18"/>
      <c r="U97" s="19"/>
      <c r="V97" s="18"/>
      <c r="W97" s="19"/>
      <c r="X97" s="18"/>
      <c r="Y97" s="19"/>
      <c r="Z97" s="18"/>
      <c r="AA97" s="19"/>
      <c r="AB97" s="18">
        <f t="shared" si="84"/>
        <v>0</v>
      </c>
      <c r="AC97" s="19">
        <f t="shared" si="85"/>
        <v>0</v>
      </c>
    </row>
    <row r="98" spans="1:29" ht="15" hidden="1" customHeight="1">
      <c r="A98" s="12" t="s">
        <v>70</v>
      </c>
      <c r="B98" s="20">
        <f t="shared" ref="B98:C98" si="90">B96-B97</f>
        <v>69600</v>
      </c>
      <c r="C98" s="21">
        <f t="shared" si="90"/>
        <v>516957</v>
      </c>
      <c r="D98" s="20">
        <f t="shared" ref="D98:G98" si="91">D96-D97</f>
        <v>-1551</v>
      </c>
      <c r="E98" s="21">
        <f t="shared" si="91"/>
        <v>438663</v>
      </c>
      <c r="F98" s="20">
        <f t="shared" si="91"/>
        <v>-39683</v>
      </c>
      <c r="G98" s="21">
        <f t="shared" si="91"/>
        <v>648728</v>
      </c>
      <c r="H98" s="20">
        <f t="shared" ref="H98:Q98" si="92">H96-H97</f>
        <v>-5483</v>
      </c>
      <c r="I98" s="21">
        <f t="shared" si="92"/>
        <v>244645</v>
      </c>
      <c r="J98" s="20">
        <f>J96-J97</f>
        <v>-7312</v>
      </c>
      <c r="K98" s="21">
        <f>K96-K97</f>
        <v>37545</v>
      </c>
      <c r="L98" s="20"/>
      <c r="M98" s="21"/>
      <c r="N98" s="20">
        <f t="shared" si="92"/>
        <v>30312</v>
      </c>
      <c r="O98" s="21">
        <f t="shared" si="92"/>
        <v>289297</v>
      </c>
      <c r="P98" s="20">
        <f t="shared" si="92"/>
        <v>-6801</v>
      </c>
      <c r="Q98" s="21">
        <f t="shared" si="92"/>
        <v>-149027</v>
      </c>
      <c r="R98" s="20">
        <f t="shared" ref="R98:AA98" si="93">R96-R97</f>
        <v>-11885.999999999985</v>
      </c>
      <c r="S98" s="21">
        <f t="shared" si="93"/>
        <v>122584</v>
      </c>
      <c r="T98" s="20">
        <f t="shared" si="93"/>
        <v>-5960</v>
      </c>
      <c r="U98" s="21">
        <f t="shared" si="93"/>
        <v>-81321</v>
      </c>
      <c r="V98" s="20">
        <f t="shared" si="93"/>
        <v>-1133</v>
      </c>
      <c r="W98" s="21">
        <f t="shared" si="93"/>
        <v>137167</v>
      </c>
      <c r="X98" s="20">
        <f t="shared" si="93"/>
        <v>0</v>
      </c>
      <c r="Y98" s="21">
        <f t="shared" si="93"/>
        <v>0</v>
      </c>
      <c r="Z98" s="20">
        <f t="shared" si="93"/>
        <v>11762</v>
      </c>
      <c r="AA98" s="21">
        <f t="shared" si="93"/>
        <v>52730</v>
      </c>
      <c r="AB98" s="20">
        <f t="shared" si="84"/>
        <v>20103.000000000015</v>
      </c>
      <c r="AC98" s="21">
        <f t="shared" si="85"/>
        <v>2205238</v>
      </c>
    </row>
    <row r="99" spans="1:29">
      <c r="AB99">
        <f t="shared" si="84"/>
        <v>0</v>
      </c>
      <c r="AC99">
        <f t="shared" si="85"/>
        <v>0</v>
      </c>
    </row>
    <row r="100" spans="1:29">
      <c r="AB100">
        <f t="shared" si="84"/>
        <v>0</v>
      </c>
      <c r="AC100">
        <f t="shared" si="85"/>
        <v>0</v>
      </c>
    </row>
    <row r="101" spans="1:29">
      <c r="AB101">
        <f t="shared" si="84"/>
        <v>0</v>
      </c>
      <c r="AC101">
        <f t="shared" si="85"/>
        <v>0</v>
      </c>
    </row>
    <row r="102" spans="1:29">
      <c r="AB102">
        <f t="shared" si="84"/>
        <v>0</v>
      </c>
      <c r="AC102">
        <f t="shared" si="85"/>
        <v>0</v>
      </c>
    </row>
    <row r="103" spans="1:29">
      <c r="AB103">
        <f t="shared" si="84"/>
        <v>0</v>
      </c>
      <c r="AC103">
        <f t="shared" si="85"/>
        <v>0</v>
      </c>
    </row>
    <row r="104" spans="1:29">
      <c r="AB104">
        <f t="shared" si="84"/>
        <v>0</v>
      </c>
      <c r="AC104">
        <f t="shared" si="85"/>
        <v>0</v>
      </c>
    </row>
    <row r="105" spans="1:29">
      <c r="AB105">
        <f t="shared" si="84"/>
        <v>0</v>
      </c>
      <c r="AC105">
        <f t="shared" si="85"/>
        <v>0</v>
      </c>
    </row>
    <row r="106" spans="1:29">
      <c r="AB106">
        <f t="shared" si="84"/>
        <v>0</v>
      </c>
      <c r="AC106">
        <f t="shared" si="85"/>
        <v>0</v>
      </c>
    </row>
    <row r="107" spans="1:29">
      <c r="AB107">
        <f t="shared" si="84"/>
        <v>0</v>
      </c>
      <c r="AC107">
        <f t="shared" si="85"/>
        <v>0</v>
      </c>
    </row>
    <row r="108" spans="1:29">
      <c r="AB108">
        <f t="shared" si="84"/>
        <v>0</v>
      </c>
      <c r="AC108">
        <f t="shared" si="85"/>
        <v>0</v>
      </c>
    </row>
    <row r="109" spans="1:29">
      <c r="AB109">
        <f t="shared" si="84"/>
        <v>0</v>
      </c>
      <c r="AC109">
        <f t="shared" si="85"/>
        <v>0</v>
      </c>
    </row>
    <row r="110" spans="1:29">
      <c r="AB110">
        <f t="shared" si="84"/>
        <v>0</v>
      </c>
      <c r="AC110">
        <f t="shared" si="85"/>
        <v>0</v>
      </c>
    </row>
    <row r="111" spans="1:29">
      <c r="AB111">
        <f t="shared" si="84"/>
        <v>0</v>
      </c>
      <c r="AC111">
        <f t="shared" si="85"/>
        <v>0</v>
      </c>
    </row>
    <row r="112" spans="1:29">
      <c r="AB112">
        <f t="shared" si="84"/>
        <v>0</v>
      </c>
      <c r="AC112">
        <f t="shared" si="85"/>
        <v>0</v>
      </c>
    </row>
    <row r="113" spans="28:29">
      <c r="AB113">
        <f t="shared" si="84"/>
        <v>0</v>
      </c>
      <c r="AC113">
        <f t="shared" si="85"/>
        <v>0</v>
      </c>
    </row>
    <row r="114" spans="28:29">
      <c r="AB114">
        <f t="shared" si="84"/>
        <v>0</v>
      </c>
      <c r="AC114">
        <f t="shared" si="85"/>
        <v>0</v>
      </c>
    </row>
    <row r="115" spans="28:29">
      <c r="AB115">
        <f t="shared" si="84"/>
        <v>0</v>
      </c>
      <c r="AC115">
        <f t="shared" si="85"/>
        <v>0</v>
      </c>
    </row>
    <row r="116" spans="28:29">
      <c r="AB116">
        <f t="shared" si="84"/>
        <v>0</v>
      </c>
      <c r="AC116">
        <f t="shared" si="85"/>
        <v>0</v>
      </c>
    </row>
    <row r="117" spans="28:29">
      <c r="AB117">
        <f t="shared" si="84"/>
        <v>0</v>
      </c>
      <c r="AC117">
        <f t="shared" si="85"/>
        <v>0</v>
      </c>
    </row>
    <row r="118" spans="28:29">
      <c r="AB118">
        <f t="shared" si="84"/>
        <v>0</v>
      </c>
      <c r="AC118">
        <f t="shared" si="85"/>
        <v>0</v>
      </c>
    </row>
    <row r="119" spans="28:29">
      <c r="AB119">
        <f t="shared" si="84"/>
        <v>0</v>
      </c>
      <c r="AC119">
        <f t="shared" si="85"/>
        <v>0</v>
      </c>
    </row>
    <row r="120" spans="28:29">
      <c r="AB120">
        <f t="shared" si="84"/>
        <v>0</v>
      </c>
      <c r="AC120">
        <f t="shared" si="85"/>
        <v>0</v>
      </c>
    </row>
    <row r="121" spans="28:29">
      <c r="AB121">
        <f t="shared" si="84"/>
        <v>0</v>
      </c>
      <c r="AC121">
        <f t="shared" si="85"/>
        <v>0</v>
      </c>
    </row>
    <row r="122" spans="28:29">
      <c r="AB122">
        <f t="shared" si="84"/>
        <v>0</v>
      </c>
      <c r="AC122">
        <f t="shared" si="85"/>
        <v>0</v>
      </c>
    </row>
    <row r="123" spans="28:29">
      <c r="AB123">
        <f t="shared" si="84"/>
        <v>0</v>
      </c>
      <c r="AC123">
        <f t="shared" si="85"/>
        <v>0</v>
      </c>
    </row>
    <row r="124" spans="28:29">
      <c r="AB124">
        <f t="shared" si="84"/>
        <v>0</v>
      </c>
      <c r="AC124">
        <f t="shared" si="85"/>
        <v>0</v>
      </c>
    </row>
    <row r="125" spans="28:29">
      <c r="AB125">
        <f t="shared" si="84"/>
        <v>0</v>
      </c>
      <c r="AC125">
        <f t="shared" si="85"/>
        <v>0</v>
      </c>
    </row>
  </sheetData>
  <sheetProtection sheet="1" objects="1" scenarios="1"/>
  <mergeCells count="19">
    <mergeCell ref="A15:A16"/>
    <mergeCell ref="A18:A19"/>
    <mergeCell ref="R4:S4"/>
    <mergeCell ref="T4:U4"/>
    <mergeCell ref="P4:Q4"/>
    <mergeCell ref="B4:C4"/>
    <mergeCell ref="F4:G4"/>
    <mergeCell ref="H4:I4"/>
    <mergeCell ref="J4:K4"/>
    <mergeCell ref="L4:M4"/>
    <mergeCell ref="N4:O4"/>
    <mergeCell ref="D4:E4"/>
    <mergeCell ref="V4:W4"/>
    <mergeCell ref="AB4:AC4"/>
    <mergeCell ref="A6:A7"/>
    <mergeCell ref="A9:A10"/>
    <mergeCell ref="A12:A13"/>
    <mergeCell ref="X4:Y4"/>
    <mergeCell ref="Z4:AA4"/>
  </mergeCells>
  <printOptions horizontalCentered="1"/>
  <pageMargins left="0" right="0" top="0" bottom="0" header="0" footer="0"/>
  <pageSetup scale="10" fitToWidth="0" orientation="portrait" r:id="rId1"/>
  <colBreaks count="2" manualBreakCount="2">
    <brk id="9" max="93" man="1"/>
    <brk id="19" max="93" man="1"/>
  </colBreaks>
  <ignoredErrors>
    <ignoredError sqref="T92 T94 T96 T98" evalError="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
    <pageSetUpPr fitToPage="1"/>
  </sheetPr>
  <dimension ref="A1:AC125"/>
  <sheetViews>
    <sheetView workbookViewId="0"/>
  </sheetViews>
  <sheetFormatPr defaultColWidth="9.140625" defaultRowHeight="15"/>
  <cols>
    <col min="1" max="1" width="52.5703125" bestFit="1" customWidth="1"/>
    <col min="2" max="11" width="12.5703125" customWidth="1"/>
    <col min="12" max="13" width="12.5703125" hidden="1" customWidth="1"/>
    <col min="14" max="23" width="12.5703125" customWidth="1"/>
    <col min="24" max="25" width="12.5703125" hidden="1" customWidth="1"/>
    <col min="26" max="29" width="12.5703125" customWidth="1"/>
  </cols>
  <sheetData>
    <row r="1" spans="1:29">
      <c r="A1" t="s">
        <v>212</v>
      </c>
    </row>
    <row r="2" spans="1:29" s="1" customFormat="1">
      <c r="A2" s="2">
        <f>'Dealership Totals'!A2</f>
        <v>42705</v>
      </c>
      <c r="B2" s="2"/>
      <c r="D2" s="2"/>
      <c r="F2" s="2"/>
      <c r="H2" s="2"/>
      <c r="J2" s="2"/>
      <c r="L2" s="2"/>
      <c r="N2" s="2"/>
      <c r="P2" s="2"/>
      <c r="R2" s="2"/>
      <c r="T2" s="2"/>
      <c r="V2" s="2"/>
      <c r="X2" s="2"/>
      <c r="Z2" s="2"/>
      <c r="AB2" s="2"/>
    </row>
    <row r="3" spans="1:29" s="1" customFormat="1">
      <c r="A3" s="3"/>
      <c r="B3" s="2"/>
      <c r="D3" s="2"/>
      <c r="F3" s="2"/>
      <c r="H3" s="2"/>
      <c r="J3" s="2"/>
      <c r="L3" s="2"/>
      <c r="N3" s="2"/>
      <c r="P3" s="125">
        <f>'[2]PAGE 2'!$BF$13</f>
        <v>16358</v>
      </c>
      <c r="Q3" s="126">
        <f>P3/'Dealership Totals'!AD3</f>
        <v>8.7567718036016359E-2</v>
      </c>
      <c r="R3" s="125">
        <f>[3]P2!$AQ$25</f>
        <v>31808</v>
      </c>
      <c r="S3" s="126">
        <f>R3/'Dealership Totals'!AH3</f>
        <v>0.16000080483302229</v>
      </c>
      <c r="T3" s="125">
        <f>[13]P2!$AQ$25</f>
        <v>8185</v>
      </c>
      <c r="U3" s="126">
        <f>T3/'Dealership Totals'!AJ3</f>
        <v>0.15999452676023301</v>
      </c>
      <c r="V3" s="125">
        <f>[13]P2!$AQ$25</f>
        <v>8185</v>
      </c>
      <c r="W3" s="126"/>
      <c r="X3" s="2"/>
      <c r="Z3" s="2"/>
      <c r="AB3" s="125"/>
      <c r="AC3" s="126"/>
    </row>
    <row r="4" spans="1:29" s="1" customFormat="1">
      <c r="A4" s="3"/>
      <c r="B4" s="309" t="s">
        <v>213</v>
      </c>
      <c r="C4" s="310"/>
      <c r="D4" s="309" t="s">
        <v>282</v>
      </c>
      <c r="E4" s="310"/>
      <c r="F4" s="309" t="s">
        <v>203</v>
      </c>
      <c r="G4" s="310"/>
      <c r="H4" s="309" t="s">
        <v>204</v>
      </c>
      <c r="I4" s="310"/>
      <c r="J4" s="309" t="s">
        <v>205</v>
      </c>
      <c r="K4" s="310"/>
      <c r="L4" s="309"/>
      <c r="M4" s="310"/>
      <c r="N4" s="309" t="s">
        <v>207</v>
      </c>
      <c r="O4" s="310"/>
      <c r="P4" s="309" t="s">
        <v>208</v>
      </c>
      <c r="Q4" s="310"/>
      <c r="R4" s="309" t="s">
        <v>278</v>
      </c>
      <c r="S4" s="310"/>
      <c r="T4" s="309" t="s">
        <v>279</v>
      </c>
      <c r="U4" s="310"/>
      <c r="V4" s="309" t="s">
        <v>287</v>
      </c>
      <c r="W4" s="310"/>
      <c r="X4" s="309" t="s">
        <v>292</v>
      </c>
      <c r="Y4" s="310"/>
      <c r="Z4" s="309" t="s">
        <v>293</v>
      </c>
      <c r="AA4" s="310"/>
      <c r="AB4" s="309" t="s">
        <v>291</v>
      </c>
      <c r="AC4" s="310"/>
    </row>
    <row r="5" spans="1:29" s="1" customFormat="1">
      <c r="B5" s="14" t="s">
        <v>2</v>
      </c>
      <c r="C5" s="15" t="s">
        <v>3</v>
      </c>
      <c r="D5" s="14" t="s">
        <v>2</v>
      </c>
      <c r="E5" s="15" t="s">
        <v>3</v>
      </c>
      <c r="F5" s="14" t="s">
        <v>2</v>
      </c>
      <c r="G5" s="15" t="s">
        <v>3</v>
      </c>
      <c r="H5" s="14" t="s">
        <v>2</v>
      </c>
      <c r="I5" s="15" t="s">
        <v>3</v>
      </c>
      <c r="J5" s="14" t="s">
        <v>2</v>
      </c>
      <c r="K5" s="15" t="s">
        <v>3</v>
      </c>
      <c r="L5" s="14"/>
      <c r="M5" s="15"/>
      <c r="N5" s="14" t="s">
        <v>2</v>
      </c>
      <c r="O5" s="15" t="s">
        <v>3</v>
      </c>
      <c r="P5" s="14" t="s">
        <v>2</v>
      </c>
      <c r="Q5" s="15" t="s">
        <v>3</v>
      </c>
      <c r="R5" s="14" t="s">
        <v>2</v>
      </c>
      <c r="S5" s="15" t="s">
        <v>3</v>
      </c>
      <c r="T5" s="14" t="s">
        <v>2</v>
      </c>
      <c r="U5" s="15" t="s">
        <v>3</v>
      </c>
      <c r="V5" s="14" t="s">
        <v>2</v>
      </c>
      <c r="W5" s="15" t="s">
        <v>3</v>
      </c>
      <c r="X5" s="14" t="s">
        <v>2</v>
      </c>
      <c r="Y5" s="15" t="s">
        <v>3</v>
      </c>
      <c r="Z5" s="14" t="s">
        <v>2</v>
      </c>
      <c r="AA5" s="15" t="s">
        <v>3</v>
      </c>
      <c r="AB5" s="14" t="s">
        <v>2</v>
      </c>
      <c r="AC5" s="15" t="s">
        <v>3</v>
      </c>
    </row>
    <row r="6" spans="1:29" s="1" customFormat="1">
      <c r="A6" s="65" t="s">
        <v>231</v>
      </c>
      <c r="B6" s="57">
        <f>INDEX([4]Page6!$B:$CY,MATCH(4600,[4]Page6!$AS:$AS,0),10)+INDEX([4]Page6!$B:$CY,MATCH(4620,[4]Page6!$AS:$AS,0),10)+INDEX([4]Page6!$B:$CY,MATCH(4630,[4]Page6!$AS:$AS,0),10)+INDEX([4]Page6!$B:$CY,MATCH(4610,[4]Page6!$AS:$AS,0),10)+INDEX([4]Page6!$B:$CY,MATCH(4602,[4]Page6!$AS:$AS,0),10)+INDEX([4]Page6!$B:$CY,MATCH(4606,[4]Page6!$AS:$AS,0),10)+INDEX([4]Page6!$B:$CY,MATCH(4643,[4]Page6!$AS:$AS,0),10)+INDEX([4]Page6!$B:$CY,MATCH(4653,[4]Page6!$AS:$AS,0),10)+INDEX([4]Page6!$B:$CY,MATCH(4667,[4]Page6!$AS:$AS,0),10)</f>
        <v>80155</v>
      </c>
      <c r="C6" s="58">
        <f>INDEX([4]Page6!$B:$CY,MATCH(4600,[4]Page6!$AS:$AS,0),68)+INDEX([4]Page6!$B:$CY,MATCH(4620,[4]Page6!$AS:$AS,0),68)+INDEX([4]Page6!$B:$CY,MATCH(4630,[4]Page6!$AS:$AS,0),68)+INDEX([4]Page6!$B:$CY,MATCH(4610,[4]Page6!$AS:$AS,0),68)+INDEX([4]Page6!$B:$CY,MATCH(4602,[4]Page6!$AS:$AS,0),68)+INDEX([4]Page6!$B:$CY,MATCH(4606,[4]Page6!$AS:$AS,0),68)+INDEX([4]Page6!$B:$CY,MATCH(4643,[4]Page6!$AS:$AS,0),68)+INDEX([4]Page6!$B:$CY,MATCH(4653,[4]Page6!$AS:$AS,0),68)+INDEX([4]Page6!$B:$CY,MATCH(4667,[4]Page6!$AS:$AS,0),68)</f>
        <v>771132</v>
      </c>
      <c r="D6" s="57">
        <f>INDEX([5]Page6!$B:$CY,MATCH(4600,[5]Page6!$AS:$AS,0),10)+INDEX([5]Page6!$B:$CY,MATCH(4620,[5]Page6!$AS:$AS,0),10)+INDEX([5]Page6!$B:$CY,MATCH(4630,[5]Page6!$AS:$AS,0),10)+INDEX([5]Page6!$B:$CY,MATCH(4610,[5]Page6!$AS:$AS,0),10)+INDEX([5]Page6!$B:$CY,MATCH(4602,[5]Page6!$AS:$AS,0),10)+INDEX([5]Page6!$B:$CY,MATCH(4606,[5]Page6!$AS:$AS,0),10)+INDEX([5]Page6!$B:$CY,MATCH(4643,[5]Page6!$AS:$AS,0),10)+INDEX([5]Page6!$B:$CY,MATCH(4653,[5]Page6!$AS:$AS,0),10)+INDEX([5]Page6!$B:$CY,MATCH(4667,[5]Page6!$AS:$AS,0),10)</f>
        <v>128015</v>
      </c>
      <c r="E6" s="58">
        <f>INDEX([5]Page6!$B:$CY,MATCH(4600,[5]Page6!$AS:$AS,0),68)+INDEX([5]Page6!$B:$CY,MATCH(4620,[5]Page6!$AS:$AS,0),68)+INDEX([5]Page6!$B:$CY,MATCH(4630,[5]Page6!$AS:$AS,0),68)+INDEX([5]Page6!$B:$CY,MATCH(4610,[5]Page6!$AS:$AS,0),68)+INDEX([5]Page6!$B:$CY,MATCH(4602,[5]Page6!$AS:$AS,0),68)+INDEX([5]Page6!$B:$CY,MATCH(4606,[5]Page6!$AS:$AS,0),68)+INDEX([5]Page6!$B:$CY,MATCH(4643,[5]Page6!$AS:$AS,0),68)+INDEX([5]Page6!$B:$CY,MATCH(4653,[5]Page6!$AS:$AS,0),68)+INDEX([5]Page6!$B:$CY,MATCH(4667,[5]Page6!$AS:$AS,0),68)</f>
        <v>1664593</v>
      </c>
      <c r="F6" s="57">
        <f>INDEX([6]Page6!$B:$CY,MATCH(4600,[6]Page6!$AS:$AS,0),10)+INDEX([6]Page6!$B:$CY,MATCH(4620,[6]Page6!$AS:$AS,0),10)+INDEX([6]Page6!$B:$CY,MATCH(4630,[6]Page6!$AS:$AS,0),10)+INDEX([6]Page6!$B:$CY,MATCH(4610,[6]Page6!$AS:$AS,0),10)+INDEX([6]Page6!$B:$CY,MATCH(4602,[6]Page6!$AS:$AS,0),10)+INDEX([6]Page6!$B:$CY,MATCH(4606,[6]Page6!$AS:$AS,0),10)+INDEX([6]Page6!$B:$CY,MATCH(4643,[6]Page6!$AS:$AS,0),10)+INDEX([6]Page6!$B:$CY,MATCH(4653,[6]Page6!$AS:$AS,0),10)+INDEX([6]Page6!$B:$CY,MATCH(4667,[6]Page6!$AS:$AS,0),10)</f>
        <v>99097</v>
      </c>
      <c r="G6" s="58">
        <f>INDEX([6]Page6!$B:$CY,MATCH(4600,[6]Page6!$AS:$AS,0),68)+INDEX([6]Page6!$B:$CY,MATCH(4620,[6]Page6!$AS:$AS,0),68)+INDEX([6]Page6!$B:$CY,MATCH(4630,[6]Page6!$AS:$AS,0),68)+INDEX([6]Page6!$B:$CY,MATCH(4610,[6]Page6!$AS:$AS,0),68)+INDEX([6]Page6!$B:$CY,MATCH(4602,[6]Page6!$AS:$AS,0),68)+INDEX([6]Page6!$B:$CY,MATCH(4606,[6]Page6!$AS:$AS,0),68)+INDEX([6]Page6!$B:$CY,MATCH(4643,[6]Page6!$AS:$AS,0),68)+INDEX([6]Page6!$B:$CY,MATCH(4653,[6]Page6!$AS:$AS,0),68)+INDEX([6]Page6!$B:$CY,MATCH(4667,[6]Page6!$AS:$AS,0),68)</f>
        <v>1282591</v>
      </c>
      <c r="H6" s="57">
        <f>'[7]PAGE 4'!$C$56+'[7]PAGE 4'!$C$67+'[7]PAGE 4'!$C$57</f>
        <v>67489</v>
      </c>
      <c r="I6" s="58">
        <f>'[7]PAGE 4'!$M$56+'[7]PAGE 4'!$M$67+'[7]PAGE 4'!$M$57</f>
        <v>793220</v>
      </c>
      <c r="J6" s="57">
        <f>'[8]PAGE 4'!$C$56+'[8]PAGE 4'!$C$67+'[8]PAGE 4'!$C$57</f>
        <v>35046</v>
      </c>
      <c r="K6" s="58">
        <f>'[8]PAGE 4'!$M$56+'[8]PAGE 4'!$M$67+'[8]PAGE 4'!$M$57</f>
        <v>372405</v>
      </c>
      <c r="L6" s="57"/>
      <c r="M6" s="58"/>
      <c r="N6" s="57">
        <f>'[9]Page 6'!$C$49+'[9]Page 6'!$C$50+'[9]Page 6'!$C$51+'[9]Page 6'!$C$60+'[9]Page 6'!$C$61+'[9]Page 6'!$C$57</f>
        <v>88846</v>
      </c>
      <c r="O6" s="58">
        <f>'[9]Page 6'!$M$49+'[9]Page 6'!$M$50+'[9]Page 6'!$M$51+'[9]Page 6'!$M$60+'[9]Page 6'!$M$51+'[9]Page 6'!$M$57</f>
        <v>947960</v>
      </c>
      <c r="P6" s="57">
        <f>'[2]PAGE 5'!$C10+'[2]PAGE 5'!$C12</f>
        <v>105084</v>
      </c>
      <c r="Q6" s="58">
        <f>'[2]PAGE 5'!$M10+'[2]PAGE 5'!$M12</f>
        <v>1122395</v>
      </c>
      <c r="R6" s="57">
        <f>[3]P5!$D$19</f>
        <v>82949</v>
      </c>
      <c r="S6" s="58">
        <f>[3]P5!$L$19</f>
        <v>1113235</v>
      </c>
      <c r="T6" s="57">
        <f>[13]P5!$D$19</f>
        <v>15339</v>
      </c>
      <c r="U6" s="58">
        <f>[13]P5!$L$19</f>
        <v>242760</v>
      </c>
      <c r="V6" s="57">
        <f>SUM('[10]PAGE 5'!$C$40:$D$42,'[10]PAGE 5'!$C$48:$D$48)</f>
        <v>35423</v>
      </c>
      <c r="W6" s="58">
        <f>SUM('[10]PAGE 5'!$Q$40:$R$42,'[10]PAGE 5'!$Q$48:$R$48)</f>
        <v>292749</v>
      </c>
      <c r="X6" s="57">
        <f>'[11]Page 6'!$C$49+'[11]Page 6'!$C$50+'[11]Page 6'!$C$51+'[11]Page 6'!$C$60+'[11]Page 6'!$C$61+'[11]Page 6'!$C$57</f>
        <v>0</v>
      </c>
      <c r="Y6" s="58">
        <f>'[11]Page 6'!$M$49+'[11]Page 6'!$M$50+'[11]Page 6'!$M$51+'[11]Page 6'!$M$60+'[11]Page 6'!$M$51+'[11]Page 6'!$M$57</f>
        <v>0</v>
      </c>
      <c r="Z6" s="57">
        <f>'[12]Page 6'!$C$49+'[12]Page 6'!$C$50+'[12]Page 6'!$C$51+'[12]Page 6'!$C$60+'[12]Page 6'!$C$61+'[12]Page 6'!$C$57</f>
        <v>31471</v>
      </c>
      <c r="AA6" s="58">
        <f>'[12]Page 6'!$M$49+'[12]Page 6'!$M$50+'[12]Page 6'!$M$51+'[12]Page 6'!$M$60+'[12]Page 6'!$M$51+'[12]Page 6'!$M$57</f>
        <v>135246</v>
      </c>
      <c r="AB6" s="57">
        <f>SUMIF($B$5:$AA$5,"Month",B6:AA6)</f>
        <v>768914</v>
      </c>
      <c r="AC6" s="58">
        <f>SUMIF($B$5:$AA$5,"YTD",B6:AA6)</f>
        <v>8738286</v>
      </c>
    </row>
    <row r="7" spans="1:29" s="1" customFormat="1" ht="15" customHeight="1">
      <c r="A7" s="65" t="s">
        <v>264</v>
      </c>
      <c r="B7" s="57">
        <f>INDEX([4]Page6!$B:$CY,MATCH(4600,[4]Page6!$AS:$AS,0),23)+INDEX([4]Page6!$B:$CY,MATCH(4620,[4]Page6!$AS:$AS,0),23)+INDEX([4]Page6!$B:$CY,MATCH(4630,[4]Page6!$AS:$AS,0),23)+INDEX([4]Page6!$B:$CY,MATCH(4610,[4]Page6!$AS:$AS,0),23)+INDEX([4]Page6!$B:$CY,MATCH(4602,[4]Page6!$AS:$AS,0),23)+INDEX([4]Page6!$B:$CY,MATCH(4606,[4]Page6!$AS:$AS,0),23)+INDEX([4]Page6!$B:$CY,MATCH(4643,[4]Page6!$AS:$AS,0),23)+INDEX([4]Page6!$B:$CY,MATCH(4653,[4]Page6!$AS:$AS,0),23)+INDEX([4]Page6!$B:$CY,MATCH(4667,[4]Page6!$AS:$AS,0),23)</f>
        <v>26561</v>
      </c>
      <c r="C7" s="58">
        <f>INDEX([4]Page6!$B:$CY,MATCH(4600,[4]Page6!$AS:$AS,0),81)+INDEX([4]Page6!$B:$CY,MATCH(4620,[4]Page6!$AS:$AS,0),81)+INDEX([4]Page6!$B:$CY,MATCH(4630,[4]Page6!$AS:$AS,0),81)+INDEX([4]Page6!$B:$CY,MATCH(4610,[4]Page6!$AS:$AS,0),81)+INDEX([4]Page6!$B:$CY,MATCH(4602,[4]Page6!$AS:$AS,0),81)+INDEX([4]Page6!$B:$CY,MATCH(4606,[4]Page6!$AS:$AS,0),81)+INDEX([4]Page6!$B:$CY,MATCH(4643,[4]Page6!$AS:$AS,0),81)+INDEX([4]Page6!$B:$CY,MATCH(4653,[4]Page6!$AS:$AS,0),81)+INDEX([4]Page6!$B:$CY,MATCH(4667,[4]Page6!$AS:$AS,0),81)</f>
        <v>284405</v>
      </c>
      <c r="D7" s="57">
        <f>INDEX([5]Page6!$B:$CY,MATCH(4600,[5]Page6!$AS:$AS,0),23)+INDEX([5]Page6!$B:$CY,MATCH(4620,[5]Page6!$AS:$AS,0),23)+INDEX([5]Page6!$B:$CY,MATCH(4630,[5]Page6!$AS:$AS,0),23)+INDEX([5]Page6!$B:$CY,MATCH(4610,[5]Page6!$AS:$AS,0),23)+INDEX([5]Page6!$B:$CY,MATCH(4602,[5]Page6!$AS:$AS,0),23)+INDEX([5]Page6!$B:$CY,MATCH(4606,[5]Page6!$AS:$AS,0),23)+INDEX([5]Page6!$B:$CY,MATCH(4643,[5]Page6!$AS:$AS,0),23)+INDEX([5]Page6!$B:$CY,MATCH(4653,[5]Page6!$AS:$AS,0),23)+INDEX([5]Page6!$B:$CY,MATCH(4667,[5]Page6!$AS:$AS,0),23)</f>
        <v>49644</v>
      </c>
      <c r="E7" s="58">
        <f>INDEX([5]Page6!$B:$CY,MATCH(4600,[5]Page6!$AS:$AS,0),81)+INDEX([5]Page6!$B:$CY,MATCH(4620,[5]Page6!$AS:$AS,0),81)+INDEX([5]Page6!$B:$CY,MATCH(4630,[5]Page6!$AS:$AS,0),81)+INDEX([5]Page6!$B:$CY,MATCH(4610,[5]Page6!$AS:$AS,0),81)+INDEX([5]Page6!$B:$CY,MATCH(4602,[5]Page6!$AS:$AS,0),81)+INDEX([5]Page6!$B:$CY,MATCH(4606,[5]Page6!$AS:$AS,0),81)+INDEX([5]Page6!$B:$CY,MATCH(4643,[5]Page6!$AS:$AS,0),81)+INDEX([5]Page6!$B:$CY,MATCH(4653,[5]Page6!$AS:$AS,0),81)+INDEX([5]Page6!$B:$CY,MATCH(4667,[5]Page6!$AS:$AS,0),81)</f>
        <v>674501</v>
      </c>
      <c r="F7" s="57">
        <f>INDEX([6]Page6!$B:$CY,MATCH(4600,[6]Page6!$AS:$AS,0),23)+INDEX([6]Page6!$B:$CY,MATCH(4620,[6]Page6!$AS:$AS,0),23)+INDEX([6]Page6!$B:$CY,MATCH(4630,[6]Page6!$AS:$AS,0),23)+INDEX([6]Page6!$B:$CY,MATCH(4610,[6]Page6!$AS:$AS,0),23)+INDEX([6]Page6!$B:$CY,MATCH(4602,[6]Page6!$AS:$AS,0),23)+INDEX([6]Page6!$B:$CY,MATCH(4606,[6]Page6!$AS:$AS,0),23)+INDEX([6]Page6!$B:$CY,MATCH(4643,[6]Page6!$AS:$AS,0),23)+INDEX([6]Page6!$B:$CY,MATCH(4653,[6]Page6!$AS:$AS,0),23)+INDEX([6]Page6!$B:$CY,MATCH(4667,[6]Page6!$AS:$AS,0),23)</f>
        <v>36232</v>
      </c>
      <c r="G7" s="58">
        <f>INDEX([6]Page6!$B:$CY,MATCH(4600,[6]Page6!$AS:$AS,0),81)+INDEX([6]Page6!$B:$CY,MATCH(4620,[6]Page6!$AS:$AS,0),81)+INDEX([6]Page6!$B:$CY,MATCH(4630,[6]Page6!$AS:$AS,0),81)+INDEX([6]Page6!$B:$CY,MATCH(4610,[6]Page6!$AS:$AS,0),81)+INDEX([6]Page6!$B:$CY,MATCH(4602,[6]Page6!$AS:$AS,0),81)+INDEX([6]Page6!$B:$CY,MATCH(4606,[6]Page6!$AS:$AS,0),81)+INDEX([6]Page6!$B:$CY,MATCH(4643,[6]Page6!$AS:$AS,0),81)+INDEX([6]Page6!$B:$CY,MATCH(4653,[6]Page6!$AS:$AS,0),81)+INDEX([6]Page6!$B:$CY,MATCH(4667,[6]Page6!$AS:$AS,0),81)</f>
        <v>534053</v>
      </c>
      <c r="H7" s="57">
        <f>'[7]PAGE 4'!$D$56+'[7]PAGE 4'!$D$67+'[7]PAGE 4'!$D$57</f>
        <v>31553</v>
      </c>
      <c r="I7" s="58">
        <f>'[7]PAGE 4'!$N$56+'[7]PAGE 4'!$N$67+'[7]PAGE 4'!$N$57</f>
        <v>248613</v>
      </c>
      <c r="J7" s="57">
        <f>'[8]PAGE 4'!$D$56+'[8]PAGE 4'!$D$67+'[8]PAGE 4'!$D$57</f>
        <v>13451</v>
      </c>
      <c r="K7" s="58">
        <f>'[8]PAGE 4'!$N$56+'[8]PAGE 4'!$N$67+'[8]PAGE 4'!$N$57</f>
        <v>136353</v>
      </c>
      <c r="L7" s="57"/>
      <c r="M7" s="58"/>
      <c r="N7" s="57">
        <f>'[9]Page 6'!$E$49+'[9]Page 6'!$E$50+'[9]Page 6'!$E$51+'[9]Page 6'!$E$60+'[9]Page 6'!$E$61+'[9]Page 6'!$E$57</f>
        <v>32978</v>
      </c>
      <c r="O7" s="58">
        <f>'[9]Page 6'!$O$49+'[9]Page 6'!$O$50+'[9]Page 6'!$O$51+'[9]Page 6'!$O$60+'[9]Page 6'!$O$51+'[9]Page 6'!$O$57</f>
        <v>349055</v>
      </c>
      <c r="P7" s="57">
        <f>'[2]PAGE 5'!$C11+'[2]PAGE 5'!$C13</f>
        <v>36416</v>
      </c>
      <c r="Q7" s="58">
        <f>'[2]PAGE 5'!$M11+'[2]PAGE 5'!$M13</f>
        <v>357081</v>
      </c>
      <c r="R7" s="57">
        <f>[3]P5!$D$21</f>
        <v>35985</v>
      </c>
      <c r="S7" s="58">
        <f>[3]P5!$L$21</f>
        <v>377197</v>
      </c>
      <c r="T7" s="57">
        <f>[13]P5!$D$21</f>
        <v>8417</v>
      </c>
      <c r="U7" s="58">
        <f>[13]P5!$L$21</f>
        <v>66554</v>
      </c>
      <c r="V7" s="57">
        <f>SUM('[10]PAGE 5'!$E$40:$F$42,'[10]PAGE 5'!$E$48:$F$48)</f>
        <v>11798</v>
      </c>
      <c r="W7" s="58">
        <f>SUM('[10]PAGE 5'!$S$40:$T$42,'[10]PAGE 5'!$S$48:$T$48)</f>
        <v>103113</v>
      </c>
      <c r="X7" s="57">
        <f>'[11]Page 6'!$E$49+'[11]Page 6'!$E$50+'[11]Page 6'!$E$51+'[11]Page 6'!$E$60+'[11]Page 6'!$E$61+'[11]Page 6'!$E$57</f>
        <v>0</v>
      </c>
      <c r="Y7" s="58">
        <f>'[11]Page 6'!$O$49+'[11]Page 6'!$O$50+'[11]Page 6'!$O$51+'[11]Page 6'!$O$60+'[11]Page 6'!$O$51+'[11]Page 6'!$O$57</f>
        <v>0</v>
      </c>
      <c r="Z7" s="57">
        <f>'[12]Page 6'!$E$49+'[12]Page 6'!$E$50+'[12]Page 6'!$E$51+'[12]Page 6'!$E$60+'[12]Page 6'!$E$61+'[12]Page 6'!$E$57</f>
        <v>11175</v>
      </c>
      <c r="AA7" s="58">
        <f>'[12]Page 6'!$O$49+'[12]Page 6'!$O$50+'[12]Page 6'!$O$51+'[12]Page 6'!$O$60+'[12]Page 6'!$O$51+'[12]Page 6'!$O$57</f>
        <v>45860</v>
      </c>
      <c r="AB7" s="57">
        <f t="shared" ref="AB7:AB70" si="0">SUMIF($B$5:$AA$5,"Month",B7:AA7)</f>
        <v>294210</v>
      </c>
      <c r="AC7" s="58">
        <f t="shared" ref="AC7:AC70" si="1">SUMIF($B$5:$AA$5,"YTD",B7:AA7)</f>
        <v>3176785</v>
      </c>
    </row>
    <row r="8" spans="1:29" s="1" customFormat="1" hidden="1">
      <c r="A8" s="65" t="s">
        <v>232</v>
      </c>
      <c r="B8" s="57"/>
      <c r="C8" s="58"/>
      <c r="D8" s="57"/>
      <c r="E8" s="58"/>
      <c r="F8" s="57"/>
      <c r="G8" s="58"/>
      <c r="H8" s="57"/>
      <c r="I8" s="58"/>
      <c r="J8" s="57"/>
      <c r="K8" s="58"/>
      <c r="L8" s="57"/>
      <c r="M8" s="58"/>
      <c r="N8" s="57"/>
      <c r="O8" s="58"/>
      <c r="P8" s="57"/>
      <c r="Q8" s="58"/>
      <c r="R8" s="57"/>
      <c r="S8" s="58"/>
      <c r="T8" s="57"/>
      <c r="U8" s="58"/>
      <c r="V8" s="57"/>
      <c r="W8" s="58"/>
      <c r="X8" s="57"/>
      <c r="Y8" s="58"/>
      <c r="Z8" s="57"/>
      <c r="AA8" s="58"/>
      <c r="AB8" s="57">
        <f t="shared" si="0"/>
        <v>0</v>
      </c>
      <c r="AC8" s="58">
        <f t="shared" si="1"/>
        <v>0</v>
      </c>
    </row>
    <row r="9" spans="1:29" s="1" customFormat="1" ht="15" hidden="1" customHeight="1">
      <c r="A9" s="65" t="s">
        <v>261</v>
      </c>
      <c r="B9" s="57"/>
      <c r="C9" s="58"/>
      <c r="D9" s="57"/>
      <c r="E9" s="58"/>
      <c r="F9" s="57"/>
      <c r="G9" s="58"/>
      <c r="H9" s="57"/>
      <c r="I9" s="58"/>
      <c r="J9" s="57"/>
      <c r="K9" s="58"/>
      <c r="L9" s="57"/>
      <c r="M9" s="58"/>
      <c r="N9" s="57"/>
      <c r="O9" s="58"/>
      <c r="P9" s="57"/>
      <c r="Q9" s="58"/>
      <c r="R9" s="57"/>
      <c r="S9" s="58"/>
      <c r="T9" s="57"/>
      <c r="U9" s="58"/>
      <c r="V9" s="57"/>
      <c r="W9" s="58"/>
      <c r="X9" s="57"/>
      <c r="Y9" s="58"/>
      <c r="Z9" s="57"/>
      <c r="AA9" s="58"/>
      <c r="AB9" s="57">
        <f t="shared" si="0"/>
        <v>0</v>
      </c>
      <c r="AC9" s="58">
        <f t="shared" si="1"/>
        <v>0</v>
      </c>
    </row>
    <row r="10" spans="1:29" s="1" customFormat="1" hidden="1">
      <c r="A10" s="65" t="s">
        <v>233</v>
      </c>
      <c r="B10" s="57">
        <f>INDEX([4]Page6!$B:$CY,MATCH(4604,[4]Page6!$AS:$AS,0),10)+INDEX([4]Page6!$B:$CY,MATCH(4634,[4]Page6!$AS:$AS,0),10)+INDEX([4]Page6!$B:$CY,MATCH(4644,[4]Page6!$AS:$AS,0),10)</f>
        <v>0</v>
      </c>
      <c r="C10" s="58">
        <f>INDEX([4]Page6!$B:$CY,MATCH(4604,[4]Page6!$AS:$AS,0),68)+INDEX([4]Page6!$B:$CY,MATCH(4634,[4]Page6!$AS:$AS,0),68)+INDEX([4]Page6!$B:$CY,MATCH(4644,[4]Page6!$AS:$AS,0),68)</f>
        <v>0</v>
      </c>
      <c r="D10" s="57">
        <f>INDEX([5]Page6!$B:$CY,MATCH(4604,[5]Page6!$AS:$AS,0),10)+INDEX([5]Page6!$B:$CY,MATCH(4634,[5]Page6!$AS:$AS,0),10)+INDEX([5]Page6!$B:$CY,MATCH(4644,[5]Page6!$AS:$AS,0),10)</f>
        <v>0</v>
      </c>
      <c r="E10" s="58">
        <f>INDEX([5]Page6!$B:$CY,MATCH(4604,[5]Page6!$AS:$AS,0),68)+INDEX([5]Page6!$B:$CY,MATCH(4634,[5]Page6!$AS:$AS,0),68)+INDEX([5]Page6!$B:$CY,MATCH(4644,[5]Page6!$AS:$AS,0),68)</f>
        <v>0</v>
      </c>
      <c r="F10" s="57">
        <f>INDEX([6]Page6!$B:$CY,MATCH(4604,[6]Page6!$AS:$AS,0),10)+INDEX([6]Page6!$B:$CY,MATCH(4634,[6]Page6!$AS:$AS,0),10)+INDEX([6]Page6!$B:$CY,MATCH(4644,[6]Page6!$AS:$AS,0),10)</f>
        <v>0</v>
      </c>
      <c r="G10" s="58">
        <f>INDEX([6]Page6!$B:$CY,MATCH(4604,[6]Page6!$AS:$AS,0),68)+INDEX([6]Page6!$B:$CY,MATCH(4634,[6]Page6!$AS:$AS,0),68)+INDEX([6]Page6!$B:$CY,MATCH(4644,[6]Page6!$AS:$AS,0),68)</f>
        <v>0</v>
      </c>
      <c r="H10" s="57"/>
      <c r="I10" s="58"/>
      <c r="J10" s="57"/>
      <c r="K10" s="58"/>
      <c r="L10" s="57"/>
      <c r="M10" s="58"/>
      <c r="N10" s="57"/>
      <c r="O10" s="58"/>
      <c r="P10" s="57"/>
      <c r="Q10" s="58"/>
      <c r="R10" s="57"/>
      <c r="S10" s="58"/>
      <c r="T10" s="57"/>
      <c r="U10" s="58"/>
      <c r="V10" s="57"/>
      <c r="W10" s="58"/>
      <c r="X10" s="57"/>
      <c r="Y10" s="58"/>
      <c r="Z10" s="57"/>
      <c r="AA10" s="58"/>
      <c r="AB10" s="57">
        <f t="shared" si="0"/>
        <v>0</v>
      </c>
      <c r="AC10" s="58">
        <f t="shared" si="1"/>
        <v>0</v>
      </c>
    </row>
    <row r="11" spans="1:29" s="1" customFormat="1" ht="15" hidden="1" customHeight="1">
      <c r="A11" s="65" t="s">
        <v>262</v>
      </c>
      <c r="B11" s="57">
        <f>INDEX([4]Page6!$B:$CY,MATCH(4604,[4]Page6!$AS:$AS,0),23)+INDEX([4]Page6!$B:$CY,MATCH(4634,[4]Page6!$AS:$AS,0),23)+INDEX([4]Page6!$B:$CY,MATCH(4644,[4]Page6!$AS:$AS,0),23)</f>
        <v>0</v>
      </c>
      <c r="C11" s="58">
        <f>INDEX([4]Page6!$B:$CY,MATCH(4604,[4]Page6!$AS:$AS,0),81)+INDEX([4]Page6!$B:$CY,MATCH(4634,[4]Page6!$AS:$AS,0),81)+INDEX([4]Page6!$B:$CY,MATCH(4644,[4]Page6!$AS:$AS,0),81)</f>
        <v>0</v>
      </c>
      <c r="D11" s="57">
        <f>INDEX([5]Page6!$B:$CY,MATCH(4604,[5]Page6!$AS:$AS,0),23)+INDEX([5]Page6!$B:$CY,MATCH(4634,[5]Page6!$AS:$AS,0),23)+INDEX([5]Page6!$B:$CY,MATCH(4644,[5]Page6!$AS:$AS,0),23)</f>
        <v>0</v>
      </c>
      <c r="E11" s="58">
        <f>INDEX([5]Page6!$B:$CY,MATCH(4604,[5]Page6!$AS:$AS,0),81)+INDEX([5]Page6!$B:$CY,MATCH(4634,[5]Page6!$AS:$AS,0),81)+INDEX([5]Page6!$B:$CY,MATCH(4644,[5]Page6!$AS:$AS,0),81)</f>
        <v>0</v>
      </c>
      <c r="F11" s="57">
        <f>INDEX([6]Page6!$B:$CY,MATCH(4604,[6]Page6!$AS:$AS,0),23)+INDEX([6]Page6!$B:$CY,MATCH(4634,[6]Page6!$AS:$AS,0),23)+INDEX([6]Page6!$B:$CY,MATCH(4644,[6]Page6!$AS:$AS,0),23)</f>
        <v>0</v>
      </c>
      <c r="G11" s="58">
        <f>INDEX([6]Page6!$B:$CY,MATCH(4604,[6]Page6!$AS:$AS,0),81)+INDEX([6]Page6!$B:$CY,MATCH(4634,[6]Page6!$AS:$AS,0),81)+INDEX([6]Page6!$B:$CY,MATCH(4644,[6]Page6!$AS:$AS,0),81)</f>
        <v>0</v>
      </c>
      <c r="H11" s="57"/>
      <c r="I11" s="58"/>
      <c r="J11" s="57"/>
      <c r="K11" s="58"/>
      <c r="L11" s="57"/>
      <c r="M11" s="58"/>
      <c r="N11" s="57"/>
      <c r="O11" s="58"/>
      <c r="P11" s="57"/>
      <c r="Q11" s="58"/>
      <c r="R11" s="57"/>
      <c r="S11" s="58"/>
      <c r="T11" s="57"/>
      <c r="U11" s="58"/>
      <c r="V11" s="57"/>
      <c r="W11" s="58"/>
      <c r="X11" s="57"/>
      <c r="Y11" s="58"/>
      <c r="Z11" s="57"/>
      <c r="AA11" s="58"/>
      <c r="AB11" s="57">
        <f t="shared" si="0"/>
        <v>0</v>
      </c>
      <c r="AC11" s="58">
        <f t="shared" si="1"/>
        <v>0</v>
      </c>
    </row>
    <row r="12" spans="1:29" s="1" customFormat="1">
      <c r="A12" s="65" t="s">
        <v>234</v>
      </c>
      <c r="B12" s="57">
        <f>INDEX([4]Page6!$B:$CY,MATCH(4640,[4]Page6!$AS:$AS,0),10)+INDEX([4]Page6!$B:$CY,MATCH(4648,[4]Page6!$AS:$AS,0),10)+INDEX([4]Page6!$B:$CY,MATCH(4645,[4]Page6!$AS:$AS,0),10)</f>
        <v>68452</v>
      </c>
      <c r="C12" s="58">
        <f>INDEX([4]Page6!$B:$CY,MATCH(4640,[4]Page6!$AS:$AS,0),68)+INDEX([4]Page6!$B:$CY,MATCH(4648,[4]Page6!$AS:$AS,0),68)+INDEX([4]Page6!$B:$CY,MATCH(4645,[4]Page6!$AS:$AS,0),68)</f>
        <v>685293</v>
      </c>
      <c r="D12" s="57">
        <f>INDEX([5]Page6!$B:$CY,MATCH(4640,[5]Page6!$AS:$AS,0),10)+INDEX([5]Page6!$B:$CY,MATCH(4648,[5]Page6!$AS:$AS,0),10)+INDEX([5]Page6!$B:$CY,MATCH(4645,[5]Page6!$AS:$AS,0),10)</f>
        <v>95541</v>
      </c>
      <c r="E12" s="58">
        <f>INDEX([5]Page6!$B:$CY,MATCH(4640,[5]Page6!$AS:$AS,0),68)+INDEX([5]Page6!$B:$CY,MATCH(4648,[5]Page6!$AS:$AS,0),68)+INDEX([5]Page6!$B:$CY,MATCH(4645,[5]Page6!$AS:$AS,0),68)</f>
        <v>762432</v>
      </c>
      <c r="F12" s="57">
        <f>INDEX([6]Page6!$B:$CY,MATCH(4640,[6]Page6!$AS:$AS,0),10)+INDEX([6]Page6!$B:$CY,MATCH(4648,[6]Page6!$AS:$AS,0),10)+INDEX([6]Page6!$B:$CY,MATCH(4645,[6]Page6!$AS:$AS,0),10)</f>
        <v>74316</v>
      </c>
      <c r="G12" s="58">
        <f>INDEX([6]Page6!$B:$CY,MATCH(4640,[6]Page6!$AS:$AS,0),68)+INDEX([6]Page6!$B:$CY,MATCH(4648,[6]Page6!$AS:$AS,0),68)+INDEX([6]Page6!$B:$CY,MATCH(4645,[6]Page6!$AS:$AS,0),68)</f>
        <v>826912</v>
      </c>
      <c r="H12" s="57">
        <f>'[7]PAGE 4'!$C$59+'[7]PAGE 4'!$C$68</f>
        <v>40077</v>
      </c>
      <c r="I12" s="58">
        <f>'[7]PAGE 4'!$M$59+'[7]PAGE 4'!$M$68</f>
        <v>614941</v>
      </c>
      <c r="J12" s="57">
        <f>'[8]PAGE 4'!$C$59+'[8]PAGE 4'!$C$68</f>
        <v>27381</v>
      </c>
      <c r="K12" s="58">
        <f>'[8]PAGE 4'!$M$59+'[8]PAGE 4'!$M$68</f>
        <v>425175</v>
      </c>
      <c r="L12" s="57"/>
      <c r="M12" s="58"/>
      <c r="N12" s="57">
        <f>'[9]Page 6'!$C$52+'[9]Page 6'!$C$62</f>
        <v>103836</v>
      </c>
      <c r="O12" s="58">
        <f>'[9]Page 6'!$M$52+'[9]Page 6'!$M$62</f>
        <v>1385158</v>
      </c>
      <c r="P12" s="57">
        <f>'[2]PAGE 5'!$C15</f>
        <v>51414</v>
      </c>
      <c r="Q12" s="58">
        <f>'[2]PAGE 5'!$M15</f>
        <v>640505</v>
      </c>
      <c r="R12" s="57">
        <f>[3]P5!$D$29</f>
        <v>39280</v>
      </c>
      <c r="S12" s="58">
        <f>[3]P5!$L$29</f>
        <v>493516</v>
      </c>
      <c r="T12" s="57"/>
      <c r="U12" s="58"/>
      <c r="V12" s="57">
        <f>SUM('[10]PAGE 5'!$C$43:$D$43,'[10]PAGE 5'!$C$50:$D$50)</f>
        <v>44580</v>
      </c>
      <c r="W12" s="58">
        <f>SUM('[10]PAGE 5'!$Q$43:$R$43,'[10]PAGE 5'!$Q$50:$R$50)</f>
        <v>240541</v>
      </c>
      <c r="X12" s="57">
        <f>'[11]Page 6'!$C$52+'[11]Page 6'!$C$62</f>
        <v>0</v>
      </c>
      <c r="Y12" s="58">
        <f>'[11]Page 6'!$M$52+'[11]Page 6'!$M$62</f>
        <v>0</v>
      </c>
      <c r="Z12" s="57">
        <f>'[12]Page 6'!$C$52+'[12]Page 6'!$C$62</f>
        <v>60834</v>
      </c>
      <c r="AA12" s="58">
        <f>'[12]Page 6'!$M$52+'[12]Page 6'!$M$62</f>
        <v>207051</v>
      </c>
      <c r="AB12" s="57">
        <f t="shared" si="0"/>
        <v>605711</v>
      </c>
      <c r="AC12" s="58">
        <f t="shared" si="1"/>
        <v>6281524</v>
      </c>
    </row>
    <row r="13" spans="1:29" s="1" customFormat="1" ht="15" customHeight="1">
      <c r="A13" s="65" t="s">
        <v>265</v>
      </c>
      <c r="B13" s="57">
        <f>INDEX([4]Page6!$B:$CY,MATCH(4640,[4]Page6!$AS:$AS,0),23)+INDEX([4]Page6!$B:$CY,MATCH(4648,[4]Page6!$AS:$AS,0),23)+INDEX([4]Page6!$B:$CY,MATCH(4645,[4]Page6!$AS:$AS,0),23)</f>
        <v>26127</v>
      </c>
      <c r="C13" s="58">
        <f>INDEX([4]Page6!$B:$CY,MATCH(4640,[4]Page6!$AS:$AS,0),81)+INDEX([4]Page6!$B:$CY,MATCH(4648,[4]Page6!$AS:$AS,0),81)+INDEX([4]Page6!$B:$CY,MATCH(4645,[4]Page6!$AS:$AS,0),81)</f>
        <v>247066</v>
      </c>
      <c r="D13" s="57">
        <f>INDEX([5]Page6!$B:$CY,MATCH(4640,[5]Page6!$AS:$AS,0),23)+INDEX([5]Page6!$B:$CY,MATCH(4648,[5]Page6!$AS:$AS,0),23)+INDEX([5]Page6!$B:$CY,MATCH(4645,[5]Page6!$AS:$AS,0),23)</f>
        <v>26070</v>
      </c>
      <c r="E13" s="58">
        <f>INDEX([5]Page6!$B:$CY,MATCH(4640,[5]Page6!$AS:$AS,0),81)+INDEX([5]Page6!$B:$CY,MATCH(4648,[5]Page6!$AS:$AS,0),81)+INDEX([5]Page6!$B:$CY,MATCH(4645,[5]Page6!$AS:$AS,0),81)</f>
        <v>206510</v>
      </c>
      <c r="F13" s="57">
        <f>INDEX([6]Page6!$B:$CY,MATCH(4640,[6]Page6!$AS:$AS,0),23)+INDEX([6]Page6!$B:$CY,MATCH(4648,[6]Page6!$AS:$AS,0),23)+INDEX([6]Page6!$B:$CY,MATCH(4645,[6]Page6!$AS:$AS,0),23)</f>
        <v>23517</v>
      </c>
      <c r="G13" s="58">
        <f>INDEX([6]Page6!$B:$CY,MATCH(4640,[6]Page6!$AS:$AS,0),81)+INDEX([6]Page6!$B:$CY,MATCH(4648,[6]Page6!$AS:$AS,0),81)+INDEX([6]Page6!$B:$CY,MATCH(4645,[6]Page6!$AS:$AS,0),81)</f>
        <v>241916</v>
      </c>
      <c r="H13" s="57">
        <f>'[7]PAGE 4'!$D$59+'[7]PAGE 4'!$D$68</f>
        <v>15153</v>
      </c>
      <c r="I13" s="58">
        <f>'[7]PAGE 4'!$N$59+'[7]PAGE 4'!$N$68</f>
        <v>180307</v>
      </c>
      <c r="J13" s="57">
        <f>'[8]PAGE 4'!$D$59+'[8]PAGE 4'!$D$68</f>
        <v>7827</v>
      </c>
      <c r="K13" s="58">
        <f>'[8]PAGE 4'!$N$59+'[8]PAGE 4'!$N$68</f>
        <v>121173</v>
      </c>
      <c r="L13" s="57"/>
      <c r="M13" s="58"/>
      <c r="N13" s="57">
        <f>'[9]Page 6'!$E$52+'[9]Page 6'!$E$62</f>
        <v>39722</v>
      </c>
      <c r="O13" s="58">
        <f>'[9]Page 6'!$O$52+'[9]Page 6'!$O$62</f>
        <v>525339</v>
      </c>
      <c r="P13" s="57">
        <f>'[2]PAGE 5'!$C16</f>
        <v>13187</v>
      </c>
      <c r="Q13" s="58">
        <f>'[2]PAGE 5'!$M16</f>
        <v>171333</v>
      </c>
      <c r="R13" s="57">
        <f>[3]P5!$D$31</f>
        <v>10058</v>
      </c>
      <c r="S13" s="58">
        <f>[3]P5!$L$31</f>
        <v>135886</v>
      </c>
      <c r="T13" s="57"/>
      <c r="U13" s="58"/>
      <c r="V13" s="57">
        <f>SUM('[10]PAGE 5'!$E$43:$F$43,'[10]PAGE 5'!$E$50:$F$50)</f>
        <v>12570</v>
      </c>
      <c r="W13" s="58">
        <f>SUM('[10]PAGE 5'!$S$43:$T$43,'[10]PAGE 5'!$S$50:$T$50)</f>
        <v>70532</v>
      </c>
      <c r="X13" s="57">
        <f>'[11]Page 6'!$E$52+'[11]Page 6'!$E$62</f>
        <v>0</v>
      </c>
      <c r="Y13" s="58">
        <f>'[11]Page 6'!$O$52+'[11]Page 6'!$O$62</f>
        <v>0</v>
      </c>
      <c r="Z13" s="57">
        <f>'[12]Page 6'!$E$52+'[12]Page 6'!$E$62</f>
        <v>23929</v>
      </c>
      <c r="AA13" s="58">
        <f>'[12]Page 6'!$O$52+'[12]Page 6'!$O$62</f>
        <v>80868</v>
      </c>
      <c r="AB13" s="57">
        <f t="shared" si="0"/>
        <v>198160</v>
      </c>
      <c r="AC13" s="58">
        <f t="shared" si="1"/>
        <v>1980930</v>
      </c>
    </row>
    <row r="14" spans="1:29" s="1" customFormat="1">
      <c r="A14" s="65" t="s">
        <v>240</v>
      </c>
      <c r="B14" s="57">
        <f>INDEX([4]Page6!$B:$CY,MATCH(4650,[4]Page6!$AS:$AS,0),10)+INDEX([4]Page6!$B:$CY,MATCH(4658,[4]Page6!$AS:$AS,0),10)+INDEX([4]Page6!$B:$CY,MATCH(4655,[4]Page6!$AS:$AS,0),10)</f>
        <v>27083</v>
      </c>
      <c r="C14" s="58">
        <f>INDEX([4]Page6!$B:$CY,MATCH(4650,[4]Page6!$AS:$AS,0),68)+INDEX([4]Page6!$B:$CY,MATCH(4658,[4]Page6!$AS:$AS,0),68)+INDEX([4]Page6!$B:$CY,MATCH(4655,[4]Page6!$AS:$AS,0),68)</f>
        <v>303832</v>
      </c>
      <c r="D14" s="57">
        <f>INDEX([5]Page6!$B:$CY,MATCH(4650,[5]Page6!$AS:$AS,0),10)+INDEX([5]Page6!$B:$CY,MATCH(4658,[5]Page6!$AS:$AS,0),10)+INDEX([5]Page6!$B:$CY,MATCH(4655,[5]Page6!$AS:$AS,0),10)</f>
        <v>44504</v>
      </c>
      <c r="E14" s="58">
        <f>INDEX([5]Page6!$B:$CY,MATCH(4650,[5]Page6!$AS:$AS,0),68)+INDEX([5]Page6!$B:$CY,MATCH(4658,[5]Page6!$AS:$AS,0),68)+INDEX([5]Page6!$B:$CY,MATCH(4655,[5]Page6!$AS:$AS,0),68)</f>
        <v>486694</v>
      </c>
      <c r="F14" s="57">
        <f>INDEX([6]Page6!$B:$CY,MATCH(4650,[6]Page6!$AS:$AS,0),10)+INDEX([6]Page6!$B:$CY,MATCH(4658,[6]Page6!$AS:$AS,0),10)+INDEX([6]Page6!$B:$CY,MATCH(4655,[6]Page6!$AS:$AS,0),10)</f>
        <v>51909</v>
      </c>
      <c r="G14" s="58">
        <f>INDEX([6]Page6!$B:$CY,MATCH(4650,[6]Page6!$AS:$AS,0),68)+INDEX([6]Page6!$B:$CY,MATCH(4658,[6]Page6!$AS:$AS,0),68)+INDEX([6]Page6!$B:$CY,MATCH(4655,[6]Page6!$AS:$AS,0),68)</f>
        <v>562223</v>
      </c>
      <c r="H14" s="57">
        <f>'[7]PAGE 4'!$C$60+'[7]PAGE 4'!$C$69</f>
        <v>27403</v>
      </c>
      <c r="I14" s="58">
        <f>'[7]PAGE 4'!$M$60+'[7]PAGE 4'!$M$69</f>
        <v>497216</v>
      </c>
      <c r="J14" s="57">
        <f>'[8]PAGE 4'!$C$60+'[8]PAGE 4'!$C$69</f>
        <v>28898</v>
      </c>
      <c r="K14" s="58">
        <f>'[8]PAGE 4'!$M$60+'[8]PAGE 4'!$M$69</f>
        <v>350144</v>
      </c>
      <c r="L14" s="57"/>
      <c r="M14" s="58"/>
      <c r="N14" s="57">
        <f>'[9]Page 6'!$C$54+'[9]Page 6'!$C$63+'[9]Page 6'!$C$64</f>
        <v>117109</v>
      </c>
      <c r="O14" s="58">
        <f>'[9]Page 6'!$M$54+'[9]Page 6'!$M$63+'[9]Page 6'!$M$64</f>
        <v>1215550</v>
      </c>
      <c r="P14" s="57">
        <f>'[2]PAGE 5'!$C17</f>
        <v>37470</v>
      </c>
      <c r="Q14" s="58">
        <f>'[2]PAGE 5'!$M17</f>
        <v>690034</v>
      </c>
      <c r="R14" s="57">
        <f>[3]P5!$D$33</f>
        <v>10742</v>
      </c>
      <c r="S14" s="58">
        <f>[3]P5!$L$33</f>
        <v>161604</v>
      </c>
      <c r="T14" s="57">
        <f>[13]P5!$D$33</f>
        <v>10617</v>
      </c>
      <c r="U14" s="58">
        <f>[13]P5!$L$33</f>
        <v>150699</v>
      </c>
      <c r="V14" s="57">
        <f>SUM('[10]PAGE 5'!$C$44:$D$44,'[10]PAGE 5'!$C$51:$D$51)</f>
        <v>4056</v>
      </c>
      <c r="W14" s="58">
        <f>SUM('[10]PAGE 5'!$Q$44:$R$44,'[10]PAGE 5'!$Q$51:$R$51)</f>
        <v>46266</v>
      </c>
      <c r="X14" s="57">
        <f>'[11]Page 6'!$C$54+'[11]Page 6'!$C$63+'[11]Page 6'!$C$64</f>
        <v>0</v>
      </c>
      <c r="Y14" s="58">
        <f>'[11]Page 6'!$M$54+'[11]Page 6'!$M$63+'[11]Page 6'!$M$64</f>
        <v>0</v>
      </c>
      <c r="Z14" s="57">
        <f>'[12]Page 6'!$C$54+'[12]Page 6'!$C$63+'[12]Page 6'!$C$64</f>
        <v>8133</v>
      </c>
      <c r="AA14" s="58">
        <f>'[12]Page 6'!$M$54+'[12]Page 6'!$M$63+'[12]Page 6'!$M$64</f>
        <v>50952</v>
      </c>
      <c r="AB14" s="57">
        <f t="shared" si="0"/>
        <v>367924</v>
      </c>
      <c r="AC14" s="58">
        <f t="shared" si="1"/>
        <v>4515214</v>
      </c>
    </row>
    <row r="15" spans="1:29" s="1" customFormat="1" ht="15" customHeight="1">
      <c r="A15" s="65" t="s">
        <v>263</v>
      </c>
      <c r="B15" s="57">
        <f>INDEX([4]Page6!$B:$CY,MATCH(4650,[4]Page6!$AS:$AS,0),23)+INDEX([4]Page6!$B:$CY,MATCH(4658,[4]Page6!$AS:$AS,0),23)+INDEX([4]Page6!$B:$CY,MATCH(4655,[4]Page6!$AS:$AS,0),23)</f>
        <v>12330</v>
      </c>
      <c r="C15" s="58">
        <f>INDEX([4]Page6!$B:$CY,MATCH(4650,[4]Page6!$AS:$AS,0),81)+INDEX([4]Page6!$B:$CY,MATCH(4658,[4]Page6!$AS:$AS,0),81)+INDEX([4]Page6!$B:$CY,MATCH(4655,[4]Page6!$AS:$AS,0),81)</f>
        <v>135397</v>
      </c>
      <c r="D15" s="57">
        <f>INDEX([5]Page6!$B:$CY,MATCH(4650,[5]Page6!$AS:$AS,0),23)+INDEX([5]Page6!$B:$CY,MATCH(4658,[5]Page6!$AS:$AS,0),23)+INDEX([5]Page6!$B:$CY,MATCH(4655,[5]Page6!$AS:$AS,0),23)</f>
        <v>15601</v>
      </c>
      <c r="E15" s="58">
        <f>INDEX([5]Page6!$B:$CY,MATCH(4650,[5]Page6!$AS:$AS,0),81)+INDEX([5]Page6!$B:$CY,MATCH(4658,[5]Page6!$AS:$AS,0),81)+INDEX([5]Page6!$B:$CY,MATCH(4655,[5]Page6!$AS:$AS,0),81)</f>
        <v>155498</v>
      </c>
      <c r="F15" s="57">
        <f>INDEX([6]Page6!$B:$CY,MATCH(4650,[6]Page6!$AS:$AS,0),23)+INDEX([6]Page6!$B:$CY,MATCH(4658,[6]Page6!$AS:$AS,0),23)+INDEX([6]Page6!$B:$CY,MATCH(4655,[6]Page6!$AS:$AS,0),23)</f>
        <v>12970</v>
      </c>
      <c r="G15" s="58">
        <f>INDEX([6]Page6!$B:$CY,MATCH(4650,[6]Page6!$AS:$AS,0),81)+INDEX([6]Page6!$B:$CY,MATCH(4658,[6]Page6!$AS:$AS,0),81)+INDEX([6]Page6!$B:$CY,MATCH(4655,[6]Page6!$AS:$AS,0),81)</f>
        <v>143324</v>
      </c>
      <c r="H15" s="57">
        <f>'[7]PAGE 4'!$D$60+'[7]PAGE 4'!$D$69</f>
        <v>10240</v>
      </c>
      <c r="I15" s="58">
        <f>'[7]PAGE 4'!$N$60+'[7]PAGE 4'!$N$69</f>
        <v>129372</v>
      </c>
      <c r="J15" s="57">
        <f>'[8]PAGE 4'!$D$60+'[8]PAGE 4'!$D$69</f>
        <v>9155</v>
      </c>
      <c r="K15" s="58">
        <f>'[8]PAGE 4'!$N$60+'[8]PAGE 4'!$N$69</f>
        <v>89346</v>
      </c>
      <c r="L15" s="57"/>
      <c r="M15" s="58"/>
      <c r="N15" s="57">
        <f>'[9]Page 6'!$E$54+'[9]Page 6'!$E$63+'[9]Page 6'!$E$64</f>
        <v>30146</v>
      </c>
      <c r="O15" s="58">
        <f>'[9]Page 6'!$O$54+'[9]Page 6'!$O$63+'[9]Page 6'!$O$64</f>
        <v>336595</v>
      </c>
      <c r="P15" s="57">
        <f>'[2]PAGE 5'!$C18</f>
        <v>10464</v>
      </c>
      <c r="Q15" s="58">
        <f>'[2]PAGE 5'!$M18</f>
        <v>220719</v>
      </c>
      <c r="R15" s="57">
        <f>[3]P5!$D$35</f>
        <v>4468</v>
      </c>
      <c r="S15" s="58">
        <f>[3]P5!$L$35</f>
        <v>64046</v>
      </c>
      <c r="T15" s="57">
        <f>[13]P5!$D$35</f>
        <v>5143</v>
      </c>
      <c r="U15" s="58">
        <f>[13]P5!$L$35</f>
        <v>67991</v>
      </c>
      <c r="V15" s="57">
        <f>SUM('[10]PAGE 5'!$E$44:$F$44,'[10]PAGE 5'!$E$51:$F$51)</f>
        <v>1378</v>
      </c>
      <c r="W15" s="58">
        <f>SUM('[10]PAGE 5'!$S$44:$T$44,'[10]PAGE 5'!$S$51:$T$51)</f>
        <v>16462</v>
      </c>
      <c r="X15" s="57">
        <f>'[11]Page 6'!$E$54+'[11]Page 6'!$E$63+'[11]Page 6'!$E$64</f>
        <v>0</v>
      </c>
      <c r="Y15" s="58">
        <f>'[11]Page 6'!$O$54+'[11]Page 6'!$O$63+'[11]Page 6'!$O$64</f>
        <v>0</v>
      </c>
      <c r="Z15" s="57">
        <f>'[12]Page 6'!$E$54+'[12]Page 6'!$E$63+'[12]Page 6'!$E$64</f>
        <v>3468</v>
      </c>
      <c r="AA15" s="58">
        <f>'[12]Page 6'!$O$54+'[12]Page 6'!$O$63+'[12]Page 6'!$O$64</f>
        <v>19074</v>
      </c>
      <c r="AB15" s="57">
        <f t="shared" si="0"/>
        <v>115363</v>
      </c>
      <c r="AC15" s="58">
        <f t="shared" si="1"/>
        <v>1377824</v>
      </c>
    </row>
    <row r="16" spans="1:29" s="1" customFormat="1">
      <c r="A16" s="65" t="s">
        <v>245</v>
      </c>
      <c r="B16" s="57">
        <f>INDEX([4]Page6!$B:$CY,MATCH(4607,[4]Page6!$AS:$AS,0),10)+INDEX([4]Page6!$B:$CY,MATCH(4657,[4]Page6!$AS:$AS,0),10)+INDEX([4]Page6!$B:$CY,MATCH(4639,[4]Page6!$AS:$AS,0),10)+INDEX([4]Page6!$B:$CY,MATCH(4656,[4]Page6!$AS:$AS,0),10)+INDEX([4]Page6!$B:$CY,MATCH(4667,[4]Page6!$AS:$AS,0),10)</f>
        <v>15874</v>
      </c>
      <c r="C16" s="58">
        <f>INDEX([4]Page6!$B:$CY,MATCH(4607,[4]Page6!$AS:$AS,0),68)+INDEX([4]Page6!$B:$CY,MATCH(4657,[4]Page6!$AS:$AS,0),68)+INDEX([4]Page6!$B:$CY,MATCH(4639,[4]Page6!$AS:$AS,0),68)+INDEX([4]Page6!$B:$CY,MATCH(4656,[4]Page6!$AS:$AS,0),68)+INDEX([4]Page6!$B:$CY,MATCH(4667,[4]Page6!$AS:$AS,0),68)</f>
        <v>223223</v>
      </c>
      <c r="D16" s="57">
        <f>INDEX([5]Page6!$B:$CY,MATCH(4607,[5]Page6!$AS:$AS,0),10)+INDEX([5]Page6!$B:$CY,MATCH(4657,[5]Page6!$AS:$AS,0),10)+INDEX([5]Page6!$B:$CY,MATCH(4639,[5]Page6!$AS:$AS,0),10)+INDEX([5]Page6!$B:$CY,MATCH(4656,[5]Page6!$AS:$AS,0),10)+INDEX([5]Page6!$B:$CY,MATCH(4667,[5]Page6!$AS:$AS,0),10)</f>
        <v>22046</v>
      </c>
      <c r="E16" s="58">
        <f>INDEX([5]Page6!$B:$CY,MATCH(4607,[5]Page6!$AS:$AS,0),68)+INDEX([5]Page6!$B:$CY,MATCH(4657,[5]Page6!$AS:$AS,0),68)+INDEX([5]Page6!$B:$CY,MATCH(4639,[5]Page6!$AS:$AS,0),68)+INDEX([5]Page6!$B:$CY,MATCH(4656,[5]Page6!$AS:$AS,0),68)+INDEX([5]Page6!$B:$CY,MATCH(4667,[5]Page6!$AS:$AS,0),68)</f>
        <v>209301</v>
      </c>
      <c r="F16" s="57">
        <f>INDEX([6]Page6!$B:$CY,MATCH(4607,[6]Page6!$AS:$AS,0),10)+INDEX([6]Page6!$B:$CY,MATCH(4657,[6]Page6!$AS:$AS,0),10)+INDEX([6]Page6!$B:$CY,MATCH(4639,[6]Page6!$AS:$AS,0),10)+INDEX([6]Page6!$B:$CY,MATCH(4656,[6]Page6!$AS:$AS,0),10)+INDEX([6]Page6!$B:$CY,MATCH(4667,[6]Page6!$AS:$AS,0),10)</f>
        <v>14556</v>
      </c>
      <c r="G16" s="58">
        <f>INDEX([6]Page6!$B:$CY,MATCH(4607,[6]Page6!$AS:$AS,0),68)+INDEX([6]Page6!$B:$CY,MATCH(4657,[6]Page6!$AS:$AS,0),68)+INDEX([6]Page6!$B:$CY,MATCH(4639,[6]Page6!$AS:$AS,0),68)+INDEX([6]Page6!$B:$CY,MATCH(4656,[6]Page6!$AS:$AS,0),68)+INDEX([6]Page6!$B:$CY,MATCH(4667,[6]Page6!$AS:$AS,0),68)</f>
        <v>252083</v>
      </c>
      <c r="H16" s="57">
        <f>'[7]PAGE 4'!$C$78+'[7]PAGE 4'!$C$79</f>
        <v>17541</v>
      </c>
      <c r="I16" s="58">
        <f>'[7]PAGE 4'!$M$78+'[7]PAGE 4'!$M$79</f>
        <v>246857</v>
      </c>
      <c r="J16" s="57">
        <f>'[8]PAGE 4'!$C$78+'[8]PAGE 4'!$C$79</f>
        <v>3083</v>
      </c>
      <c r="K16" s="58">
        <f>'[8]PAGE 4'!$M$78+'[8]PAGE 4'!$M$79</f>
        <v>63333</v>
      </c>
      <c r="L16" s="57"/>
      <c r="M16" s="58"/>
      <c r="N16" s="57">
        <f>'[9]Page 6'!$C$53</f>
        <v>43357</v>
      </c>
      <c r="O16" s="58">
        <f>'[9]Page 6'!$M$53</f>
        <v>404741</v>
      </c>
      <c r="P16" s="57"/>
      <c r="Q16" s="58"/>
      <c r="R16" s="57"/>
      <c r="S16" s="58"/>
      <c r="T16" s="57"/>
      <c r="U16" s="58"/>
      <c r="V16" s="57">
        <f>SUM('[10]PAGE 5'!$C$57:$D$57)</f>
        <v>3815</v>
      </c>
      <c r="W16" s="58">
        <f>SUM('[10]PAGE 5'!$Q$57:$R$57)</f>
        <v>41189</v>
      </c>
      <c r="X16" s="57">
        <f>'[11]Page 6'!$C$53</f>
        <v>0</v>
      </c>
      <c r="Y16" s="58">
        <f>'[11]Page 6'!$M$53</f>
        <v>0</v>
      </c>
      <c r="Z16" s="57">
        <f>'[12]Page 6'!$C$53</f>
        <v>4539</v>
      </c>
      <c r="AA16" s="58">
        <f>'[12]Page 6'!$M$53</f>
        <v>42818</v>
      </c>
      <c r="AB16" s="57">
        <f t="shared" si="0"/>
        <v>124811</v>
      </c>
      <c r="AC16" s="58">
        <f t="shared" si="1"/>
        <v>1483545</v>
      </c>
    </row>
    <row r="17" spans="1:29" s="1" customFormat="1" ht="15" customHeight="1">
      <c r="A17" s="65" t="s">
        <v>266</v>
      </c>
      <c r="B17" s="57">
        <f>INDEX([4]Page6!$B:$CY,MATCH(4607,[4]Page6!$AS:$AS,0),23)+INDEX([4]Page6!$B:$CY,MATCH(4657,[4]Page6!$AS:$AS,0),23)+INDEX([4]Page6!$B:$CY,MATCH(4639,[4]Page6!$AS:$AS,0),23)+INDEX([4]Page6!$B:$CY,MATCH(4656,[4]Page6!$AS:$AS,0),23)+INDEX([4]Page6!$B:$CY,MATCH(4667,[4]Page6!$AS:$AS,0),23)</f>
        <v>3249</v>
      </c>
      <c r="C17" s="58">
        <f>INDEX([4]Page6!$B:$CY,MATCH(4607,[4]Page6!$AS:$AS,0),81)+INDEX([4]Page6!$B:$CY,MATCH(4657,[4]Page6!$AS:$AS,0),81)+INDEX([4]Page6!$B:$CY,MATCH(4639,[4]Page6!$AS:$AS,0),81)+INDEX([4]Page6!$B:$CY,MATCH(4656,[4]Page6!$AS:$AS,0),81)+INDEX([4]Page6!$B:$CY,MATCH(4667,[4]Page6!$AS:$AS,0),81)</f>
        <v>51027</v>
      </c>
      <c r="D17" s="57">
        <f>INDEX([5]Page6!$B:$CY,MATCH(4607,[5]Page6!$AS:$AS,0),23)+INDEX([5]Page6!$B:$CY,MATCH(4657,[5]Page6!$AS:$AS,0),23)+INDEX([5]Page6!$B:$CY,MATCH(4639,[5]Page6!$AS:$AS,0),23)+INDEX([5]Page6!$B:$CY,MATCH(4656,[5]Page6!$AS:$AS,0),23)+INDEX([5]Page6!$B:$CY,MATCH(4667,[5]Page6!$AS:$AS,0),23)</f>
        <v>4066</v>
      </c>
      <c r="E17" s="58">
        <f>INDEX([5]Page6!$B:$CY,MATCH(4607,[5]Page6!$AS:$AS,0),81)+INDEX([5]Page6!$B:$CY,MATCH(4657,[5]Page6!$AS:$AS,0),81)+INDEX([5]Page6!$B:$CY,MATCH(4639,[5]Page6!$AS:$AS,0),81)+INDEX([5]Page6!$B:$CY,MATCH(4656,[5]Page6!$AS:$AS,0),81)+INDEX([5]Page6!$B:$CY,MATCH(4667,[5]Page6!$AS:$AS,0),81)</f>
        <v>27634</v>
      </c>
      <c r="F17" s="57">
        <f>INDEX([6]Page6!$B:$CY,MATCH(4607,[6]Page6!$AS:$AS,0),23)+INDEX([6]Page6!$B:$CY,MATCH(4657,[6]Page6!$AS:$AS,0),23)+INDEX([6]Page6!$B:$CY,MATCH(4639,[6]Page6!$AS:$AS,0),23)+INDEX([6]Page6!$B:$CY,MATCH(4656,[6]Page6!$AS:$AS,0),23)+INDEX([6]Page6!$B:$CY,MATCH(4667,[6]Page6!$AS:$AS,0),23)</f>
        <v>2678</v>
      </c>
      <c r="G17" s="58">
        <f>INDEX([6]Page6!$B:$CY,MATCH(4607,[6]Page6!$AS:$AS,0),81)+INDEX([6]Page6!$B:$CY,MATCH(4657,[6]Page6!$AS:$AS,0),81)+INDEX([6]Page6!$B:$CY,MATCH(4639,[6]Page6!$AS:$AS,0),81)+INDEX([6]Page6!$B:$CY,MATCH(4656,[6]Page6!$AS:$AS,0),81)+INDEX([6]Page6!$B:$CY,MATCH(4667,[6]Page6!$AS:$AS,0),81)</f>
        <v>45056</v>
      </c>
      <c r="H17" s="57">
        <f>'[7]PAGE 4'!$D$78+'[7]PAGE 4'!$D$79</f>
        <v>4398</v>
      </c>
      <c r="I17" s="58">
        <f>'[7]PAGE 4'!$N$78+'[7]PAGE 4'!$N$79</f>
        <v>54841</v>
      </c>
      <c r="J17" s="57">
        <f>'[8]PAGE 4'!$D$78+'[8]PAGE 4'!$D$79</f>
        <v>428</v>
      </c>
      <c r="K17" s="58">
        <f>'[8]PAGE 4'!$N$78+'[8]PAGE 4'!$N$79</f>
        <v>7381</v>
      </c>
      <c r="L17" s="57"/>
      <c r="M17" s="58"/>
      <c r="N17" s="57">
        <f>'[9]Page 6'!$E$53</f>
        <v>6163</v>
      </c>
      <c r="O17" s="58">
        <f>'[9]Page 6'!$O$53</f>
        <v>57961</v>
      </c>
      <c r="P17" s="57"/>
      <c r="Q17" s="58"/>
      <c r="R17" s="57"/>
      <c r="S17" s="58"/>
      <c r="T17" s="57"/>
      <c r="U17" s="58"/>
      <c r="V17" s="57">
        <f>SUM('[10]PAGE 5'!$E$57:$F$57)</f>
        <v>228</v>
      </c>
      <c r="W17" s="58">
        <f>SUM('[10]PAGE 5'!$S$57:$T$57)</f>
        <v>4773</v>
      </c>
      <c r="X17" s="57">
        <f>'[11]Page 6'!$E$53</f>
        <v>0</v>
      </c>
      <c r="Y17" s="58">
        <f>'[11]Page 6'!$O$53</f>
        <v>0</v>
      </c>
      <c r="Z17" s="57">
        <f>'[12]Page 6'!$E$53</f>
        <v>3104</v>
      </c>
      <c r="AA17" s="58">
        <f>'[12]Page 6'!$O$53</f>
        <v>6004</v>
      </c>
      <c r="AB17" s="57">
        <f t="shared" si="0"/>
        <v>24314</v>
      </c>
      <c r="AC17" s="58">
        <f t="shared" si="1"/>
        <v>254677</v>
      </c>
    </row>
    <row r="18" spans="1:29" s="1" customFormat="1">
      <c r="A18" s="332" t="s">
        <v>243</v>
      </c>
      <c r="B18" s="55">
        <f>[4]Page6!$C31+[4]Page6!$C$58</f>
        <v>198</v>
      </c>
      <c r="C18" s="56">
        <f>[4]Page6!$BI31</f>
        <v>2485</v>
      </c>
      <c r="D18" s="55">
        <f>[5]Page6!$C31+[5]Page6!$C$58</f>
        <v>84</v>
      </c>
      <c r="E18" s="56">
        <f>[5]Page6!$BI31</f>
        <v>985</v>
      </c>
      <c r="F18" s="55">
        <f>[6]Page6!$C31+[6]Page6!$C$58</f>
        <v>228</v>
      </c>
      <c r="G18" s="56">
        <f>[6]Page6!$BI31</f>
        <v>2504</v>
      </c>
      <c r="H18" s="55">
        <f>'[7]PAGE 4'!$B$61+'[7]PAGE 4'!$B$70</f>
        <v>9</v>
      </c>
      <c r="I18" s="56">
        <f>'[7]PAGE 4'!$L$61+'[7]PAGE 4'!$L$70</f>
        <v>141</v>
      </c>
      <c r="J18" s="55">
        <f>'[8]PAGE 4'!$B$61+'[8]PAGE 4'!$B$70</f>
        <v>218</v>
      </c>
      <c r="K18" s="56">
        <f>'[8]PAGE 4'!$L$61+'[8]PAGE 4'!$L$70</f>
        <v>2447</v>
      </c>
      <c r="L18" s="55"/>
      <c r="M18" s="56"/>
      <c r="N18" s="55">
        <f>'[9]Page 6'!$B$55+'[9]Page 6'!$B$65</f>
        <v>304</v>
      </c>
      <c r="O18" s="56">
        <f>'[9]Page 6'!$L$55+'[9]Page 6'!$L$65</f>
        <v>3252</v>
      </c>
      <c r="P18" s="55"/>
      <c r="Q18" s="56"/>
      <c r="R18" s="55"/>
      <c r="S18" s="56"/>
      <c r="T18" s="55"/>
      <c r="U18" s="56"/>
      <c r="V18" s="55">
        <f>SUM('[10]PAGE 5'!$B$45,'[10]PAGE 5'!$B$52)</f>
        <v>137</v>
      </c>
      <c r="W18" s="56">
        <f>SUM('[10]PAGE 5'!$P$45,'[10]PAGE 5'!$P$52)</f>
        <v>931</v>
      </c>
      <c r="X18" s="55">
        <f>'[11]Page 6'!$B$55+'[11]Page 6'!$B$65</f>
        <v>0</v>
      </c>
      <c r="Y18" s="56">
        <f>'[11]Page 6'!$L$55+'[11]Page 6'!$L$65</f>
        <v>0</v>
      </c>
      <c r="Z18" s="55">
        <f>'[12]Page 6'!$B$55+'[12]Page 6'!$B$65</f>
        <v>171</v>
      </c>
      <c r="AA18" s="56">
        <f>'[12]Page 6'!$L$55+'[12]Page 6'!$L$65</f>
        <v>597</v>
      </c>
      <c r="AB18" s="55">
        <f t="shared" si="0"/>
        <v>1349</v>
      </c>
      <c r="AC18" s="56">
        <f t="shared" si="1"/>
        <v>13342</v>
      </c>
    </row>
    <row r="19" spans="1:29" s="1" customFormat="1">
      <c r="A19" s="332"/>
      <c r="B19" s="57">
        <f>[4]Page6!$K31+[4]Page6!$K$58</f>
        <v>8920</v>
      </c>
      <c r="C19" s="58">
        <f>[4]Page6!$BQ31+[4]Page6!$BQ58</f>
        <v>105988</v>
      </c>
      <c r="D19" s="57">
        <f>[5]Page6!$K31+[5]Page6!$K$58</f>
        <v>5156</v>
      </c>
      <c r="E19" s="58">
        <f>[5]Page6!$BQ31+[5]Page6!$BQ58</f>
        <v>60567</v>
      </c>
      <c r="F19" s="57">
        <f>[6]Page6!$K31+[6]Page6!$K$58</f>
        <v>14489</v>
      </c>
      <c r="G19" s="58">
        <f>[6]Page6!$BQ31+[6]Page6!$BQ58</f>
        <v>150671</v>
      </c>
      <c r="H19" s="57">
        <f>'[7]PAGE 4'!$C$61+'[7]PAGE 4'!$C$70</f>
        <v>584</v>
      </c>
      <c r="I19" s="58">
        <f>'[7]PAGE 4'!$M$61+'[7]PAGE 4'!$M$70</f>
        <v>4307</v>
      </c>
      <c r="J19" s="57">
        <f>'[8]PAGE 4'!$C$61+'[8]PAGE 4'!$C$70</f>
        <v>7903</v>
      </c>
      <c r="K19" s="58">
        <f>'[8]PAGE 4'!$M$61+'[8]PAGE 4'!$M$70</f>
        <v>92915</v>
      </c>
      <c r="L19" s="57"/>
      <c r="M19" s="58"/>
      <c r="N19" s="57">
        <f>'[9]Page 6'!$C$55+'[9]Page 6'!$C$65</f>
        <v>23865</v>
      </c>
      <c r="O19" s="58">
        <f>'[9]Page 6'!$M$55+'[9]Page 6'!$M$65</f>
        <v>212467</v>
      </c>
      <c r="P19" s="57">
        <f>'[2]PAGE 5'!$C$8</f>
        <v>9857</v>
      </c>
      <c r="Q19" s="58">
        <f>'[2]PAGE 5'!$M$8</f>
        <v>192598</v>
      </c>
      <c r="R19" s="57">
        <f>[3]P5!$D$15</f>
        <v>10050</v>
      </c>
      <c r="S19" s="58">
        <f>[3]P5!$L$15</f>
        <v>115706</v>
      </c>
      <c r="T19" s="57">
        <f>[13]P5!$D$15</f>
        <v>367</v>
      </c>
      <c r="U19" s="58">
        <f>[13]P5!$L$15</f>
        <v>4223</v>
      </c>
      <c r="V19" s="57">
        <f>SUM('[10]PAGE 5'!$C$45:$D$45,'[10]PAGE 5'!$C$52:$D$52)</f>
        <v>11798</v>
      </c>
      <c r="W19" s="58">
        <f>SUM('[10]PAGE 5'!$Q$45:$R$45,'[10]PAGE 5'!$Q$52:$R$52)</f>
        <v>72720</v>
      </c>
      <c r="X19" s="57">
        <f>'[11]Page 6'!$C$55+'[11]Page 6'!$C$65</f>
        <v>0</v>
      </c>
      <c r="Y19" s="58">
        <f>'[11]Page 6'!$M$55+'[11]Page 6'!$M$65</f>
        <v>0</v>
      </c>
      <c r="Z19" s="57">
        <f>'[12]Page 6'!$C$55+'[12]Page 6'!$C$65</f>
        <v>5181</v>
      </c>
      <c r="AA19" s="58">
        <f>'[12]Page 6'!$M$55+'[12]Page 6'!$M$65</f>
        <v>18490</v>
      </c>
      <c r="AB19" s="57">
        <f t="shared" si="0"/>
        <v>98170</v>
      </c>
      <c r="AC19" s="58">
        <f t="shared" si="1"/>
        <v>1030652</v>
      </c>
    </row>
    <row r="20" spans="1:29" s="1" customFormat="1" ht="15" customHeight="1">
      <c r="A20" s="70" t="s">
        <v>267</v>
      </c>
      <c r="B20" s="57">
        <f>[4]Page6!$X$31+[4]Page6!$X$58</f>
        <v>2808</v>
      </c>
      <c r="C20" s="58">
        <f>[4]Page6!$CD$31+[4]Page6!$CD$58</f>
        <v>31901</v>
      </c>
      <c r="D20" s="57">
        <f>[5]Page6!$X$31+[5]Page6!$X$58</f>
        <v>2236</v>
      </c>
      <c r="E20" s="58">
        <f>[5]Page6!$CD$31+[5]Page6!$CD$58</f>
        <v>26201</v>
      </c>
      <c r="F20" s="57">
        <f>[6]Page6!$X$31+[6]Page6!$X$58</f>
        <v>4195</v>
      </c>
      <c r="G20" s="58">
        <f>[6]Page6!$CD$31+[6]Page6!$CD$58</f>
        <v>49016</v>
      </c>
      <c r="H20" s="57">
        <f>'[7]PAGE 4'!$D$61+'[7]PAGE 4'!$D$70</f>
        <v>127</v>
      </c>
      <c r="I20" s="58">
        <f>'[7]PAGE 4'!$N$61+'[7]PAGE 4'!$N$70</f>
        <v>1375</v>
      </c>
      <c r="J20" s="57">
        <f>'[8]PAGE 4'!$D$61+'[8]PAGE 4'!$D$70</f>
        <v>3196</v>
      </c>
      <c r="K20" s="58">
        <f>'[8]PAGE 4'!$N$61+'[8]PAGE 4'!$N$70</f>
        <v>32707</v>
      </c>
      <c r="L20" s="57"/>
      <c r="M20" s="58"/>
      <c r="N20" s="57">
        <f>'[9]Page 6'!$E$55+'[9]Page 6'!$E$65</f>
        <v>7340</v>
      </c>
      <c r="O20" s="58">
        <f>'[9]Page 6'!$O$55+'[9]Page 6'!$O$65</f>
        <v>75465</v>
      </c>
      <c r="P20" s="57">
        <f>'[2]PAGE 5'!$C$9</f>
        <v>3228</v>
      </c>
      <c r="Q20" s="58">
        <f>'[2]PAGE 5'!$M$9</f>
        <v>57301</v>
      </c>
      <c r="R20" s="57">
        <f>[3]P5!$D$17</f>
        <v>3107</v>
      </c>
      <c r="S20" s="58">
        <f>[3]P5!$L$17</f>
        <v>36804</v>
      </c>
      <c r="T20" s="57">
        <f>[13]P5!$D$17</f>
        <v>59</v>
      </c>
      <c r="U20" s="58">
        <f>[13]P5!$L$17</f>
        <v>564</v>
      </c>
      <c r="V20" s="57">
        <f>SUM('[10]PAGE 5'!$E$45:$F$45,'[10]PAGE 5'!$E$52:$F$52)</f>
        <v>4161</v>
      </c>
      <c r="W20" s="58">
        <f>SUM('[10]PAGE 5'!$S$45:$T$45,'[10]PAGE 5'!$S$52:$T$52)</f>
        <v>24975</v>
      </c>
      <c r="X20" s="57">
        <f>'[11]Page 6'!$E$55+'[11]Page 6'!$E$65</f>
        <v>0</v>
      </c>
      <c r="Y20" s="58">
        <f>'[11]Page 6'!$O$55+'[11]Page 6'!$O$65</f>
        <v>0</v>
      </c>
      <c r="Z20" s="57">
        <f>'[12]Page 6'!$E$55+'[12]Page 6'!$E$65</f>
        <v>1777</v>
      </c>
      <c r="AA20" s="58">
        <f>'[12]Page 6'!$O$55+'[12]Page 6'!$O$65</f>
        <v>6351</v>
      </c>
      <c r="AB20" s="57">
        <f t="shared" si="0"/>
        <v>32234</v>
      </c>
      <c r="AC20" s="58">
        <f t="shared" si="1"/>
        <v>342660</v>
      </c>
    </row>
    <row r="21" spans="1:29" s="1" customFormat="1">
      <c r="A21" s="332" t="s">
        <v>244</v>
      </c>
      <c r="B21" s="55">
        <f>[4]Page6!$C32+[4]Page6!$C$59</f>
        <v>295</v>
      </c>
      <c r="C21" s="56">
        <f>[4]Page6!$BI32+[4]Page6!$BI59</f>
        <v>2879</v>
      </c>
      <c r="D21" s="55">
        <f>[5]Page6!$C32+[5]Page6!$C$59</f>
        <v>670</v>
      </c>
      <c r="E21" s="56">
        <f>[5]Page6!$BI32+[5]Page6!$BI59</f>
        <v>7894</v>
      </c>
      <c r="F21" s="55">
        <f>[6]Page6!$C32+[6]Page6!$C$59</f>
        <v>105</v>
      </c>
      <c r="G21" s="56">
        <f>[6]Page6!$BI32+[6]Page6!$BI59</f>
        <v>1837</v>
      </c>
      <c r="H21" s="55">
        <f>'[7]PAGE 4'!$B$62+'[7]PAGE 4'!$B$63+'[7]PAGE 4'!$B$71</f>
        <v>480</v>
      </c>
      <c r="I21" s="56">
        <f>'[7]PAGE 4'!$L$62+'[7]PAGE 4'!$L$63+'[7]PAGE 4'!$L$71</f>
        <v>4631</v>
      </c>
      <c r="J21" s="55">
        <f>'[8]PAGE 4'!$B$62+'[8]PAGE 4'!$B$63+'[8]PAGE 4'!$B$71</f>
        <v>98</v>
      </c>
      <c r="K21" s="56">
        <f>'[8]PAGE 4'!$L$62+'[8]PAGE 4'!$L$63+'[8]PAGE 4'!$L$71</f>
        <v>818</v>
      </c>
      <c r="L21" s="55"/>
      <c r="M21" s="56"/>
      <c r="N21" s="55">
        <f>'[9]Page 6'!$B$56+'[9]Page 6'!$B$66</f>
        <v>388</v>
      </c>
      <c r="O21" s="56">
        <f>'[9]Page 6'!$L$56+'[9]Page 6'!$L$66</f>
        <v>4002</v>
      </c>
      <c r="P21" s="55"/>
      <c r="Q21" s="56"/>
      <c r="R21" s="55"/>
      <c r="S21" s="56"/>
      <c r="T21" s="55"/>
      <c r="U21" s="56"/>
      <c r="V21" s="55">
        <f>SUM('[10]PAGE 5'!$B$46,'[10]PAGE 5'!$B$53)</f>
        <v>58</v>
      </c>
      <c r="W21" s="56">
        <f>SUM('[10]PAGE 5'!$P$46,'[10]PAGE 5'!$P$53)</f>
        <v>357</v>
      </c>
      <c r="X21" s="55">
        <f>'[11]Page 6'!$B$56+'[11]Page 6'!$B$66</f>
        <v>0</v>
      </c>
      <c r="Y21" s="56">
        <f>'[11]Page 6'!$L$56+'[11]Page 6'!$L$66</f>
        <v>0</v>
      </c>
      <c r="Z21" s="55">
        <f>'[12]Page 6'!$B$56+'[12]Page 6'!$B$66</f>
        <v>94</v>
      </c>
      <c r="AA21" s="56">
        <f>'[12]Page 6'!$L$56+'[12]Page 6'!$L$66</f>
        <v>344</v>
      </c>
      <c r="AB21" s="55">
        <f t="shared" si="0"/>
        <v>2188</v>
      </c>
      <c r="AC21" s="56">
        <f t="shared" si="1"/>
        <v>22762</v>
      </c>
    </row>
    <row r="22" spans="1:29" s="1" customFormat="1">
      <c r="A22" s="332"/>
      <c r="B22" s="66">
        <f>[4]Page6!$K32+[4]Page6!$K$59</f>
        <v>51726</v>
      </c>
      <c r="C22" s="67">
        <f>[4]Page6!$BQ32+[4]Page6!$BQ59</f>
        <v>516333</v>
      </c>
      <c r="D22" s="66">
        <f>[5]Page6!$K32+[5]Page6!$K$59</f>
        <v>146737</v>
      </c>
      <c r="E22" s="67">
        <f>[5]Page6!$BQ32+[5]Page6!$BQ59</f>
        <v>1778901</v>
      </c>
      <c r="F22" s="66">
        <f>[6]Page6!$K32+[6]Page6!$K$59</f>
        <v>7757</v>
      </c>
      <c r="G22" s="67">
        <f>[6]Page6!$BQ32+[6]Page6!$BQ59</f>
        <v>296236</v>
      </c>
      <c r="H22" s="66">
        <f>'[7]PAGE 4'!$C$62+'[7]PAGE 4'!$C$63+'[7]PAGE 4'!$C$71</f>
        <v>107420</v>
      </c>
      <c r="I22" s="67">
        <f>'[7]PAGE 4'!$M$62+'[7]PAGE 4'!$M$63+'[7]PAGE 4'!$M$71</f>
        <v>896786</v>
      </c>
      <c r="J22" s="66">
        <f>'[8]PAGE 4'!$C$62+'[8]PAGE 4'!$C$63+'[8]PAGE 4'!$C$71</f>
        <v>7361</v>
      </c>
      <c r="K22" s="67">
        <f>'[8]PAGE 4'!$M$62+'[8]PAGE 4'!$M$63+'[8]PAGE 4'!$M$71</f>
        <v>117836</v>
      </c>
      <c r="L22" s="66"/>
      <c r="M22" s="67"/>
      <c r="N22" s="66">
        <f>'[9]Page 6'!$C$56+'[9]Page 6'!$C$66</f>
        <v>88987</v>
      </c>
      <c r="O22" s="67">
        <f>'[9]Page 6'!$M$56+'[9]Page 6'!$M$66</f>
        <v>933628</v>
      </c>
      <c r="P22" s="66">
        <f>'[2]PAGE 5'!$C$4+'[2]PAGE 5'!$C$6</f>
        <v>70706</v>
      </c>
      <c r="Q22" s="67">
        <f>'[2]PAGE 5'!$M$4+'[2]PAGE 5'!$M$6</f>
        <v>841699</v>
      </c>
      <c r="R22" s="66">
        <f>[3]P5!$D$7</f>
        <v>8247</v>
      </c>
      <c r="S22" s="67">
        <f>[3]P5!$L$7</f>
        <v>160677</v>
      </c>
      <c r="T22" s="66"/>
      <c r="U22" s="67"/>
      <c r="V22" s="66">
        <f>SUM('[10]PAGE 5'!$C$46:$D$46,'[10]PAGE 5'!$C$53:$D$53)</f>
        <v>8109</v>
      </c>
      <c r="W22" s="67">
        <f>SUM('[10]PAGE 5'!$Q$46:$R$46,'[10]PAGE 5'!$Q$53:$R$53)</f>
        <v>55071</v>
      </c>
      <c r="X22" s="66">
        <f>'[11]Page 6'!$C$56+'[11]Page 6'!$C$66</f>
        <v>0</v>
      </c>
      <c r="Y22" s="67">
        <f>'[11]Page 6'!$M$56+'[11]Page 6'!$M$66</f>
        <v>0</v>
      </c>
      <c r="Z22" s="66">
        <f>'[12]Page 6'!$C$56+'[12]Page 6'!$C$66</f>
        <v>11616</v>
      </c>
      <c r="AA22" s="67">
        <f>'[12]Page 6'!$M$56+'[12]Page 6'!$M$66</f>
        <v>54029</v>
      </c>
      <c r="AB22" s="66">
        <f t="shared" si="0"/>
        <v>508666</v>
      </c>
      <c r="AC22" s="67">
        <f t="shared" si="1"/>
        <v>5651196</v>
      </c>
    </row>
    <row r="23" spans="1:29" s="1" customFormat="1" ht="15" customHeight="1">
      <c r="A23" s="70" t="s">
        <v>268</v>
      </c>
      <c r="B23" s="66">
        <f>[4]Page6!$X$32+[4]Page6!$X$59</f>
        <v>11054</v>
      </c>
      <c r="C23" s="67">
        <f>[4]Page6!$CD$32+[4]Page6!$CD$59</f>
        <v>112037</v>
      </c>
      <c r="D23" s="66">
        <f>[5]Page6!$X$32+[5]Page6!$X$59</f>
        <v>31094</v>
      </c>
      <c r="E23" s="67">
        <f>[5]Page6!$CD$32+[5]Page6!$CD$59</f>
        <v>401030</v>
      </c>
      <c r="F23" s="66">
        <f>[6]Page6!$X$32+[6]Page6!$X$59</f>
        <v>230</v>
      </c>
      <c r="G23" s="67">
        <f>[6]Page6!$CD$32+[6]Page6!$CD$59</f>
        <v>67620</v>
      </c>
      <c r="H23" s="66">
        <f>'[7]PAGE 4'!$D$62+'[7]PAGE 4'!$D$63+'[7]PAGE 4'!$D$71</f>
        <v>17458</v>
      </c>
      <c r="I23" s="67">
        <f>'[7]PAGE 4'!$N$62+'[7]PAGE 4'!$N$63+'[7]PAGE 4'!$N$71</f>
        <v>150900</v>
      </c>
      <c r="J23" s="66">
        <f>'[8]PAGE 4'!$D$62+'[8]PAGE 4'!$D$63+'[8]PAGE 4'!$D$71</f>
        <v>1950</v>
      </c>
      <c r="K23" s="67">
        <f>'[8]PAGE 4'!$N$62+'[8]PAGE 4'!$N$63+'[8]PAGE 4'!$N$71</f>
        <v>28920</v>
      </c>
      <c r="L23" s="66"/>
      <c r="M23" s="67"/>
      <c r="N23" s="66">
        <f>'[9]Page 6'!$E$56+'[9]Page 6'!$E$66</f>
        <v>14053</v>
      </c>
      <c r="O23" s="67">
        <f>'[9]Page 6'!$O$56+'[9]Page 6'!$O$66</f>
        <v>147445</v>
      </c>
      <c r="P23" s="66">
        <f>'[2]PAGE 5'!$C$5+'[2]PAGE 5'!$C$7</f>
        <v>27588</v>
      </c>
      <c r="Q23" s="67">
        <f>'[2]PAGE 5'!$M$5+'[2]PAGE 5'!$M$7</f>
        <v>310446</v>
      </c>
      <c r="R23" s="66">
        <f>[3]P5!$D$9</f>
        <v>2111</v>
      </c>
      <c r="S23" s="67">
        <f>[3]P5!$L$9</f>
        <v>38917</v>
      </c>
      <c r="T23" s="66"/>
      <c r="U23" s="67"/>
      <c r="V23" s="66">
        <f>SUM('[10]PAGE 5'!$E$46:$F$46,'[10]PAGE 5'!$E$53:$F$53)</f>
        <v>2260</v>
      </c>
      <c r="W23" s="67">
        <f>SUM('[10]PAGE 5'!$S$46:$T$46,'[10]PAGE 5'!$S$53:$T$53)</f>
        <v>14793</v>
      </c>
      <c r="X23" s="66">
        <f>'[11]Page 6'!$E$56+'[11]Page 6'!$E$66</f>
        <v>0</v>
      </c>
      <c r="Y23" s="67">
        <f>'[11]Page 6'!$O$56+'[11]Page 6'!$O$66</f>
        <v>0</v>
      </c>
      <c r="Z23" s="66">
        <f>'[12]Page 6'!$E$56+'[12]Page 6'!$E$66</f>
        <v>2441</v>
      </c>
      <c r="AA23" s="67">
        <f>'[12]Page 6'!$O$56+'[12]Page 6'!$O$66</f>
        <v>11532</v>
      </c>
      <c r="AB23" s="66">
        <f t="shared" si="0"/>
        <v>110239</v>
      </c>
      <c r="AC23" s="67">
        <f t="shared" si="1"/>
        <v>1283640</v>
      </c>
    </row>
    <row r="24" spans="1:29">
      <c r="A24" s="4" t="s">
        <v>247</v>
      </c>
      <c r="B24" s="63">
        <f t="shared" ref="B24:C24" si="2">SUM(B18+B21)</f>
        <v>493</v>
      </c>
      <c r="C24" s="64">
        <f t="shared" si="2"/>
        <v>5364</v>
      </c>
      <c r="D24" s="63">
        <f t="shared" ref="D24:E24" si="3">SUM(D18+D21)</f>
        <v>754</v>
      </c>
      <c r="E24" s="64">
        <f t="shared" si="3"/>
        <v>8879</v>
      </c>
      <c r="F24" s="63">
        <f t="shared" ref="F24:G24" si="4">SUM(F18+F21)</f>
        <v>333</v>
      </c>
      <c r="G24" s="64">
        <f t="shared" si="4"/>
        <v>4341</v>
      </c>
      <c r="H24" s="63">
        <f t="shared" ref="H24:K24" si="5">SUM(H18+H21)</f>
        <v>489</v>
      </c>
      <c r="I24" s="64">
        <f t="shared" si="5"/>
        <v>4772</v>
      </c>
      <c r="J24" s="63">
        <f t="shared" si="5"/>
        <v>316</v>
      </c>
      <c r="K24" s="64">
        <f t="shared" si="5"/>
        <v>3265</v>
      </c>
      <c r="L24" s="63"/>
      <c r="M24" s="64"/>
      <c r="N24" s="63">
        <f t="shared" ref="N24:Q24" si="6">SUM(N18+N21)</f>
        <v>692</v>
      </c>
      <c r="O24" s="64">
        <f t="shared" si="6"/>
        <v>7254</v>
      </c>
      <c r="P24" s="63">
        <f t="shared" si="6"/>
        <v>0</v>
      </c>
      <c r="Q24" s="64">
        <f t="shared" si="6"/>
        <v>0</v>
      </c>
      <c r="R24" s="63">
        <f t="shared" ref="R24:AA24" si="7">SUM(R18+R21)</f>
        <v>0</v>
      </c>
      <c r="S24" s="64">
        <f t="shared" si="7"/>
        <v>0</v>
      </c>
      <c r="T24" s="63">
        <f t="shared" si="7"/>
        <v>0</v>
      </c>
      <c r="U24" s="64">
        <f t="shared" si="7"/>
        <v>0</v>
      </c>
      <c r="V24" s="63">
        <f t="shared" si="7"/>
        <v>195</v>
      </c>
      <c r="W24" s="64">
        <f t="shared" si="7"/>
        <v>1288</v>
      </c>
      <c r="X24" s="63">
        <f t="shared" si="7"/>
        <v>0</v>
      </c>
      <c r="Y24" s="64">
        <f t="shared" si="7"/>
        <v>0</v>
      </c>
      <c r="Z24" s="63">
        <f t="shared" si="7"/>
        <v>265</v>
      </c>
      <c r="AA24" s="64">
        <f t="shared" si="7"/>
        <v>941</v>
      </c>
      <c r="AB24" s="63">
        <f t="shared" si="0"/>
        <v>3537</v>
      </c>
      <c r="AC24" s="64">
        <f t="shared" si="1"/>
        <v>36104</v>
      </c>
    </row>
    <row r="25" spans="1:29">
      <c r="A25" s="4" t="s">
        <v>235</v>
      </c>
      <c r="B25" s="24">
        <f>SUM(B6+B8+B10+B12+B14+B16+B19+B22)</f>
        <v>252210</v>
      </c>
      <c r="C25" s="25">
        <f t="shared" ref="C25" si="8">SUM(C6+C8+C10+C12+C14+C16+C19+C22)</f>
        <v>2605801</v>
      </c>
      <c r="D25" s="24">
        <f>SUM(D6+D8+D10+D12+D14+D16+D19+D22)</f>
        <v>441999</v>
      </c>
      <c r="E25" s="25">
        <f t="shared" ref="E25:G25" si="9">SUM(E6+E8+E10+E12+E14+E16+E19+E22)</f>
        <v>4962488</v>
      </c>
      <c r="F25" s="24">
        <f>SUM(F6+F8+F10+F12+F14+F16+F19+F22)</f>
        <v>262124</v>
      </c>
      <c r="G25" s="25">
        <f t="shared" si="9"/>
        <v>3370716</v>
      </c>
      <c r="H25" s="24">
        <f t="shared" ref="H25:K25" si="10">SUM(H6+H8+H10+H12+H14+H16+H19+H22)</f>
        <v>260514</v>
      </c>
      <c r="I25" s="25">
        <f t="shared" si="10"/>
        <v>3053327</v>
      </c>
      <c r="J25" s="24">
        <f t="shared" si="10"/>
        <v>109672</v>
      </c>
      <c r="K25" s="25">
        <f t="shared" si="10"/>
        <v>1421808</v>
      </c>
      <c r="L25" s="24"/>
      <c r="M25" s="25"/>
      <c r="N25" s="24">
        <f>SUM(N6+N8+N10+N12+N14+N16+N19+N22)</f>
        <v>466000</v>
      </c>
      <c r="O25" s="25">
        <f t="shared" ref="O25:Q25" si="11">SUM(O6+O8+O10+O12+O14+O16+O19+O22)</f>
        <v>5099504</v>
      </c>
      <c r="P25" s="24">
        <f>SUM(P6+P8+P10+P12+P14+P16+P19+P22)</f>
        <v>274531</v>
      </c>
      <c r="Q25" s="25">
        <f t="shared" si="11"/>
        <v>3487231</v>
      </c>
      <c r="R25" s="24">
        <f t="shared" ref="R25:W25" si="12">SUM(R6+R8+R10+R12+R14+R16+R19+R22)</f>
        <v>151268</v>
      </c>
      <c r="S25" s="25">
        <f t="shared" si="12"/>
        <v>2044738</v>
      </c>
      <c r="T25" s="24">
        <f t="shared" si="12"/>
        <v>26323</v>
      </c>
      <c r="U25" s="25">
        <f t="shared" si="12"/>
        <v>397682</v>
      </c>
      <c r="V25" s="24">
        <f t="shared" si="12"/>
        <v>107781</v>
      </c>
      <c r="W25" s="25">
        <f t="shared" si="12"/>
        <v>748536</v>
      </c>
      <c r="X25" s="24">
        <f>SUM(X6+X8+X10+X12+X14+X16+X19+X22)</f>
        <v>0</v>
      </c>
      <c r="Y25" s="25">
        <f t="shared" ref="Y25" si="13">SUM(Y6+Y8+Y10+Y12+Y14+Y16+Y19+Y22)</f>
        <v>0</v>
      </c>
      <c r="Z25" s="24">
        <f>SUM(Z6+Z8+Z10+Z12+Z14+Z16+Z19+Z22)</f>
        <v>121774</v>
      </c>
      <c r="AA25" s="25">
        <f t="shared" ref="AA25" si="14">SUM(AA6+AA8+AA10+AA12+AA14+AA16+AA19+AA22)</f>
        <v>508586</v>
      </c>
      <c r="AB25" s="24">
        <f t="shared" si="0"/>
        <v>2474196</v>
      </c>
      <c r="AC25" s="25">
        <f t="shared" si="1"/>
        <v>27700417</v>
      </c>
    </row>
    <row r="26" spans="1:29" s="1" customFormat="1">
      <c r="A26" s="3" t="s">
        <v>270</v>
      </c>
      <c r="B26" s="57">
        <f>[4]Page6!$K62</f>
        <v>7430</v>
      </c>
      <c r="C26" s="13">
        <f>[4]Page6!$BQ62</f>
        <v>129686</v>
      </c>
      <c r="D26" s="57">
        <f>[5]Page6!$K62</f>
        <v>10119</v>
      </c>
      <c r="E26" s="13">
        <f>[5]Page6!$BQ62</f>
        <v>107743</v>
      </c>
      <c r="F26" s="57">
        <f>[6]Page6!$K62</f>
        <v>15323</v>
      </c>
      <c r="G26" s="13">
        <f>[6]Page6!$BQ62</f>
        <v>159671</v>
      </c>
      <c r="H26" s="57">
        <f>'[7]PAGE 4'!$C$80+'[7]PAGE 4'!$C$81</f>
        <v>18776</v>
      </c>
      <c r="I26" s="13">
        <f>'[7]PAGE 4'!$M$80+'[7]PAGE 4'!$M$81</f>
        <v>239754</v>
      </c>
      <c r="J26" s="57">
        <f>'[8]PAGE 4'!$C$80+'[8]PAGE 4'!$C$81</f>
        <v>10046</v>
      </c>
      <c r="K26" s="13">
        <f>'[8]PAGE 4'!$M$80+'[8]PAGE 4'!$M$81</f>
        <v>114954</v>
      </c>
      <c r="L26" s="57"/>
      <c r="M26" s="13"/>
      <c r="N26" s="57">
        <f>'[9]Page 6'!$C$71</f>
        <v>30421</v>
      </c>
      <c r="O26" s="13">
        <f>'[9]Page 6'!$M$71</f>
        <v>330315</v>
      </c>
      <c r="P26" s="57">
        <f>'[2]PAGE 5'!$C$20</f>
        <v>0</v>
      </c>
      <c r="Q26" s="13">
        <f>'[2]PAGE 5'!$M$20</f>
        <v>0</v>
      </c>
      <c r="R26" s="57"/>
      <c r="S26" s="13"/>
      <c r="T26" s="57"/>
      <c r="U26" s="13"/>
      <c r="V26" s="57">
        <f>SUM('[10]PAGE 5'!$C$58:$D$58)</f>
        <v>210</v>
      </c>
      <c r="W26" s="13">
        <f>SUM('[10]PAGE 5'!$Q$58:$R$58)</f>
        <v>210</v>
      </c>
      <c r="X26" s="57">
        <f>'[11]Page 6'!$C$71</f>
        <v>0</v>
      </c>
      <c r="Y26" s="13">
        <f>'[11]Page 6'!$M$71</f>
        <v>0</v>
      </c>
      <c r="Z26" s="57">
        <f>'[12]Page 6'!$C$71</f>
        <v>9829</v>
      </c>
      <c r="AA26" s="13">
        <f>'[12]Page 6'!$M$71</f>
        <v>40151</v>
      </c>
      <c r="AB26" s="57">
        <f t="shared" si="0"/>
        <v>102154</v>
      </c>
      <c r="AC26" s="13">
        <f t="shared" si="1"/>
        <v>1122484</v>
      </c>
    </row>
    <row r="27" spans="1:29" s="1" customFormat="1" ht="15" customHeight="1">
      <c r="A27" s="3" t="s">
        <v>269</v>
      </c>
      <c r="B27" s="57">
        <f>[4]Page6!$X$62</f>
        <v>2704</v>
      </c>
      <c r="C27" s="13">
        <f>[4]Page6!$CD$62</f>
        <v>41498</v>
      </c>
      <c r="D27" s="57">
        <f>[5]Page6!$X$62</f>
        <v>2649</v>
      </c>
      <c r="E27" s="13">
        <f>[5]Page6!$CD$62</f>
        <v>33387</v>
      </c>
      <c r="F27" s="57">
        <f>[6]Page6!$X$62</f>
        <v>3596</v>
      </c>
      <c r="G27" s="13">
        <f>[6]Page6!$CD$62</f>
        <v>46698</v>
      </c>
      <c r="H27" s="57">
        <f>'[7]PAGE 4'!$D$80+'[7]PAGE 4'!$D$81</f>
        <v>9833</v>
      </c>
      <c r="I27" s="13">
        <f>'[7]PAGE 4'!$N$80+'[7]PAGE 4'!$N$81</f>
        <v>121947</v>
      </c>
      <c r="J27" s="57">
        <f>'[8]PAGE 4'!$D$80+'[8]PAGE 4'!$D$81</f>
        <v>3960</v>
      </c>
      <c r="K27" s="13">
        <f>'[8]PAGE 4'!$N$80+'[8]PAGE 4'!$N$81</f>
        <v>40757</v>
      </c>
      <c r="L27" s="57"/>
      <c r="M27" s="13"/>
      <c r="N27" s="57">
        <f>'[9]Page 6'!$E$71</f>
        <v>25153</v>
      </c>
      <c r="O27" s="13">
        <f>'[9]Page 6'!$O$71</f>
        <v>197825</v>
      </c>
      <c r="P27" s="57">
        <f>'[2]PAGE 5'!$C$21</f>
        <v>0</v>
      </c>
      <c r="Q27" s="13">
        <f>'[2]PAGE 5'!$M$21</f>
        <v>0</v>
      </c>
      <c r="R27" s="57"/>
      <c r="S27" s="13"/>
      <c r="T27" s="57"/>
      <c r="U27" s="13"/>
      <c r="V27" s="57">
        <f>SUM('[10]PAGE 5'!$E$58:$F$58)</f>
        <v>63</v>
      </c>
      <c r="W27" s="13">
        <f>SUM('[10]PAGE 5'!$S$58:$T$58)</f>
        <v>63</v>
      </c>
      <c r="X27" s="57">
        <f>'[11]Page 6'!$E$71</f>
        <v>0</v>
      </c>
      <c r="Y27" s="13">
        <f>'[11]Page 6'!$O$71</f>
        <v>0</v>
      </c>
      <c r="Z27" s="57">
        <f>'[12]Page 6'!$E$71</f>
        <v>5653</v>
      </c>
      <c r="AA27" s="13">
        <f>'[12]Page 6'!$O$71</f>
        <v>18349</v>
      </c>
      <c r="AB27" s="57">
        <f t="shared" si="0"/>
        <v>53611</v>
      </c>
      <c r="AC27" s="13">
        <f t="shared" si="1"/>
        <v>500524</v>
      </c>
    </row>
    <row r="28" spans="1:29" s="1" customFormat="1">
      <c r="A28" s="3" t="s">
        <v>237</v>
      </c>
      <c r="B28" s="57">
        <f>[4]Page6!$K$61</f>
        <v>0</v>
      </c>
      <c r="C28" s="13">
        <f>[4]Page6!$BQ$61</f>
        <v>0</v>
      </c>
      <c r="D28" s="57">
        <f>[5]Page6!$K$61</f>
        <v>0</v>
      </c>
      <c r="E28" s="13">
        <f>[5]Page6!$BQ$61</f>
        <v>0</v>
      </c>
      <c r="F28" s="57">
        <f>[6]Page6!$K$61</f>
        <v>0</v>
      </c>
      <c r="G28" s="13">
        <f>[6]Page6!$BQ$61</f>
        <v>0</v>
      </c>
      <c r="H28" s="57">
        <f>'[7]PAGE 4'!$C$77+'[7]PAGE 4'!$C$76</f>
        <v>38170</v>
      </c>
      <c r="I28" s="13">
        <f>'[7]PAGE 4'!$M$77+'[7]PAGE 4'!$M$76</f>
        <v>529993</v>
      </c>
      <c r="J28" s="57">
        <f>'[8]PAGE 4'!$C$77+'[8]PAGE 4'!$C$76</f>
        <v>31230</v>
      </c>
      <c r="K28" s="13">
        <f>'[8]PAGE 4'!$M$77+'[8]PAGE 4'!$M$76</f>
        <v>244042</v>
      </c>
      <c r="L28" s="57"/>
      <c r="M28" s="13"/>
      <c r="N28" s="57">
        <f>'[9]Page 6'!$C$69</f>
        <v>0</v>
      </c>
      <c r="O28" s="13">
        <f>'[9]Page 6'!$M$69</f>
        <v>0</v>
      </c>
      <c r="P28" s="57">
        <f>'[2]PAGE 5'!$C$22+'[2]PAGE 5'!$C$24</f>
        <v>0</v>
      </c>
      <c r="Q28" s="13">
        <f>'[2]PAGE 5'!$M$22+'[2]PAGE 5'!$M$24</f>
        <v>0</v>
      </c>
      <c r="R28" s="57">
        <f>'[2]PAGE 5'!$C$22+'[2]PAGE 5'!$C$24</f>
        <v>0</v>
      </c>
      <c r="S28" s="13">
        <f>'[2]PAGE 5'!$M$22+'[2]PAGE 5'!$M$24</f>
        <v>0</v>
      </c>
      <c r="T28" s="57">
        <f>'[2]PAGE 5'!$C$22+'[2]PAGE 5'!$C$24</f>
        <v>0</v>
      </c>
      <c r="U28" s="13">
        <f>'[2]PAGE 5'!$M$22+'[2]PAGE 5'!$M$24</f>
        <v>0</v>
      </c>
      <c r="V28" s="57">
        <f>SUM('[10]PAGE 5'!$E$56:$F$56,'[10]PAGE 5'!$E$59:$F$59,'[10]PAGE 5'!$E$61:$F$66)</f>
        <v>0</v>
      </c>
      <c r="W28" s="13">
        <f>SUM('[10]PAGE 5'!$S$56:$T$56,'[10]PAGE 5'!$S$59:$T$59,'[10]PAGE 5'!$S$61:$T$66)</f>
        <v>0</v>
      </c>
      <c r="X28" s="57">
        <f>'[11]Page 6'!$C$69</f>
        <v>0</v>
      </c>
      <c r="Y28" s="13">
        <f>'[11]Page 6'!$M$69</f>
        <v>0</v>
      </c>
      <c r="Z28" s="57">
        <f>'[12]Page 6'!$C$69</f>
        <v>0</v>
      </c>
      <c r="AA28" s="13">
        <f>'[12]Page 6'!$M$69</f>
        <v>0</v>
      </c>
      <c r="AB28" s="57">
        <f t="shared" si="0"/>
        <v>69400</v>
      </c>
      <c r="AC28" s="13">
        <f t="shared" si="1"/>
        <v>774035</v>
      </c>
    </row>
    <row r="29" spans="1:29">
      <c r="A29" s="11" t="s">
        <v>248</v>
      </c>
      <c r="B29" s="16">
        <f t="shared" ref="B29:C29" si="15">SUM(B25+B26+B28)</f>
        <v>259640</v>
      </c>
      <c r="C29" s="17">
        <f t="shared" si="15"/>
        <v>2735487</v>
      </c>
      <c r="D29" s="16">
        <f t="shared" ref="D29:G29" si="16">SUM(D25+D26+D28)</f>
        <v>452118</v>
      </c>
      <c r="E29" s="17">
        <f t="shared" si="16"/>
        <v>5070231</v>
      </c>
      <c r="F29" s="16">
        <f t="shared" si="16"/>
        <v>277447</v>
      </c>
      <c r="G29" s="17">
        <f t="shared" si="16"/>
        <v>3530387</v>
      </c>
      <c r="H29" s="16">
        <f t="shared" ref="H29:Q29" si="17">SUM(H25+H26+H28)</f>
        <v>317460</v>
      </c>
      <c r="I29" s="17">
        <f t="shared" si="17"/>
        <v>3823074</v>
      </c>
      <c r="J29" s="16">
        <f>SUM(J25+J26+J28)</f>
        <v>150948</v>
      </c>
      <c r="K29" s="17">
        <f>SUM(K25+K26+K28)</f>
        <v>1780804</v>
      </c>
      <c r="L29" s="16"/>
      <c r="M29" s="17"/>
      <c r="N29" s="16">
        <f t="shared" si="17"/>
        <v>496421</v>
      </c>
      <c r="O29" s="17">
        <f t="shared" si="17"/>
        <v>5429819</v>
      </c>
      <c r="P29" s="16">
        <f t="shared" si="17"/>
        <v>274531</v>
      </c>
      <c r="Q29" s="17">
        <f t="shared" si="17"/>
        <v>3487231</v>
      </c>
      <c r="R29" s="16">
        <f t="shared" ref="R29:AA29" si="18">SUM(R25+R26+R28)</f>
        <v>151268</v>
      </c>
      <c r="S29" s="17">
        <f t="shared" si="18"/>
        <v>2044738</v>
      </c>
      <c r="T29" s="16">
        <f t="shared" si="18"/>
        <v>26323</v>
      </c>
      <c r="U29" s="17">
        <f t="shared" si="18"/>
        <v>397682</v>
      </c>
      <c r="V29" s="16">
        <f t="shared" si="18"/>
        <v>107991</v>
      </c>
      <c r="W29" s="17">
        <f t="shared" si="18"/>
        <v>748746</v>
      </c>
      <c r="X29" s="16">
        <f t="shared" si="18"/>
        <v>0</v>
      </c>
      <c r="Y29" s="17">
        <f t="shared" si="18"/>
        <v>0</v>
      </c>
      <c r="Z29" s="16">
        <f t="shared" si="18"/>
        <v>131603</v>
      </c>
      <c r="AA29" s="17">
        <f t="shared" si="18"/>
        <v>548737</v>
      </c>
      <c r="AB29" s="16">
        <f t="shared" si="0"/>
        <v>2645750</v>
      </c>
      <c r="AC29" s="17">
        <f t="shared" si="1"/>
        <v>29596936</v>
      </c>
    </row>
    <row r="30" spans="1:29">
      <c r="A30" s="4"/>
      <c r="B30" s="22"/>
      <c r="C30" s="23"/>
      <c r="D30" s="22"/>
      <c r="E30" s="23"/>
      <c r="F30" s="22"/>
      <c r="G30" s="23"/>
      <c r="H30" s="22"/>
      <c r="I30" s="23"/>
      <c r="J30" s="22"/>
      <c r="K30" s="23"/>
      <c r="L30" s="22"/>
      <c r="M30" s="23"/>
      <c r="N30" s="22"/>
      <c r="O30" s="23"/>
      <c r="P30" s="22"/>
      <c r="Q30" s="23"/>
      <c r="R30" s="22"/>
      <c r="S30" s="23"/>
      <c r="T30" s="22"/>
      <c r="U30" s="23"/>
      <c r="V30" s="22"/>
      <c r="W30" s="23"/>
      <c r="X30" s="22"/>
      <c r="Y30" s="23"/>
      <c r="Z30" s="22"/>
      <c r="AA30" s="23"/>
      <c r="AB30" s="22">
        <f t="shared" si="0"/>
        <v>0</v>
      </c>
      <c r="AC30" s="23">
        <f t="shared" si="1"/>
        <v>0</v>
      </c>
    </row>
    <row r="31" spans="1:29">
      <c r="A31" s="4" t="s">
        <v>246</v>
      </c>
      <c r="B31" s="24">
        <f>[4]Page6!$X$63</f>
        <v>0</v>
      </c>
      <c r="C31" s="25">
        <f>[4]Page6!$CD$63</f>
        <v>0</v>
      </c>
      <c r="D31" s="24">
        <f>[5]Page6!$X$63</f>
        <v>-118</v>
      </c>
      <c r="E31" s="25">
        <f>[5]Page6!$CD$63</f>
        <v>-3073</v>
      </c>
      <c r="F31" s="24">
        <f>[6]Page6!$X$63</f>
        <v>-87</v>
      </c>
      <c r="G31" s="25">
        <f>[6]Page6!$CD$63</f>
        <v>-1074</v>
      </c>
      <c r="H31" s="24">
        <f>'[7]PAGE 4'!$D$73+'[7]PAGE 4'!$D$75</f>
        <v>87502</v>
      </c>
      <c r="I31" s="25">
        <f>'[7]PAGE 4'!$N$73+'[7]PAGE 4'!$N$75</f>
        <v>837927</v>
      </c>
      <c r="J31" s="24">
        <f>'[8]PAGE 4'!$D$73+'[8]PAGE 4'!$D$75</f>
        <v>33605</v>
      </c>
      <c r="K31" s="25">
        <f>'[8]PAGE 4'!$N$73+'[8]PAGE 4'!$N$75</f>
        <v>443752</v>
      </c>
      <c r="L31" s="24"/>
      <c r="M31" s="25"/>
      <c r="N31" s="24">
        <f>'[9]Page 6'!$E$70</f>
        <v>4091</v>
      </c>
      <c r="O31" s="25">
        <f>'[9]Page 6'!$O$70</f>
        <v>34069</v>
      </c>
      <c r="P31" s="24">
        <f>'[2]PAGE 5'!$C$42</f>
        <v>15</v>
      </c>
      <c r="Q31" s="25">
        <f>'[2]PAGE 5'!$M$42</f>
        <v>1036</v>
      </c>
      <c r="R31" s="24">
        <f>[3]P5!$D$83</f>
        <v>25620</v>
      </c>
      <c r="S31" s="25">
        <f>[3]P5!$L$83</f>
        <v>47011</v>
      </c>
      <c r="T31" s="24">
        <f>[13]P5!$D$83</f>
        <v>0</v>
      </c>
      <c r="U31" s="25">
        <f>[13]P5!$L$83</f>
        <v>0</v>
      </c>
      <c r="V31" s="24">
        <f>SUM('[10]PAGE 5'!$E$55:$F$55)</f>
        <v>0</v>
      </c>
      <c r="W31" s="25">
        <f>SUM('[10]PAGE 5'!$S$55:$T$55)</f>
        <v>-575</v>
      </c>
      <c r="X31" s="24">
        <f>'[11]Page 6'!$E$70</f>
        <v>0</v>
      </c>
      <c r="Y31" s="25">
        <f>'[11]Page 6'!$O$70</f>
        <v>0</v>
      </c>
      <c r="Z31" s="24">
        <f>'[12]Page 6'!$E$70</f>
        <v>0</v>
      </c>
      <c r="AA31" s="25">
        <f>'[12]Page 6'!$O$70</f>
        <v>0</v>
      </c>
      <c r="AB31" s="24">
        <f t="shared" si="0"/>
        <v>150628</v>
      </c>
      <c r="AC31" s="25">
        <f t="shared" si="1"/>
        <v>1359073</v>
      </c>
    </row>
    <row r="32" spans="1:29">
      <c r="A32" s="4" t="s">
        <v>227</v>
      </c>
      <c r="B32" s="24">
        <f>INDEX('[4]Page 3'!$B:$DP,MATCH("8075",'[4]Page 3'!$R:$R,0),23)+INDEX('[4]Page 3'!$B:$DP,MATCH("8070",'[4]Page 3'!$R:$R,0),23)</f>
        <v>0</v>
      </c>
      <c r="C32" s="25">
        <f>INDEX('[4]Page 3'!$B:$DP,MATCH("8075",'[4]Page 3'!$R:$R,0),81)+INDEX('[4]Page 3'!$B:$DP,MATCH("8070",'[4]Page 3'!$R:$R,0),81)</f>
        <v>0</v>
      </c>
      <c r="D32" s="24">
        <f>INDEX('[5]Page 3'!$B:$DP,MATCH("8075",'[5]Page 3'!$R:$R,0),23)+INDEX('[5]Page 3'!$B:$DP,MATCH("8070",'[5]Page 3'!$R:$R,0),23)</f>
        <v>0</v>
      </c>
      <c r="E32" s="25">
        <f>SUM('[5]Page 3'!$BJ$61:$BO$61)</f>
        <v>2588</v>
      </c>
      <c r="F32" s="24">
        <f>INDEX('[6]Page 3'!$B:$DP,MATCH("8075",'[6]Page 3'!$R:$R,0),50)+INDEX('[6]Page 3'!$B:$DP,MATCH("8070",'[6]Page 3'!$R:$R,0),50)</f>
        <v>0</v>
      </c>
      <c r="G32" s="25">
        <f>INDEX('[6]Page 3'!$B:$DP,MATCH("8075",'[6]Page 3'!$R:$R,0),61)+INDEX('[6]Page 3'!$B:$DP,MATCH("8070",'[6]Page 3'!$R:$R,0),61)</f>
        <v>37423</v>
      </c>
      <c r="H32" s="24"/>
      <c r="I32" s="25"/>
      <c r="J32" s="24"/>
      <c r="K32" s="25"/>
      <c r="L32" s="24"/>
      <c r="M32" s="25"/>
      <c r="N32" s="24"/>
      <c r="O32" s="25"/>
      <c r="P32" s="24"/>
      <c r="Q32" s="25"/>
      <c r="R32" s="24"/>
      <c r="S32" s="25"/>
      <c r="T32" s="24"/>
      <c r="U32" s="25"/>
      <c r="V32" s="24"/>
      <c r="W32" s="25"/>
      <c r="X32" s="24"/>
      <c r="Y32" s="25"/>
      <c r="Z32" s="24"/>
      <c r="AA32" s="25"/>
      <c r="AB32" s="24">
        <f t="shared" si="0"/>
        <v>0</v>
      </c>
      <c r="AC32" s="25">
        <f t="shared" si="1"/>
        <v>40011</v>
      </c>
    </row>
    <row r="33" spans="1:29">
      <c r="B33" s="47"/>
      <c r="C33" s="13"/>
      <c r="D33" s="47"/>
      <c r="E33" s="13"/>
      <c r="F33" s="47"/>
      <c r="G33" s="13"/>
      <c r="H33" s="47"/>
      <c r="I33" s="13"/>
      <c r="J33" s="47"/>
      <c r="K33" s="13"/>
      <c r="L33" s="47"/>
      <c r="M33" s="13"/>
      <c r="N33" s="47"/>
      <c r="O33" s="13"/>
      <c r="P33" s="47"/>
      <c r="Q33" s="13"/>
      <c r="R33" s="47"/>
      <c r="S33" s="13"/>
      <c r="T33" s="47"/>
      <c r="U33" s="13"/>
      <c r="V33" s="47"/>
      <c r="W33" s="13"/>
      <c r="X33" s="47"/>
      <c r="Y33" s="13"/>
      <c r="Z33" s="47"/>
      <c r="AA33" s="13"/>
      <c r="AB33" s="47">
        <f t="shared" si="0"/>
        <v>0</v>
      </c>
      <c r="AC33" s="13">
        <f t="shared" si="1"/>
        <v>0</v>
      </c>
    </row>
    <row r="34" spans="1:29">
      <c r="A34" s="12" t="s">
        <v>1</v>
      </c>
      <c r="B34" s="20">
        <f>[4]Page6!$X$65+B32</f>
        <v>87613</v>
      </c>
      <c r="C34" s="21">
        <f>[4]Page6!$CD$65+C32</f>
        <v>924077</v>
      </c>
      <c r="D34" s="20">
        <f>[5]Page6!$X$65+D32</f>
        <v>125981</v>
      </c>
      <c r="E34" s="21">
        <f>[5]Page6!$CD$65+E32</f>
        <v>1506870</v>
      </c>
      <c r="F34" s="20">
        <f>[6]Page6!$X$65+F32</f>
        <v>83331</v>
      </c>
      <c r="G34" s="21">
        <f>[6]Page6!$CD$65+G32</f>
        <v>1149828</v>
      </c>
      <c r="H34" s="20">
        <f>'[7]PAGE 4'!$D$82</f>
        <v>115819</v>
      </c>
      <c r="I34" s="21">
        <f>'[7]PAGE 4'!$N$82</f>
        <v>1166045</v>
      </c>
      <c r="J34" s="20">
        <f>'[8]PAGE 4'!$D$82</f>
        <v>47086</v>
      </c>
      <c r="K34" s="21">
        <f>'[8]PAGE 4'!$N$82</f>
        <v>525806</v>
      </c>
      <c r="L34" s="20"/>
      <c r="M34" s="21"/>
      <c r="N34" s="20">
        <f>'[9]Page 6'!$E$72</f>
        <v>159646</v>
      </c>
      <c r="O34" s="21">
        <f>'[9]Page 6'!$O$72</f>
        <v>1723790</v>
      </c>
      <c r="P34" s="20">
        <f>'[2]PAGE 5'!$C$47</f>
        <v>76881</v>
      </c>
      <c r="Q34" s="21">
        <f>'[2]PAGE 5'!$M$47</f>
        <v>963346</v>
      </c>
      <c r="R34" s="20">
        <f>[3]P5!$D$93</f>
        <v>81349</v>
      </c>
      <c r="S34" s="21">
        <f>[3]P5!$L$93</f>
        <v>757805</v>
      </c>
      <c r="T34" s="20">
        <f>[13]P5!$D$93</f>
        <v>13630</v>
      </c>
      <c r="U34" s="21">
        <f>[13]P5!$L$93</f>
        <v>159499</v>
      </c>
      <c r="V34" s="20">
        <f>SUM('[10]PAGE 5'!$E$60:$F$60)</f>
        <v>32458</v>
      </c>
      <c r="W34" s="21">
        <f>SUM('[10]PAGE 5'!$S$60:$T$60)</f>
        <v>235286</v>
      </c>
      <c r="X34" s="20">
        <f>'[11]Page 6'!$E$72</f>
        <v>0</v>
      </c>
      <c r="Y34" s="21">
        <f>'[11]Page 6'!$O$72</f>
        <v>0</v>
      </c>
      <c r="Z34" s="20">
        <f>'[12]Page 6'!$E$72</f>
        <v>51547</v>
      </c>
      <c r="AA34" s="21">
        <f>'[12]Page 6'!$O$72</f>
        <v>188038</v>
      </c>
      <c r="AB34" s="20">
        <f t="shared" si="0"/>
        <v>875341</v>
      </c>
      <c r="AC34" s="21">
        <f t="shared" si="1"/>
        <v>9300390</v>
      </c>
    </row>
    <row r="35" spans="1:29">
      <c r="B35" s="47"/>
      <c r="C35" s="13"/>
      <c r="D35" s="47"/>
      <c r="E35" s="13"/>
      <c r="F35" s="47"/>
      <c r="G35" s="13"/>
      <c r="H35" s="47"/>
      <c r="I35" s="13"/>
      <c r="J35" s="47"/>
      <c r="K35" s="13"/>
      <c r="L35" s="47"/>
      <c r="M35" s="13"/>
      <c r="N35" s="47"/>
      <c r="O35" s="13"/>
      <c r="P35" s="47"/>
      <c r="Q35" s="13"/>
      <c r="R35" s="47"/>
      <c r="S35" s="13"/>
      <c r="T35" s="47"/>
      <c r="U35" s="13"/>
      <c r="V35" s="47"/>
      <c r="W35" s="13"/>
      <c r="X35" s="47"/>
      <c r="Y35" s="13"/>
      <c r="Z35" s="47"/>
      <c r="AA35" s="13"/>
      <c r="AB35" s="47">
        <f t="shared" si="0"/>
        <v>0</v>
      </c>
      <c r="AC35" s="13">
        <f t="shared" si="1"/>
        <v>0</v>
      </c>
    </row>
    <row r="36" spans="1:29">
      <c r="A36" s="5" t="s">
        <v>4</v>
      </c>
      <c r="B36" s="47">
        <f>INDEX('[4]Page 3'!$B:$DP,MATCH("0100",'[4]Page 3'!$R:$R,0),50)</f>
        <v>10250</v>
      </c>
      <c r="C36" s="13">
        <f>INDEX('[4]Page 3'!$B:$DP,MATCH("0100",'[4]Page 3'!$R:$R,0),61)</f>
        <v>119175</v>
      </c>
      <c r="D36" s="47">
        <f>INDEX('[5]Page 3'!$B:$DP,MATCH("0100",'[5]Page 3'!$R:$R,0),50)</f>
        <v>12860</v>
      </c>
      <c r="E36" s="13">
        <f>INDEX('[5]Page 3'!$B:$DP,MATCH("0100",'[5]Page 3'!$R:$R,0),61)</f>
        <v>108645</v>
      </c>
      <c r="F36" s="47">
        <f>INDEX('[6]Page 3'!$B:$DP,MATCH("0100",'[6]Page 3'!$R:$R,0),50)</f>
        <v>8317</v>
      </c>
      <c r="G36" s="13">
        <f>INDEX('[6]Page 3'!$B:$DP,MATCH("0100",'[6]Page 3'!$R:$R,0),61)</f>
        <v>110108</v>
      </c>
      <c r="H36" s="47"/>
      <c r="I36" s="13"/>
      <c r="J36" s="47"/>
      <c r="K36" s="13"/>
      <c r="L36" s="47"/>
      <c r="M36" s="13"/>
      <c r="N36" s="47">
        <f>IFERROR(VLOOKUP("Sales Compensation                                  ",'[9]PAGE 3'!$B:$S,14,FALSE),0)</f>
        <v>19738</v>
      </c>
      <c r="O36" s="13">
        <f>IFERROR(VLOOKUP("Sales Compensation                                  ",'[9]PAGE 3'!$B:$S,16,FALSE),0)</f>
        <v>237286</v>
      </c>
      <c r="P36" s="47">
        <f>'[2]PAGE 5'!$C$51</f>
        <v>9306</v>
      </c>
      <c r="Q36" s="13">
        <f>'[2]PAGE 5'!$M$51</f>
        <v>103736</v>
      </c>
      <c r="R36" s="47">
        <f>SUM([3]P5!$D$101:$G$102)</f>
        <v>0</v>
      </c>
      <c r="S36" s="13">
        <f>SUM([3]P5!$L$101:$P$102)</f>
        <v>0</v>
      </c>
      <c r="T36" s="47"/>
      <c r="U36" s="13"/>
      <c r="V36" s="47"/>
      <c r="W36" s="13"/>
      <c r="X36" s="47">
        <f>IFERROR(VLOOKUP("Sales Compensation                                  ",'[11]PAGE 3'!$B:$S,14,FALSE),0)</f>
        <v>0</v>
      </c>
      <c r="Y36" s="13">
        <f>IFERROR(VLOOKUP("Sales Compensation                                  ",'[11]PAGE 3'!$B:$S,16,FALSE),0)</f>
        <v>0</v>
      </c>
      <c r="Z36" s="47">
        <f>IFERROR(VLOOKUP("Sales Compensation                                  ",'[12]PAGE 3'!$B:$S,14,FALSE),0)</f>
        <v>85</v>
      </c>
      <c r="AA36" s="13">
        <f>IFERROR(VLOOKUP("Sales Compensation                                  ",'[12]PAGE 3'!$B:$S,16,FALSE),0)</f>
        <v>4601</v>
      </c>
      <c r="AB36" s="47">
        <f t="shared" si="0"/>
        <v>60556</v>
      </c>
      <c r="AC36" s="13">
        <f t="shared" si="1"/>
        <v>683551</v>
      </c>
    </row>
    <row r="37" spans="1:29">
      <c r="A37" s="5" t="s">
        <v>5</v>
      </c>
      <c r="B37" s="47">
        <f>INDEX('[4]Page 3'!$B:$DP,MATCH("0280",'[4]Page 3'!$R:$R,0),50)</f>
        <v>0</v>
      </c>
      <c r="C37" s="13">
        <f>INDEX('[4]Page 3'!$B:$DP,MATCH("0280",'[4]Page 3'!$R:$R,0),61)</f>
        <v>0</v>
      </c>
      <c r="D37" s="47">
        <f>INDEX('[5]Page 3'!$B:$DP,MATCH("0280",'[5]Page 3'!$R:$R,0),50)</f>
        <v>0</v>
      </c>
      <c r="E37" s="13">
        <f>INDEX('[5]Page 3'!$B:$DP,MATCH("0280",'[5]Page 3'!$R:$R,0),61)</f>
        <v>0</v>
      </c>
      <c r="F37" s="47">
        <f>INDEX('[6]Page 3'!$B:$DP,MATCH("0280",'[6]Page 3'!$R:$R,0),50)</f>
        <v>0</v>
      </c>
      <c r="G37" s="13">
        <f>INDEX('[6]Page 3'!$B:$DP,MATCH("0280",'[6]Page 3'!$R:$R,0),61)</f>
        <v>0</v>
      </c>
      <c r="H37" s="47">
        <f>IFERROR(VLOOKUP("",'[7]PAGE 3'!$B:$W,20,FALSE),0)</f>
        <v>0</v>
      </c>
      <c r="I37" s="13">
        <f>IFERROR(VLOOKUP("",'[7]PAGE 3'!$B:$W,22,FALSE),0)</f>
        <v>0</v>
      </c>
      <c r="J37" s="47">
        <f>IFERROR(VLOOKUP("",'[8]PAGE 3'!$B:$W,20,FALSE),0)</f>
        <v>0</v>
      </c>
      <c r="K37" s="13">
        <f>IFERROR(VLOOKUP("",'[8]PAGE 3'!$B:$W,22,FALSE),0)</f>
        <v>0</v>
      </c>
      <c r="L37" s="47"/>
      <c r="M37" s="13"/>
      <c r="N37" s="47">
        <f>IFERROR(VLOOKUP("",'[9]PAGE 3'!$B:$S,14,FALSE),0)</f>
        <v>0</v>
      </c>
      <c r="O37" s="13">
        <f>IFERROR(VLOOKUP("",'[9]PAGE 3'!$B:$S,16,FALSE),0)</f>
        <v>0</v>
      </c>
      <c r="P37" s="47"/>
      <c r="Q37" s="13"/>
      <c r="R37" s="47"/>
      <c r="S37" s="13"/>
      <c r="T37" s="47"/>
      <c r="U37" s="13"/>
      <c r="V37" s="47"/>
      <c r="W37" s="13"/>
      <c r="X37" s="47">
        <f>IFERROR(VLOOKUP("",'[11]PAGE 3'!$B:$S,14,FALSE),0)</f>
        <v>0</v>
      </c>
      <c r="Y37" s="13">
        <f>IFERROR(VLOOKUP("",'[11]PAGE 3'!$B:$S,16,FALSE),0)</f>
        <v>0</v>
      </c>
      <c r="Z37" s="47">
        <f>IFERROR(VLOOKUP("",'[12]PAGE 3'!$B:$S,14,FALSE),0)</f>
        <v>0</v>
      </c>
      <c r="AA37" s="13">
        <f>IFERROR(VLOOKUP("",'[12]PAGE 3'!$B:$S,16,FALSE),0)</f>
        <v>0</v>
      </c>
      <c r="AB37" s="47">
        <f t="shared" si="0"/>
        <v>0</v>
      </c>
      <c r="AC37" s="13">
        <f t="shared" si="1"/>
        <v>0</v>
      </c>
    </row>
    <row r="38" spans="1:29">
      <c r="A38" s="5" t="s">
        <v>6</v>
      </c>
      <c r="B38" s="47">
        <f>INDEX('[4]Page 3'!$B:$DP,MATCH("0090",'[4]Page 3'!$R:$R,0),50)</f>
        <v>0</v>
      </c>
      <c r="C38" s="13">
        <f>INDEX('[4]Page 3'!$B:$DP,MATCH("0090",'[4]Page 3'!$R:$R,0),61)</f>
        <v>0</v>
      </c>
      <c r="D38" s="47">
        <f>INDEX('[5]Page 3'!$B:$DP,MATCH("0090",'[5]Page 3'!$R:$R,0),50)</f>
        <v>0</v>
      </c>
      <c r="E38" s="13">
        <f>INDEX('[5]Page 3'!$B:$DP,MATCH("0090",'[5]Page 3'!$R:$R,0),61)</f>
        <v>0</v>
      </c>
      <c r="F38" s="47">
        <f>INDEX('[6]Page 3'!$B:$DP,MATCH("0090",'[6]Page 3'!$R:$R,0),50)</f>
        <v>0</v>
      </c>
      <c r="G38" s="13">
        <f>INDEX('[6]Page 3'!$B:$DP,MATCH("0090",'[6]Page 3'!$R:$R,0),61)</f>
        <v>0</v>
      </c>
      <c r="H38" s="47"/>
      <c r="I38" s="13"/>
      <c r="J38" s="47"/>
      <c r="K38" s="13"/>
      <c r="L38" s="47"/>
      <c r="M38" s="13"/>
      <c r="N38" s="47"/>
      <c r="O38" s="13"/>
      <c r="P38" s="47"/>
      <c r="Q38" s="13"/>
      <c r="R38" s="47"/>
      <c r="S38" s="13"/>
      <c r="T38" s="47"/>
      <c r="U38" s="13"/>
      <c r="V38" s="47"/>
      <c r="W38" s="13"/>
      <c r="X38" s="47"/>
      <c r="Y38" s="13"/>
      <c r="Z38" s="47"/>
      <c r="AA38" s="13"/>
      <c r="AB38" s="47">
        <f t="shared" si="0"/>
        <v>0</v>
      </c>
      <c r="AC38" s="13">
        <f t="shared" si="1"/>
        <v>0</v>
      </c>
    </row>
    <row r="39" spans="1:29">
      <c r="A39" s="5" t="s">
        <v>7</v>
      </c>
      <c r="B39" s="47">
        <f>INDEX('[4]Page 3'!$B:$DP,MATCH("0110",'[4]Page 3'!$R:$R,0),50)</f>
        <v>0</v>
      </c>
      <c r="C39" s="13">
        <f>INDEX('[4]Page 3'!$B:$DP,MATCH("0110",'[4]Page 3'!$R:$R,0),61)</f>
        <v>0</v>
      </c>
      <c r="D39" s="47">
        <f>INDEX('[5]Page 3'!$B:$DP,MATCH("0110",'[5]Page 3'!$R:$R,0),50)</f>
        <v>0</v>
      </c>
      <c r="E39" s="13">
        <f>INDEX('[5]Page 3'!$B:$DP,MATCH("0110",'[5]Page 3'!$R:$R,0),61)</f>
        <v>0</v>
      </c>
      <c r="F39" s="47">
        <f>INDEX('[6]Page 3'!$B:$DP,MATCH("0110",'[6]Page 3'!$R:$R,0),50)</f>
        <v>0</v>
      </c>
      <c r="G39" s="13">
        <f>INDEX('[6]Page 3'!$B:$DP,MATCH("0110",'[6]Page 3'!$R:$R,0),61)</f>
        <v>0</v>
      </c>
      <c r="H39" s="47"/>
      <c r="I39" s="13"/>
      <c r="J39" s="47"/>
      <c r="K39" s="13"/>
      <c r="L39" s="47"/>
      <c r="M39" s="13"/>
      <c r="N39" s="47"/>
      <c r="O39" s="13"/>
      <c r="P39" s="47"/>
      <c r="Q39" s="13"/>
      <c r="R39" s="47"/>
      <c r="S39" s="13"/>
      <c r="T39" s="47"/>
      <c r="U39" s="13"/>
      <c r="V39" s="47"/>
      <c r="W39" s="13"/>
      <c r="X39" s="47"/>
      <c r="Y39" s="13"/>
      <c r="Z39" s="47"/>
      <c r="AA39" s="13"/>
      <c r="AB39" s="47">
        <f t="shared" si="0"/>
        <v>0</v>
      </c>
      <c r="AC39" s="13">
        <f t="shared" si="1"/>
        <v>0</v>
      </c>
    </row>
    <row r="40" spans="1:29">
      <c r="A40" s="5" t="s">
        <v>8</v>
      </c>
      <c r="B40" s="47">
        <f>INDEX('[4]Page 3'!$B:$DP,MATCH("0130",'[4]Page 3'!$R:$R,0),50)</f>
        <v>144</v>
      </c>
      <c r="C40" s="13">
        <f>INDEX('[4]Page 3'!$B:$DP,MATCH("0130",'[4]Page 3'!$R:$R,0),61)</f>
        <v>1230</v>
      </c>
      <c r="D40" s="47">
        <f>INDEX('[5]Page 3'!$B:$DP,MATCH("0130",'[5]Page 3'!$R:$R,0),50)</f>
        <v>645</v>
      </c>
      <c r="E40" s="13">
        <f>INDEX('[5]Page 3'!$B:$DP,MATCH("0130",'[5]Page 3'!$R:$R,0),61)</f>
        <v>1957</v>
      </c>
      <c r="F40" s="47">
        <f>INDEX('[6]Page 3'!$B:$DP,MATCH("0130",'[6]Page 3'!$R:$R,0),50)</f>
        <v>75</v>
      </c>
      <c r="G40" s="13">
        <f>INDEX('[6]Page 3'!$B:$DP,MATCH("0130",'[6]Page 3'!$R:$R,0),61)</f>
        <v>1195</v>
      </c>
      <c r="H40" s="47">
        <f>IFERROR(VLOOKUP("Policy Expense - Serv, Body, P &amp; A",'[7]PAGE 3'!$B:$W,20,FALSE),0)</f>
        <v>1861</v>
      </c>
      <c r="I40" s="13">
        <f>IFERROR(VLOOKUP("Policy Expense - Serv, Body, P &amp; A",'[7]PAGE 3'!$B:$W,22,FALSE),0)</f>
        <v>8954</v>
      </c>
      <c r="J40" s="47">
        <f>IFERROR(VLOOKUP("Policy Expense - Serv, Body, P &amp; A",'[8]PAGE 3'!$B:$W,20,FALSE),0)</f>
        <v>86</v>
      </c>
      <c r="K40" s="13">
        <f>IFERROR(VLOOKUP("Policy Expense - Serv, Body, P &amp; A",'[8]PAGE 3'!$B:$W,22,FALSE),0)</f>
        <v>16271</v>
      </c>
      <c r="L40" s="47"/>
      <c r="M40" s="13"/>
      <c r="N40" s="47">
        <f>IFERROR(VLOOKUP("Policy &amp; Claims Adjustments",'[9]PAGE 3'!$B:$S,14,FALSE),0)</f>
        <v>1363</v>
      </c>
      <c r="O40" s="13">
        <f>IFERROR(VLOOKUP("Policy &amp; Claims Adjustments",'[9]PAGE 3'!$B:$S,16,FALSE),0)</f>
        <v>7388</v>
      </c>
      <c r="P40" s="47">
        <f>'[2]PAGE 5'!$C$55</f>
        <v>532</v>
      </c>
      <c r="Q40" s="13">
        <f>'[2]PAGE 5'!$M$55</f>
        <v>26511</v>
      </c>
      <c r="R40" s="47">
        <f>SUM([3]P5!$D$109)</f>
        <v>75</v>
      </c>
      <c r="S40" s="13">
        <f>SUM([3]P5!$L$109)</f>
        <v>978</v>
      </c>
      <c r="T40" s="47">
        <f>SUM([13]P5!$D$109)</f>
        <v>0</v>
      </c>
      <c r="U40" s="13">
        <f>SUM([13]P5!$L$109)</f>
        <v>0</v>
      </c>
      <c r="V40" s="47">
        <f>+INDEX('[10]PAGE 3'!$1:$1048576,MATCH("Policy Work - service, parts &amp; body shop depts",'[10]PAGE 3'!$B:$B,0),14)</f>
        <v>0</v>
      </c>
      <c r="W40" s="13">
        <f>+INDEX('[10]PAGE 3'!$1:$1048576,MATCH("Policy Work - service, parts &amp; body shop depts",'[10]PAGE 3'!$B:$B,0),16)</f>
        <v>0</v>
      </c>
      <c r="X40" s="47">
        <f>IFERROR(VLOOKUP("Policy &amp; Claims Adjustments",'[11]PAGE 3'!$B:$S,14,FALSE),0)</f>
        <v>0</v>
      </c>
      <c r="Y40" s="13">
        <f>IFERROR(VLOOKUP("Policy &amp; Claims Adjustments",'[11]PAGE 3'!$B:$S,16,FALSE),0)</f>
        <v>0</v>
      </c>
      <c r="Z40" s="47">
        <f>IFERROR(VLOOKUP("Policy &amp; Claims Adjustments",'[12]PAGE 3'!$B:$S,14,FALSE),0)</f>
        <v>304</v>
      </c>
      <c r="AA40" s="13">
        <f>IFERROR(VLOOKUP("Policy &amp; Claims Adjustments",'[12]PAGE 3'!$B:$S,16,FALSE),0)</f>
        <v>857</v>
      </c>
      <c r="AB40" s="47">
        <f t="shared" si="0"/>
        <v>5085</v>
      </c>
      <c r="AC40" s="13">
        <f t="shared" si="1"/>
        <v>65341</v>
      </c>
    </row>
    <row r="41" spans="1:29">
      <c r="A41" s="5" t="s">
        <v>9</v>
      </c>
      <c r="B41" s="47"/>
      <c r="C41" s="13"/>
      <c r="D41" s="47"/>
      <c r="E41" s="13"/>
      <c r="F41" s="47"/>
      <c r="G41" s="13"/>
      <c r="H41" s="47">
        <f>IFERROR(VLOOKUP("",'[7]PAGE 3'!$B:$W,20,FALSE),0)</f>
        <v>0</v>
      </c>
      <c r="I41" s="13">
        <f>IFERROR(VLOOKUP("",'[7]PAGE 3'!$B:$W,22,FALSE),0)</f>
        <v>0</v>
      </c>
      <c r="J41" s="47">
        <f>IFERROR(VLOOKUP("",'[8]PAGE 3'!$B:$W,20,FALSE),0)</f>
        <v>0</v>
      </c>
      <c r="K41" s="13">
        <f>IFERROR(VLOOKUP("",'[8]PAGE 3'!$B:$W,22,FALSE),0)</f>
        <v>0</v>
      </c>
      <c r="L41" s="47"/>
      <c r="M41" s="13"/>
      <c r="N41" s="47">
        <f>IFERROR(VLOOKUP("",'[9]PAGE 3'!$B:$S,14,FALSE),0)</f>
        <v>0</v>
      </c>
      <c r="O41" s="13">
        <f>IFERROR(VLOOKUP("",'[9]PAGE 3'!$B:$S,16,FALSE),0)</f>
        <v>0</v>
      </c>
      <c r="P41" s="47"/>
      <c r="Q41" s="13"/>
      <c r="R41" s="47"/>
      <c r="S41" s="13"/>
      <c r="T41" s="47"/>
      <c r="U41" s="13"/>
      <c r="V41" s="47"/>
      <c r="W41" s="13"/>
      <c r="X41" s="47">
        <f>IFERROR(VLOOKUP("",'[11]PAGE 3'!$B:$S,14,FALSE),0)</f>
        <v>0</v>
      </c>
      <c r="Y41" s="13">
        <f>IFERROR(VLOOKUP("",'[11]PAGE 3'!$B:$S,16,FALSE),0)</f>
        <v>0</v>
      </c>
      <c r="Z41" s="47">
        <f>IFERROR(VLOOKUP("",'[12]PAGE 3'!$B:$S,14,FALSE),0)</f>
        <v>0</v>
      </c>
      <c r="AA41" s="13">
        <f>IFERROR(VLOOKUP("",'[12]PAGE 3'!$B:$S,16,FALSE),0)</f>
        <v>0</v>
      </c>
      <c r="AB41" s="47">
        <f t="shared" si="0"/>
        <v>0</v>
      </c>
      <c r="AC41" s="13">
        <f t="shared" si="1"/>
        <v>0</v>
      </c>
    </row>
    <row r="42" spans="1:29">
      <c r="A42" s="5" t="s">
        <v>214</v>
      </c>
      <c r="B42" s="47">
        <f>INDEX('[4]Page 3'!$B:$DP,MATCH("0140",'[4]Page 3'!$R:$R,0),50)</f>
        <v>0</v>
      </c>
      <c r="C42" s="13">
        <f>INDEX('[4]Page 3'!$B:$DP,MATCH("0140",'[4]Page 3'!$R:$R,0),61)</f>
        <v>0</v>
      </c>
      <c r="D42" s="47">
        <f>INDEX('[5]Page 3'!$B:$DP,MATCH("0140",'[5]Page 3'!$R:$R,0),50)</f>
        <v>0</v>
      </c>
      <c r="E42" s="13">
        <f>INDEX('[5]Page 3'!$B:$DP,MATCH("0140",'[5]Page 3'!$R:$R,0),61)</f>
        <v>0</v>
      </c>
      <c r="F42" s="47">
        <f>INDEX('[6]Page 3'!$B:$DP,MATCH("0140",'[6]Page 3'!$R:$R,0),50)</f>
        <v>0</v>
      </c>
      <c r="G42" s="13">
        <f>INDEX('[6]Page 3'!$B:$DP,MATCH("0140",'[6]Page 3'!$R:$R,0),61)</f>
        <v>0</v>
      </c>
      <c r="H42" s="47"/>
      <c r="I42" s="13"/>
      <c r="J42" s="47"/>
      <c r="K42" s="13"/>
      <c r="L42" s="47"/>
      <c r="M42" s="13"/>
      <c r="N42" s="47">
        <f>IFERROR(VLOOKUP("",'[9]PAGE 3'!$B:$S,14,FALSE),0)</f>
        <v>0</v>
      </c>
      <c r="O42" s="13">
        <f>IFERROR(VLOOKUP("",'[9]PAGE 3'!$B:$S,16,FALSE),0)</f>
        <v>0</v>
      </c>
      <c r="P42" s="47"/>
      <c r="Q42" s="13"/>
      <c r="R42" s="47"/>
      <c r="S42" s="13"/>
      <c r="T42" s="47"/>
      <c r="U42" s="13"/>
      <c r="V42" s="47"/>
      <c r="W42" s="13"/>
      <c r="X42" s="47">
        <f>IFERROR(VLOOKUP("",'[11]PAGE 3'!$B:$S,14,FALSE),0)</f>
        <v>0</v>
      </c>
      <c r="Y42" s="13">
        <f>IFERROR(VLOOKUP("",'[11]PAGE 3'!$B:$S,16,FALSE),0)</f>
        <v>0</v>
      </c>
      <c r="Z42" s="47">
        <f>IFERROR(VLOOKUP("",'[12]PAGE 3'!$B:$S,14,FALSE),0)</f>
        <v>0</v>
      </c>
      <c r="AA42" s="13">
        <f>IFERROR(VLOOKUP("",'[12]PAGE 3'!$B:$S,16,FALSE),0)</f>
        <v>0</v>
      </c>
      <c r="AB42" s="47">
        <f t="shared" si="0"/>
        <v>0</v>
      </c>
      <c r="AC42" s="13">
        <f t="shared" si="1"/>
        <v>0</v>
      </c>
    </row>
    <row r="43" spans="1:29">
      <c r="A43" s="5" t="s">
        <v>10</v>
      </c>
      <c r="B43" s="47">
        <f>INDEX('[4]Page 3'!$B:$DP,MATCH("0150",'[4]Page 3'!$R:$R,0),50)</f>
        <v>3277</v>
      </c>
      <c r="C43" s="13">
        <f>INDEX('[4]Page 3'!$B:$DP,MATCH("0150",'[4]Page 3'!$R:$R,0),61)</f>
        <v>31776</v>
      </c>
      <c r="D43" s="47">
        <f>INDEX('[5]Page 3'!$B:$DP,MATCH("0150",'[5]Page 3'!$R:$R,0),50)</f>
        <v>0</v>
      </c>
      <c r="E43" s="13">
        <f>INDEX('[5]Page 3'!$B:$DP,MATCH("0150",'[5]Page 3'!$R:$R,0),61)</f>
        <v>0</v>
      </c>
      <c r="F43" s="47">
        <f>INDEX('[6]Page 3'!$B:$DP,MATCH("0150",'[6]Page 3'!$R:$R,0),50)</f>
        <v>563</v>
      </c>
      <c r="G43" s="13">
        <f>INDEX('[6]Page 3'!$B:$DP,MATCH("0150",'[6]Page 3'!$R:$R,0),61)</f>
        <v>12597</v>
      </c>
      <c r="H43" s="47">
        <f>IFERROR(VLOOKUP("",'[7]PAGE 3'!$B:$W,20,FALSE),0)</f>
        <v>0</v>
      </c>
      <c r="I43" s="13">
        <f>IFERROR(VLOOKUP("",'[7]PAGE 3'!$B:$W,22,FALSE),0)</f>
        <v>0</v>
      </c>
      <c r="J43" s="47">
        <f>IFERROR(VLOOKUP("",'[8]PAGE 3'!$B:$W,20,FALSE),0)</f>
        <v>0</v>
      </c>
      <c r="K43" s="13">
        <f>IFERROR(VLOOKUP("",'[8]PAGE 3'!$B:$W,22,FALSE),0)</f>
        <v>0</v>
      </c>
      <c r="L43" s="47"/>
      <c r="M43" s="13"/>
      <c r="N43" s="47">
        <f>IFERROR(VLOOKUP("Advertising - Departmental",'[9]PAGE 3'!$B:$S,14,FALSE),0)</f>
        <v>2007</v>
      </c>
      <c r="O43" s="13">
        <f>IFERROR(VLOOKUP("Advertising - Departmental",'[9]PAGE 3'!$B:$S,16,FALSE),0)</f>
        <v>18052</v>
      </c>
      <c r="P43" s="47">
        <f>'[2]PAGE 5'!$C$52</f>
        <v>1367</v>
      </c>
      <c r="Q43" s="13">
        <f>'[2]PAGE 5'!$M$52</f>
        <v>17160</v>
      </c>
      <c r="R43" s="47">
        <f>[3]P5!$D$103</f>
        <v>1574</v>
      </c>
      <c r="S43" s="13">
        <f>[3]P5!$L$103</f>
        <v>18851</v>
      </c>
      <c r="T43" s="47">
        <f>[13]P5!$D$103</f>
        <v>0</v>
      </c>
      <c r="U43" s="13">
        <f>[13]P5!$L$103</f>
        <v>0</v>
      </c>
      <c r="V43" s="47">
        <f>'[10]PAGE 3'!$N$30+SUM('[10]PAGE 3'!$N$27:$O$27)+SUM('[10]PAGE 3'!$N$28:$O$28)</f>
        <v>427</v>
      </c>
      <c r="W43" s="13">
        <f>'[10]PAGE 3'!$P$30+SUM('[10]PAGE 3'!$P$27:$Q$27)+SUM('[10]PAGE 3'!$P$28:$Q$28)</f>
        <v>8566</v>
      </c>
      <c r="X43" s="47">
        <f>IFERROR(VLOOKUP("Advertising - Departmental",'[11]PAGE 3'!$B:$S,14,FALSE),0)</f>
        <v>0</v>
      </c>
      <c r="Y43" s="13">
        <f>IFERROR(VLOOKUP("Advertising - Departmental",'[11]PAGE 3'!$B:$S,16,FALSE),0)</f>
        <v>0</v>
      </c>
      <c r="Z43" s="47">
        <f>IFERROR(VLOOKUP("Advertising - Departmental",'[12]PAGE 3'!$B:$S,14,FALSE),0)</f>
        <v>786</v>
      </c>
      <c r="AA43" s="13">
        <f>IFERROR(VLOOKUP("Advertising - Departmental",'[12]PAGE 3'!$B:$S,16,FALSE),0)</f>
        <v>2063</v>
      </c>
      <c r="AB43" s="47">
        <f t="shared" si="0"/>
        <v>10001</v>
      </c>
      <c r="AC43" s="13">
        <f t="shared" si="1"/>
        <v>109065</v>
      </c>
    </row>
    <row r="44" spans="1:29">
      <c r="A44" s="6" t="s">
        <v>52</v>
      </c>
      <c r="B44" s="47">
        <f>-INDEX('[4]Page 3'!$B:$DP,MATCH("0170",'[4]Page 3'!$R:$R,0),50)</f>
        <v>0</v>
      </c>
      <c r="C44" s="13">
        <f>-INDEX('[4]Page 3'!$B:$DP,MATCH("0170",'[4]Page 3'!$R:$R,0),61)</f>
        <v>0</v>
      </c>
      <c r="D44" s="47">
        <f>-INDEX('[5]Page 3'!$B:$DP,MATCH("0170",'[5]Page 3'!$R:$R,0),50)</f>
        <v>0</v>
      </c>
      <c r="E44" s="13">
        <f>-INDEX('[5]Page 3'!$B:$DP,MATCH("0170",'[5]Page 3'!$R:$R,0),61)</f>
        <v>0</v>
      </c>
      <c r="F44" s="47">
        <f>-INDEX('[6]Page 3'!$B:$DP,MATCH("0170",'[6]Page 3'!$R:$R,0),50)</f>
        <v>0</v>
      </c>
      <c r="G44" s="13">
        <f>-INDEX('[6]Page 3'!$B:$DP,MATCH("0170",'[6]Page 3'!$R:$R,0),61)</f>
        <v>0</v>
      </c>
      <c r="H44" s="47">
        <f>IFERROR(VLOOKUP("",'[7]PAGE 3'!$B:$W,20,FALSE),0)</f>
        <v>0</v>
      </c>
      <c r="I44" s="13">
        <f>IFERROR(VLOOKUP("",'[7]PAGE 3'!$B:$W,22,FALSE),0)</f>
        <v>0</v>
      </c>
      <c r="J44" s="47">
        <f>IFERROR(VLOOKUP("",'[8]PAGE 3'!$B:$W,20,FALSE),0)</f>
        <v>0</v>
      </c>
      <c r="K44" s="13">
        <f>IFERROR(VLOOKUP("",'[8]PAGE 3'!$B:$W,22,FALSE),0)</f>
        <v>0</v>
      </c>
      <c r="L44" s="47"/>
      <c r="M44" s="13"/>
      <c r="N44" s="47">
        <f>IFERROR(VLOOKUP("",'[9]PAGE 3'!$B:$S,14,FALSE),0)</f>
        <v>0</v>
      </c>
      <c r="O44" s="13">
        <f>IFERROR(VLOOKUP("",'[9]PAGE 3'!$B:$S,16,FALSE),0)</f>
        <v>0</v>
      </c>
      <c r="P44" s="47">
        <f>'[2]PAGE 5'!$C$53</f>
        <v>-137</v>
      </c>
      <c r="Q44" s="13">
        <f>'[2]PAGE 5'!$M$53</f>
        <v>-1964</v>
      </c>
      <c r="R44" s="47"/>
      <c r="S44" s="13"/>
      <c r="T44" s="47"/>
      <c r="U44" s="13"/>
      <c r="V44" s="47"/>
      <c r="W44" s="13"/>
      <c r="X44" s="47">
        <f>IFERROR(VLOOKUP("",'[11]PAGE 3'!$B:$S,14,FALSE),0)</f>
        <v>0</v>
      </c>
      <c r="Y44" s="13">
        <f>IFERROR(VLOOKUP("",'[11]PAGE 3'!$B:$S,16,FALSE),0)</f>
        <v>0</v>
      </c>
      <c r="Z44" s="47">
        <f>IFERROR(VLOOKUP("",'[12]PAGE 3'!$B:$S,14,FALSE),0)</f>
        <v>0</v>
      </c>
      <c r="AA44" s="13">
        <f>IFERROR(VLOOKUP("",'[12]PAGE 3'!$B:$S,16,FALSE),0)</f>
        <v>0</v>
      </c>
      <c r="AB44" s="47">
        <f t="shared" si="0"/>
        <v>-137</v>
      </c>
      <c r="AC44" s="13">
        <f t="shared" si="1"/>
        <v>-1964</v>
      </c>
    </row>
    <row r="45" spans="1:29">
      <c r="A45" s="7" t="s">
        <v>11</v>
      </c>
      <c r="B45" s="47">
        <f>INDEX('[4]Page 3'!$B:$DP,MATCH("0160",'[4]Page 3'!$R:$R,0),50)</f>
        <v>0</v>
      </c>
      <c r="C45" s="13">
        <f>INDEX('[4]Page 3'!$B:$DP,MATCH("0160",'[4]Page 3'!$R:$R,0),61)</f>
        <v>0</v>
      </c>
      <c r="D45" s="47">
        <f>INDEX('[5]Page 3'!$B:$DP,MATCH("0160",'[5]Page 3'!$R:$R,0),50)</f>
        <v>0</v>
      </c>
      <c r="E45" s="13">
        <f>INDEX('[5]Page 3'!$B:$DP,MATCH("0160",'[5]Page 3'!$R:$R,0),61)</f>
        <v>0</v>
      </c>
      <c r="F45" s="47">
        <f>INDEX('[6]Page 3'!$B:$DP,MATCH("0160",'[6]Page 3'!$R:$R,0),50)</f>
        <v>0</v>
      </c>
      <c r="G45" s="13">
        <f>INDEX('[6]Page 3'!$B:$DP,MATCH("0160",'[6]Page 3'!$R:$R,0),61)</f>
        <v>0</v>
      </c>
      <c r="H45" s="47"/>
      <c r="I45" s="13"/>
      <c r="J45" s="47"/>
      <c r="K45" s="13"/>
      <c r="L45" s="47"/>
      <c r="M45" s="13"/>
      <c r="N45" s="47"/>
      <c r="O45" s="13"/>
      <c r="P45" s="47"/>
      <c r="Q45" s="13"/>
      <c r="R45" s="47"/>
      <c r="S45" s="13"/>
      <c r="T45" s="47"/>
      <c r="U45" s="13"/>
      <c r="V45" s="47"/>
      <c r="W45" s="13"/>
      <c r="X45" s="47"/>
      <c r="Y45" s="13"/>
      <c r="Z45" s="47"/>
      <c r="AA45" s="13"/>
      <c r="AB45" s="47">
        <f t="shared" si="0"/>
        <v>0</v>
      </c>
      <c r="AC45" s="13">
        <f t="shared" si="1"/>
        <v>0</v>
      </c>
    </row>
    <row r="46" spans="1:29">
      <c r="A46" s="6" t="s">
        <v>53</v>
      </c>
      <c r="B46" s="47">
        <f>-INDEX('[4]Page 3'!$B:$DP,MATCH("0180",'[4]Page 3'!$R:$R,0),50)</f>
        <v>0</v>
      </c>
      <c r="C46" s="13">
        <f>-INDEX('[4]Page 3'!$B:$DP,MATCH("0180",'[4]Page 3'!$R:$R,0),61)</f>
        <v>0</v>
      </c>
      <c r="D46" s="47">
        <f>-INDEX('[5]Page 3'!$B:$DP,MATCH("0180",'[5]Page 3'!$R:$R,0),50)</f>
        <v>0</v>
      </c>
      <c r="E46" s="13">
        <f>-INDEX('[5]Page 3'!$B:$DP,MATCH("0180",'[5]Page 3'!$R:$R,0),61)</f>
        <v>0</v>
      </c>
      <c r="F46" s="47">
        <f>-INDEX('[6]Page 3'!$B:$DP,MATCH("0180",'[6]Page 3'!$R:$R,0),50)</f>
        <v>0</v>
      </c>
      <c r="G46" s="13">
        <f>-INDEX('[6]Page 3'!$B:$DP,MATCH("0180",'[6]Page 3'!$R:$R,0),61)</f>
        <v>0</v>
      </c>
      <c r="H46" s="47"/>
      <c r="I46" s="13"/>
      <c r="J46" s="47"/>
      <c r="K46" s="13"/>
      <c r="L46" s="47"/>
      <c r="M46" s="13"/>
      <c r="N46" s="47"/>
      <c r="O46" s="13"/>
      <c r="P46" s="47"/>
      <c r="Q46" s="13"/>
      <c r="R46" s="47"/>
      <c r="S46" s="13"/>
      <c r="T46" s="47"/>
      <c r="U46" s="13"/>
      <c r="V46" s="47"/>
      <c r="W46" s="13"/>
      <c r="X46" s="47"/>
      <c r="Y46" s="13"/>
      <c r="Z46" s="47"/>
      <c r="AA46" s="13"/>
      <c r="AB46" s="47">
        <f t="shared" si="0"/>
        <v>0</v>
      </c>
      <c r="AC46" s="13">
        <f t="shared" si="1"/>
        <v>0</v>
      </c>
    </row>
    <row r="47" spans="1:29">
      <c r="A47" s="5" t="s">
        <v>12</v>
      </c>
      <c r="B47" s="47">
        <f>-INDEX('[4]Page 3'!$B:$DP,MATCH("0190",'[4]Page 3'!$R:$R,0),50)</f>
        <v>0</v>
      </c>
      <c r="C47" s="13">
        <f>-INDEX('[4]Page 3'!$B:$DP,MATCH("0190",'[4]Page 3'!$R:$R,0),61)</f>
        <v>0</v>
      </c>
      <c r="D47" s="47">
        <f>-INDEX('[5]Page 3'!$B:$DP,MATCH("0190",'[5]Page 3'!$R:$R,0),50)</f>
        <v>0</v>
      </c>
      <c r="E47" s="13">
        <f>-INDEX('[5]Page 3'!$B:$DP,MATCH("0190",'[5]Page 3'!$R:$R,0),61)</f>
        <v>0</v>
      </c>
      <c r="F47" s="47">
        <f>-INDEX('[6]Page 3'!$B:$DP,MATCH("0190",'[6]Page 3'!$R:$R,0),50)</f>
        <v>0</v>
      </c>
      <c r="G47" s="13">
        <f>-INDEX('[6]Page 3'!$B:$DP,MATCH("0190",'[6]Page 3'!$R:$R,0),61)</f>
        <v>0</v>
      </c>
      <c r="H47" s="47"/>
      <c r="I47" s="13"/>
      <c r="J47" s="47"/>
      <c r="K47" s="13"/>
      <c r="L47" s="47"/>
      <c r="M47" s="13"/>
      <c r="N47" s="47">
        <f>IFERROR(VLOOKUP("Inventory Maintenance",'[9]PAGE 3'!$B:$S,14,FALSE),0)</f>
        <v>0</v>
      </c>
      <c r="O47" s="13">
        <f>IFERROR(VLOOKUP("Inventory Maintenance",'[9]PAGE 3'!$B:$S,16,FALSE),0)</f>
        <v>0</v>
      </c>
      <c r="P47" s="47">
        <f>'[2]PAGE 5'!$C$59</f>
        <v>1405</v>
      </c>
      <c r="Q47" s="13">
        <f>'[2]PAGE 5'!$M$59</f>
        <v>6873</v>
      </c>
      <c r="R47" s="47"/>
      <c r="S47" s="13"/>
      <c r="T47" s="47"/>
      <c r="U47" s="13"/>
      <c r="V47" s="47"/>
      <c r="W47" s="13"/>
      <c r="X47" s="47">
        <f>IFERROR(VLOOKUP("Inventory Maintenance",'[11]PAGE 3'!$B:$S,14,FALSE),0)</f>
        <v>0</v>
      </c>
      <c r="Y47" s="13">
        <f>IFERROR(VLOOKUP("Inventory Maintenance",'[11]PAGE 3'!$B:$S,16,FALSE),0)</f>
        <v>0</v>
      </c>
      <c r="Z47" s="47">
        <f>IFERROR(VLOOKUP("Inventory Maintenance",'[12]PAGE 3'!$B:$S,14,FALSE),0)</f>
        <v>0</v>
      </c>
      <c r="AA47" s="13">
        <f>IFERROR(VLOOKUP("Inventory Maintenance",'[12]PAGE 3'!$B:$S,16,FALSE),0)</f>
        <v>0</v>
      </c>
      <c r="AB47" s="47">
        <f t="shared" si="0"/>
        <v>1405</v>
      </c>
      <c r="AC47" s="13">
        <f t="shared" si="1"/>
        <v>6873</v>
      </c>
    </row>
    <row r="48" spans="1:29">
      <c r="A48" s="11" t="s">
        <v>54</v>
      </c>
      <c r="B48" s="16">
        <f t="shared" ref="B48:C48" si="19">SUM(B36:B47)</f>
        <v>13671</v>
      </c>
      <c r="C48" s="17">
        <f t="shared" si="19"/>
        <v>152181</v>
      </c>
      <c r="D48" s="16">
        <f t="shared" ref="D48:E48" si="20">SUM(D36:D47)</f>
        <v>13505</v>
      </c>
      <c r="E48" s="17">
        <f t="shared" si="20"/>
        <v>110602</v>
      </c>
      <c r="F48" s="16">
        <f t="shared" ref="F48:G48" si="21">SUM(F36:F47)</f>
        <v>8955</v>
      </c>
      <c r="G48" s="17">
        <f t="shared" si="21"/>
        <v>123900</v>
      </c>
      <c r="H48" s="16">
        <f>SUM(H36:H44)</f>
        <v>1861</v>
      </c>
      <c r="I48" s="17">
        <f>SUM(I36:I44)</f>
        <v>8954</v>
      </c>
      <c r="J48" s="16">
        <f>SUM(J36:J44)</f>
        <v>86</v>
      </c>
      <c r="K48" s="17">
        <f>SUM(K36:K44)</f>
        <v>16271</v>
      </c>
      <c r="L48" s="16"/>
      <c r="M48" s="17"/>
      <c r="N48" s="16">
        <f>SUM(N36:N44)</f>
        <v>23108</v>
      </c>
      <c r="O48" s="17">
        <f>SUM(O36:O44)</f>
        <v>262726</v>
      </c>
      <c r="P48" s="16">
        <f t="shared" ref="P48:S48" si="22">SUM(P36:P47)</f>
        <v>12473</v>
      </c>
      <c r="Q48" s="17">
        <f t="shared" si="22"/>
        <v>152316</v>
      </c>
      <c r="R48" s="16">
        <f t="shared" si="22"/>
        <v>1649</v>
      </c>
      <c r="S48" s="17">
        <f t="shared" si="22"/>
        <v>19829</v>
      </c>
      <c r="T48" s="16">
        <f t="shared" ref="T48:U48" si="23">SUM(T36:T47)</f>
        <v>0</v>
      </c>
      <c r="U48" s="17">
        <f t="shared" si="23"/>
        <v>0</v>
      </c>
      <c r="V48" s="16">
        <f t="shared" ref="V48:W48" si="24">SUM(V35:V47)</f>
        <v>427</v>
      </c>
      <c r="W48" s="17">
        <f t="shared" si="24"/>
        <v>8566</v>
      </c>
      <c r="X48" s="16">
        <f>SUM(X36:X44)</f>
        <v>0</v>
      </c>
      <c r="Y48" s="17">
        <f>SUM(Y36:Y44)</f>
        <v>0</v>
      </c>
      <c r="Z48" s="16">
        <f>SUM(Z36:Z44)</f>
        <v>1175</v>
      </c>
      <c r="AA48" s="17">
        <f>SUM(AA36:AA44)</f>
        <v>7521</v>
      </c>
      <c r="AB48" s="16">
        <f t="shared" si="0"/>
        <v>76910</v>
      </c>
      <c r="AC48" s="17">
        <f t="shared" si="1"/>
        <v>862866</v>
      </c>
    </row>
    <row r="49" spans="1:29">
      <c r="A49" s="4"/>
      <c r="B49" s="22"/>
      <c r="C49" s="23"/>
      <c r="D49" s="22"/>
      <c r="E49" s="23"/>
      <c r="F49" s="22"/>
      <c r="G49" s="23"/>
      <c r="H49" s="22"/>
      <c r="I49" s="23"/>
      <c r="J49" s="22"/>
      <c r="K49" s="23"/>
      <c r="L49" s="22"/>
      <c r="M49" s="23"/>
      <c r="N49" s="22"/>
      <c r="O49" s="23"/>
      <c r="P49" s="22"/>
      <c r="Q49" s="23"/>
      <c r="R49" s="22"/>
      <c r="S49" s="23"/>
      <c r="T49" s="22"/>
      <c r="U49" s="23"/>
      <c r="V49" s="22"/>
      <c r="W49" s="23"/>
      <c r="X49" s="22"/>
      <c r="Y49" s="23"/>
      <c r="Z49" s="22"/>
      <c r="AA49" s="23"/>
      <c r="AB49" s="22">
        <f t="shared" si="0"/>
        <v>0</v>
      </c>
      <c r="AC49" s="23">
        <f t="shared" si="1"/>
        <v>0</v>
      </c>
    </row>
    <row r="50" spans="1:29">
      <c r="A50" s="5" t="s">
        <v>13</v>
      </c>
      <c r="B50" s="47">
        <f>INDEX('[4]Page 3'!$B:$DP,MATCH("0200",'[4]Page 3'!$R:$R,0),50)</f>
        <v>6938</v>
      </c>
      <c r="C50" s="13">
        <f>INDEX('[4]Page 3'!$B:$DP,MATCH("0200",'[4]Page 3'!$R:$R,0),61)</f>
        <v>80415</v>
      </c>
      <c r="D50" s="47">
        <f>INDEX('[5]Page 3'!$B:$DP,MATCH("0200",'[5]Page 3'!$R:$R,0),50)</f>
        <v>700</v>
      </c>
      <c r="E50" s="13">
        <f>INDEX('[5]Page 3'!$B:$DP,MATCH("0200",'[5]Page 3'!$R:$R,0),61)</f>
        <v>7246</v>
      </c>
      <c r="F50" s="47">
        <f>INDEX('[6]Page 3'!$B:$DP,MATCH("0200",'[6]Page 3'!$R:$R,0),50)</f>
        <v>7330</v>
      </c>
      <c r="G50" s="13">
        <f>INDEX('[6]Page 3'!$B:$DP,MATCH("0200",'[6]Page 3'!$R:$R,0),61)</f>
        <v>60416</v>
      </c>
      <c r="H50" s="47">
        <f>IFERROR(VLOOKUP("Compensation  Owners",'[7]PAGE 3'!$B:$W,20,FALSE),0)</f>
        <v>4049</v>
      </c>
      <c r="I50" s="13">
        <f>IFERROR(VLOOKUP("Compensation  Owners",'[7]PAGE 3'!$B:$W,22,FALSE),0)</f>
        <v>36639</v>
      </c>
      <c r="J50" s="47">
        <f>IFERROR(VLOOKUP("Compensation  Owners",'[8]PAGE 3'!$B:$W,20,FALSE),0)</f>
        <v>3440</v>
      </c>
      <c r="K50" s="13">
        <f>IFERROR(VLOOKUP("Compensation  Owners",'[8]PAGE 3'!$B:$W,22,FALSE),0)</f>
        <v>30465</v>
      </c>
      <c r="L50" s="47"/>
      <c r="M50" s="13"/>
      <c r="N50" s="47">
        <f>IFERROR(VLOOKUP("Owners Salaries",'[9]PAGE 3'!$B:$S,14,FALSE),0)</f>
        <v>6779</v>
      </c>
      <c r="O50" s="13">
        <f>IFERROR(VLOOKUP("Owners Salaries",'[9]PAGE 3'!$B:$S,16,FALSE),0)</f>
        <v>50109</v>
      </c>
      <c r="P50" s="47">
        <f>'[2]PAGE 2'!$BF$15</f>
        <v>3587</v>
      </c>
      <c r="Q50" s="13">
        <f>'[2]PAGE 2'!$BF$16</f>
        <v>33912</v>
      </c>
      <c r="R50" s="47">
        <f>IF([3]P2!$AQ$29&lt;&gt;"",[3]P2!$AQ$29)</f>
        <v>3992</v>
      </c>
      <c r="S50" s="13">
        <f>[3]P2!$AQ$31</f>
        <v>52416</v>
      </c>
      <c r="T50" s="47">
        <f>[13]P2!$AQ$29</f>
        <v>1952</v>
      </c>
      <c r="U50" s="13">
        <f>[13]P2!$AQ$31</f>
        <v>28512</v>
      </c>
      <c r="V50" s="47">
        <f>+INDEX('[10]PAGE 3'!$1:$1048576,MATCH("Salaries - Owners/General Managers",'[10]PAGE 3'!$B:$B,0),14)</f>
        <v>0</v>
      </c>
      <c r="W50" s="13">
        <f>+INDEX('[10]PAGE 3'!$1:$1048576,MATCH("Salaries - Owners/General Managers",'[10]PAGE 3'!$B:$B,0),16)</f>
        <v>3055</v>
      </c>
      <c r="X50" s="47">
        <f>IFERROR(VLOOKUP("Owners Salaries",'[11]PAGE 3'!$B:$S,14,FALSE),0)</f>
        <v>0</v>
      </c>
      <c r="Y50" s="13">
        <f>IFERROR(VLOOKUP("Owners Salaries",'[11]PAGE 3'!$B:$S,16,FALSE),0)</f>
        <v>0</v>
      </c>
      <c r="Z50" s="47">
        <f>IFERROR(VLOOKUP("Owners Salaries",'[12]PAGE 3'!$B:$S,14,FALSE),0)</f>
        <v>4000</v>
      </c>
      <c r="AA50" s="13">
        <f>IFERROR(VLOOKUP("Owners Salaries",'[12]PAGE 3'!$B:$S,16,FALSE),0)</f>
        <v>15950</v>
      </c>
      <c r="AB50" s="47">
        <f t="shared" si="0"/>
        <v>42767</v>
      </c>
      <c r="AC50" s="13">
        <f t="shared" si="1"/>
        <v>399135</v>
      </c>
    </row>
    <row r="51" spans="1:29">
      <c r="A51" s="5" t="s">
        <v>14</v>
      </c>
      <c r="B51" s="47">
        <f>INDEX('[4]Page 3'!$B:$DP,MATCH("0210",'[4]Page 3'!$R:$R,0),50)</f>
        <v>11061</v>
      </c>
      <c r="C51" s="13">
        <f>INDEX('[4]Page 3'!$B:$DP,MATCH("0210",'[4]Page 3'!$R:$R,0),61)</f>
        <v>123046</v>
      </c>
      <c r="D51" s="47">
        <f>INDEX('[5]Page 3'!$B:$DP,MATCH("0210",'[5]Page 3'!$R:$R,0),50)</f>
        <v>14159</v>
      </c>
      <c r="E51" s="13">
        <f>INDEX('[5]Page 3'!$B:$DP,MATCH("0210",'[5]Page 3'!$R:$R,0),61)</f>
        <v>202786</v>
      </c>
      <c r="F51" s="47">
        <f>INDEX('[6]Page 3'!$B:$DP,MATCH("0210",'[6]Page 3'!$R:$R,0),50)</f>
        <v>17139</v>
      </c>
      <c r="G51" s="13">
        <f>INDEX('[6]Page 3'!$B:$DP,MATCH("0210",'[6]Page 3'!$R:$R,0),61)</f>
        <v>194856</v>
      </c>
      <c r="H51" s="47">
        <f>IFERROR(VLOOKUP("Compensation  Supervisors",'[7]PAGE 3'!$B:$W,20,FALSE),0)</f>
        <v>7891</v>
      </c>
      <c r="I51" s="13">
        <f>IFERROR(VLOOKUP("Compensation  Supervisors",'[7]PAGE 3'!$B:$W,22,FALSE),0)</f>
        <v>79780</v>
      </c>
      <c r="J51" s="47">
        <f>IFERROR(VLOOKUP("Compensation  Supervisors",'[8]PAGE 3'!$B:$W,20,FALSE),0)</f>
        <v>6119</v>
      </c>
      <c r="K51" s="13">
        <f>IFERROR(VLOOKUP("Compensation  Supervisors",'[8]PAGE 3'!$B:$W,22,FALSE),0)</f>
        <v>56752</v>
      </c>
      <c r="L51" s="47"/>
      <c r="M51" s="13"/>
      <c r="N51" s="47">
        <f>IFERROR(VLOOKUP("Supervision Compensation                     ",'[9]PAGE 3'!$B:$S,14,FALSE),0)</f>
        <v>15883</v>
      </c>
      <c r="O51" s="13">
        <f>IFERROR(VLOOKUP("Supervision Compensation                     ",'[9]PAGE 3'!$B:$S,16,FALSE),0)</f>
        <v>187766</v>
      </c>
      <c r="P51" s="47">
        <f>'[2]PAGE 5'!$C$49+$Q$3*('[2]PAGE 6'!$O$5)</f>
        <v>11018</v>
      </c>
      <c r="Q51" s="13">
        <f>'[2]PAGE 5'!$M$49+'[2]PAGE 6'!$BI$5</f>
        <v>71061</v>
      </c>
      <c r="R51" s="47">
        <f>SUM([3]P5!$D$97)+SUM([3]P6!$M$9)*S3</f>
        <v>7519</v>
      </c>
      <c r="S51" s="13">
        <f>SUM([3]P5!$L$97)+SUM([3]P6!$BG$9)</f>
        <v>77500</v>
      </c>
      <c r="T51" s="47">
        <f>SUM([13]P5!$D$97)+SUM([13]P6!$M$9)*U3</f>
        <v>2545</v>
      </c>
      <c r="U51" s="13">
        <f>SUM([13]P5!$L$97)+SUM([13]P6!$BG$9)</f>
        <v>16897</v>
      </c>
      <c r="V51" s="47">
        <f>+INDEX('[10]PAGE 3'!$1:$1048576,MATCH("Salaries - Supervision",'[10]PAGE 3'!$B:$B,0),14)</f>
        <v>5514</v>
      </c>
      <c r="W51" s="13">
        <f>+INDEX('[10]PAGE 3'!$1:$1048576,MATCH("Salaries - Supervision",'[10]PAGE 3'!$B:$B,0),16)</f>
        <v>39368</v>
      </c>
      <c r="X51" s="47">
        <f>IFERROR(VLOOKUP("Supervision Compensation                     ",'[11]PAGE 3'!$B:$S,14,FALSE),0)</f>
        <v>0</v>
      </c>
      <c r="Y51" s="13">
        <f>IFERROR(VLOOKUP("Supervision Compensation                     ",'[11]PAGE 3'!$B:$S,16,FALSE),0)</f>
        <v>0</v>
      </c>
      <c r="Z51" s="47">
        <f>IFERROR(VLOOKUP("Supervision Compensation                     ",'[12]PAGE 3'!$B:$S,14,FALSE),0)</f>
        <v>9504</v>
      </c>
      <c r="AA51" s="13">
        <f>IFERROR(VLOOKUP("Supervision Compensation                     ",'[12]PAGE 3'!$B:$S,16,FALSE),0)</f>
        <v>23775</v>
      </c>
      <c r="AB51" s="47">
        <f t="shared" si="0"/>
        <v>108352</v>
      </c>
      <c r="AC51" s="13">
        <f t="shared" si="1"/>
        <v>1073587</v>
      </c>
    </row>
    <row r="52" spans="1:29">
      <c r="A52" s="5" t="s">
        <v>15</v>
      </c>
      <c r="B52" s="47">
        <f>INDEX('[4]Page 3'!$B:$DP,MATCH("0220",'[4]Page 3'!$R:$R,0),50)</f>
        <v>2784</v>
      </c>
      <c r="C52" s="13">
        <f>INDEX('[4]Page 3'!$B:$DP,MATCH("0220",'[4]Page 3'!$R:$R,0),61)</f>
        <v>39235</v>
      </c>
      <c r="D52" s="47">
        <f>INDEX('[5]Page 3'!$B:$DP,MATCH("0220",'[5]Page 3'!$R:$R,0),50)</f>
        <v>3875</v>
      </c>
      <c r="E52" s="13">
        <f>INDEX('[5]Page 3'!$B:$DP,MATCH("0220",'[5]Page 3'!$R:$R,0),61)</f>
        <v>30672</v>
      </c>
      <c r="F52" s="47">
        <f>INDEX('[6]Page 3'!$B:$DP,MATCH("0220",'[6]Page 3'!$R:$R,0),50)</f>
        <v>559</v>
      </c>
      <c r="G52" s="13">
        <f>INDEX('[6]Page 3'!$B:$DP,MATCH("0220",'[6]Page 3'!$R:$R,0),61)</f>
        <v>16574</v>
      </c>
      <c r="H52" s="47">
        <f>IFERROR(VLOOKUP("Compensation  Clerical",'[7]PAGE 3'!$B:$W,20,FALSE),0)</f>
        <v>4726</v>
      </c>
      <c r="I52" s="13">
        <f>IFERROR(VLOOKUP("Compensation  Clerical",'[7]PAGE 3'!$B:$W,22,FALSE),0)</f>
        <v>47144</v>
      </c>
      <c r="J52" s="47">
        <f>IFERROR(VLOOKUP("Compensation  Clerical",'[8]PAGE 3'!$B:$W,20,FALSE),0)</f>
        <v>3873</v>
      </c>
      <c r="K52" s="13">
        <f>IFERROR(VLOOKUP("Compensation  Clerical",'[8]PAGE 3'!$B:$W,22,FALSE),0)</f>
        <v>35497</v>
      </c>
      <c r="L52" s="47"/>
      <c r="M52" s="13"/>
      <c r="N52" s="47">
        <f>IFERROR(VLOOKUP("Clerical Salaries                                  ",'[9]PAGE 3'!$B:$S,14,FALSE),0)</f>
        <v>0</v>
      </c>
      <c r="O52" s="13">
        <f>IFERROR(VLOOKUP("Clerical Salaries                                  ",'[9]PAGE 3'!$B:$S,16,FALSE),0)</f>
        <v>13799</v>
      </c>
      <c r="P52" s="47">
        <f>$Q$3*'[2]PAGE 6'!$O$6</f>
        <v>1626.2200916468598</v>
      </c>
      <c r="Q52" s="13">
        <f>'[2]PAGE 6'!$BI$6</f>
        <v>29815</v>
      </c>
      <c r="R52" s="47">
        <f>[3]P6!$M$11*S3</f>
        <v>4050.740375957625</v>
      </c>
      <c r="S52" s="13">
        <f>[3]P6!$BG$11</f>
        <v>36584</v>
      </c>
      <c r="T52" s="47">
        <f>[13]P6!$M$11*U3</f>
        <v>1815.6178896751242</v>
      </c>
      <c r="U52" s="13">
        <f>[13]P6!$BG$11</f>
        <v>20380</v>
      </c>
      <c r="V52" s="47">
        <f>+INDEX('[10]PAGE 3'!$1:$1048576,MATCH("Salaries - clerical",'[10]PAGE 3'!$B:$B,0),14)</f>
        <v>0</v>
      </c>
      <c r="W52" s="13">
        <f>+INDEX('[10]PAGE 3'!$1:$1048576,MATCH("Salaries - clerical",'[10]PAGE 3'!$B:$B,0),16)</f>
        <v>0</v>
      </c>
      <c r="X52" s="47">
        <f>IFERROR(VLOOKUP("Clerical Salaries                                  ",'[11]PAGE 3'!$B:$S,14,FALSE),0)</f>
        <v>0</v>
      </c>
      <c r="Y52" s="13">
        <f>IFERROR(VLOOKUP("Clerical Salaries                                  ",'[11]PAGE 3'!$B:$S,16,FALSE),0)</f>
        <v>0</v>
      </c>
      <c r="Z52" s="47">
        <f>IFERROR(VLOOKUP("Clerical Salaries                                  ",'[12]PAGE 3'!$B:$S,14,FALSE),0)</f>
        <v>0</v>
      </c>
      <c r="AA52" s="13">
        <f>IFERROR(VLOOKUP("Clerical Salaries                                  ",'[12]PAGE 3'!$B:$S,16,FALSE),0)</f>
        <v>0</v>
      </c>
      <c r="AB52" s="47">
        <f t="shared" si="0"/>
        <v>23309.57835727961</v>
      </c>
      <c r="AC52" s="13">
        <f t="shared" si="1"/>
        <v>269700</v>
      </c>
    </row>
    <row r="53" spans="1:29">
      <c r="A53" s="5" t="s">
        <v>16</v>
      </c>
      <c r="B53" s="47">
        <f>INDEX('[4]Page 3'!$B:$DP,MATCH("0230",'[4]Page 3'!$R:$R,0),50)</f>
        <v>4281</v>
      </c>
      <c r="C53" s="13">
        <f>INDEX('[4]Page 3'!$B:$DP,MATCH("0230",'[4]Page 3'!$R:$R,0),61)</f>
        <v>39724</v>
      </c>
      <c r="D53" s="47">
        <f>INDEX('[5]Page 3'!$B:$DP,MATCH("0230",'[5]Page 3'!$R:$R,0),50)</f>
        <v>13074</v>
      </c>
      <c r="E53" s="13">
        <f>INDEX('[5]Page 3'!$B:$DP,MATCH("0230",'[5]Page 3'!$R:$R,0),61)</f>
        <v>132628</v>
      </c>
      <c r="F53" s="47">
        <f>INDEX('[6]Page 3'!$B:$DP,MATCH("0230",'[6]Page 3'!$R:$R,0),50)</f>
        <v>12014</v>
      </c>
      <c r="G53" s="13">
        <f>INDEX('[6]Page 3'!$B:$DP,MATCH("0230",'[6]Page 3'!$R:$R,0),61)</f>
        <v>68511</v>
      </c>
      <c r="H53" s="47">
        <f>IFERROR(VLOOKUP("Other Salaries &amp; Wages",'[7]PAGE 3'!$B:$W,20,FALSE),0)</f>
        <v>16578</v>
      </c>
      <c r="I53" s="13">
        <f>IFERROR(VLOOKUP("Other Salaries &amp; Wages",'[7]PAGE 3'!$B:$W,22,FALSE),0)</f>
        <v>178712</v>
      </c>
      <c r="J53" s="47">
        <f>IFERROR(VLOOKUP("Other Salaries &amp; Wages",'[8]PAGE 3'!$B:$W,20,FALSE),0)</f>
        <v>9450</v>
      </c>
      <c r="K53" s="13">
        <f>IFERROR(VLOOKUP("Other Salaries &amp; Wages",'[8]PAGE 3'!$B:$W,22,FALSE),0)</f>
        <v>82009</v>
      </c>
      <c r="L53" s="47"/>
      <c r="M53" s="13"/>
      <c r="N53" s="47">
        <f>IFERROR(VLOOKUP("Salaries &amp; Wages                    ",'[9]PAGE 3'!$B:$S,14,FALSE)+VLOOKUP("Salaries &amp; Wages - Admin. &amp; General     ",'[9]PAGE 3'!$B:$S,14,FALSE),0)</f>
        <v>5525</v>
      </c>
      <c r="O53" s="13">
        <f>IFERROR(VLOOKUP("Salaries &amp; Wages                    ",'[9]PAGE 3'!$B:$S,16,FALSE)+VLOOKUP("Salaries &amp; Wages - Admin. &amp; General     ",'[9]PAGE 3'!$B:$S,16,FALSE),0)</f>
        <v>54160</v>
      </c>
      <c r="P53" s="47">
        <f>'[2]PAGE 5'!$C$50</f>
        <v>11143</v>
      </c>
      <c r="Q53" s="13">
        <f>'[2]PAGE 5'!$M$50</f>
        <v>110215</v>
      </c>
      <c r="R53" s="47">
        <f>[3]P5!$D$99</f>
        <v>14677</v>
      </c>
      <c r="S53" s="13">
        <f>[3]P5!$L$99</f>
        <v>141465</v>
      </c>
      <c r="T53" s="47">
        <f>SUM([13]P5!$D$99)</f>
        <v>0</v>
      </c>
      <c r="U53" s="13">
        <f>SUM([13]P5!$L$99)</f>
        <v>20740</v>
      </c>
      <c r="V53" s="47">
        <f>+INDEX('[10]PAGE 3'!$1:$1048576,MATCH("Other salaries and wages",'[10]PAGE 3'!$B:$B,0),14)</f>
        <v>6481</v>
      </c>
      <c r="W53" s="13">
        <f>+INDEX('[10]PAGE 3'!$1:$1048576,MATCH("Other salaries and wages",'[10]PAGE 3'!$B:$B,0),16)</f>
        <v>38026</v>
      </c>
      <c r="X53" s="47">
        <f>IFERROR(VLOOKUP("Salaries &amp; Wages                    ",'[11]PAGE 3'!$B:$S,14,FALSE)+VLOOKUP("Salaries &amp; Wages - Admin. &amp; General     ",'[11]PAGE 3'!$B:$S,14,FALSE),0)</f>
        <v>0</v>
      </c>
      <c r="Y53" s="13">
        <f>IFERROR(VLOOKUP("Salaries &amp; Wages                    ",'[11]PAGE 3'!$B:$S,16,FALSE)+VLOOKUP("Salaries &amp; Wages - Admin. &amp; General     ",'[11]PAGE 3'!$B:$S,16,FALSE),0)</f>
        <v>0</v>
      </c>
      <c r="Z53" s="47">
        <f>IFERROR(VLOOKUP("Salaries &amp; Wages                    ",'[12]PAGE 3'!$B:$S,14,FALSE)+VLOOKUP("Salaries &amp; Wages - Admin. &amp; General     ",'[12]PAGE 3'!$B:$S,14,FALSE),0)</f>
        <v>12435</v>
      </c>
      <c r="AA53" s="13">
        <f>IFERROR(VLOOKUP("Salaries &amp; Wages                    ",'[12]PAGE 3'!$B:$S,16,FALSE)+VLOOKUP("Salaries &amp; Wages - Admin. &amp; General     ",'[12]PAGE 3'!$B:$S,16,FALSE),0)</f>
        <v>36944</v>
      </c>
      <c r="AB53" s="47">
        <f t="shared" si="0"/>
        <v>105658</v>
      </c>
      <c r="AC53" s="13">
        <f t="shared" si="1"/>
        <v>903134</v>
      </c>
    </row>
    <row r="54" spans="1:29">
      <c r="A54" s="5" t="s">
        <v>17</v>
      </c>
      <c r="B54" s="47">
        <f>INDEX('[4]Page 3'!$B:$DP,MATCH("0240",'[4]Page 3'!$R:$R,0),50)</f>
        <v>0</v>
      </c>
      <c r="C54" s="13">
        <f>INDEX('[4]Page 3'!$B:$DP,MATCH("0240",'[4]Page 3'!$R:$R,0),61)</f>
        <v>0</v>
      </c>
      <c r="D54" s="47">
        <f>INDEX('[5]Page 3'!$B:$DP,MATCH("0240",'[5]Page 3'!$R:$R,0),50)</f>
        <v>0</v>
      </c>
      <c r="E54" s="13">
        <f>INDEX('[5]Page 3'!$B:$DP,MATCH("0240",'[5]Page 3'!$R:$R,0),61)</f>
        <v>0</v>
      </c>
      <c r="F54" s="47">
        <f>INDEX('[6]Page 3'!$B:$DP,MATCH("0240",'[6]Page 3'!$R:$R,0),50)</f>
        <v>0</v>
      </c>
      <c r="G54" s="13">
        <f>INDEX('[6]Page 3'!$B:$DP,MATCH("0240",'[6]Page 3'!$R:$R,0),61)</f>
        <v>0</v>
      </c>
      <c r="H54" s="47">
        <f>IFERROR(VLOOKUP("Absentee Wages - Productive",'[7]PAGE 3'!$B:$W,20,FALSE),0)</f>
        <v>-253</v>
      </c>
      <c r="I54" s="13">
        <f>IFERROR(VLOOKUP("Absentee Wages - Productive",'[7]PAGE 3'!$B:$W,22,FALSE),0)</f>
        <v>3817</v>
      </c>
      <c r="J54" s="47">
        <f>IFERROR(VLOOKUP("Absentee Wages - Productive",'[8]PAGE 3'!$B:$W,20,FALSE),0)</f>
        <v>-523</v>
      </c>
      <c r="K54" s="13">
        <f>IFERROR(VLOOKUP("Absentee Wages - Productive",'[8]PAGE 3'!$B:$W,22,FALSE),0)</f>
        <v>1477</v>
      </c>
      <c r="L54" s="47"/>
      <c r="M54" s="13"/>
      <c r="N54" s="47">
        <f>IFERROR(VLOOKUP("Vacation &amp; Time Off Pay                     ",'[9]PAGE 3'!$B:$S,14,FALSE),0)</f>
        <v>680</v>
      </c>
      <c r="O54" s="13">
        <f>IFERROR(VLOOKUP("Vacation &amp; Time Off Pay                     ",'[9]PAGE 3'!$B:$S,16,FALSE),0)</f>
        <v>5330</v>
      </c>
      <c r="P54" s="47">
        <f>'[2]PAGE 5'!$C$61</f>
        <v>0</v>
      </c>
      <c r="Q54" s="13">
        <f>'[2]PAGE 5'!$M$61</f>
        <v>0</v>
      </c>
      <c r="R54" s="47">
        <f>SUM([3]P5!$D$121)</f>
        <v>480</v>
      </c>
      <c r="S54" s="13">
        <f>SUM([3]P5!$L$121)</f>
        <v>5440</v>
      </c>
      <c r="T54" s="47">
        <f>SUM([13]P5!$D$121)</f>
        <v>0</v>
      </c>
      <c r="U54" s="13">
        <f>SUM([13]P5!$L$121)</f>
        <v>0</v>
      </c>
      <c r="V54" s="47">
        <f>+INDEX('[10]PAGE 3'!$1:$1048576,MATCH("Leave - vacation, sick &amp; holiday compensation",'[10]PAGE 3'!$B:$B,0),14)</f>
        <v>176</v>
      </c>
      <c r="W54" s="13">
        <f>+INDEX('[10]PAGE 3'!$1:$1048576,MATCH("Leave - vacation, sick &amp; holiday compensation",'[10]PAGE 3'!$B:$B,0),16)</f>
        <v>2008</v>
      </c>
      <c r="X54" s="47">
        <f>IFERROR(VLOOKUP("Vacation &amp; Time Off Pay                     ",'[11]PAGE 3'!$B:$S,14,FALSE),0)</f>
        <v>0</v>
      </c>
      <c r="Y54" s="13">
        <f>IFERROR(VLOOKUP("Vacation &amp; Time Off Pay                     ",'[11]PAGE 3'!$B:$S,16,FALSE),0)</f>
        <v>0</v>
      </c>
      <c r="Z54" s="47">
        <f>IFERROR(VLOOKUP("Vacation &amp; Time Off Pay                     ",'[12]PAGE 3'!$B:$S,14,FALSE),0)</f>
        <v>496</v>
      </c>
      <c r="AA54" s="13">
        <f>IFERROR(VLOOKUP("Vacation &amp; Time Off Pay                     ",'[12]PAGE 3'!$B:$S,16,FALSE),0)</f>
        <v>661</v>
      </c>
      <c r="AB54" s="47">
        <f t="shared" si="0"/>
        <v>1056</v>
      </c>
      <c r="AC54" s="13">
        <f t="shared" si="1"/>
        <v>18733</v>
      </c>
    </row>
    <row r="55" spans="1:29">
      <c r="A55" s="5" t="s">
        <v>18</v>
      </c>
      <c r="B55" s="47">
        <f>INDEX('[4]Page 3'!$B:$DP,MATCH("0250",'[4]Page 3'!$R:$R,0),50)</f>
        <v>1257</v>
      </c>
      <c r="C55" s="13">
        <f>INDEX('[4]Page 3'!$B:$DP,MATCH("0250",'[4]Page 3'!$R:$R,0),61)</f>
        <v>28050</v>
      </c>
      <c r="D55" s="47">
        <f>INDEX('[5]Page 3'!$B:$DP,MATCH("0250",'[5]Page 3'!$R:$R,0),50)</f>
        <v>2851</v>
      </c>
      <c r="E55" s="13">
        <f>INDEX('[5]Page 3'!$B:$DP,MATCH("0250",'[5]Page 3'!$R:$R,0),61)</f>
        <v>35130</v>
      </c>
      <c r="F55" s="47">
        <f>INDEX('[6]Page 3'!$B:$DP,MATCH("0250",'[6]Page 3'!$R:$R,0),50)</f>
        <v>2279</v>
      </c>
      <c r="G55" s="13">
        <f>INDEX('[6]Page 3'!$B:$DP,MATCH("0250",'[6]Page 3'!$R:$R,0),61)</f>
        <v>31159</v>
      </c>
      <c r="H55" s="47">
        <f>IFERROR(VLOOKUP("Payroll Taxes",'[7]PAGE 3'!$B:$W,20,FALSE),0)</f>
        <v>2346</v>
      </c>
      <c r="I55" s="13">
        <f>IFERROR(VLOOKUP("Payroll Taxes",'[7]PAGE 3'!$B:$W,22,FALSE),0)</f>
        <v>26864</v>
      </c>
      <c r="J55" s="47">
        <f>IFERROR(VLOOKUP("Payroll Taxes",'[8]PAGE 3'!$B:$W,20,FALSE),0)</f>
        <v>1729</v>
      </c>
      <c r="K55" s="13">
        <f>IFERROR(VLOOKUP("Payroll Taxes",'[8]PAGE 3'!$B:$W,22,FALSE),0)</f>
        <v>18502</v>
      </c>
      <c r="L55" s="47"/>
      <c r="M55" s="13"/>
      <c r="N55" s="47">
        <f>IFERROR(VLOOKUP("Payroll Taxes                                         ",'[9]PAGE 3'!$B:$S,14,FALSE),0)</f>
        <v>3084</v>
      </c>
      <c r="O55" s="13">
        <f>IFERROR(VLOOKUP("Payroll Taxes                                         ",'[9]PAGE 3'!$B:$S,16,FALSE),0)</f>
        <v>36051</v>
      </c>
      <c r="P55" s="47">
        <f>$Q$3*'[2]PAGE 6'!$O$8</f>
        <v>1815.8917689128712</v>
      </c>
      <c r="Q55" s="13">
        <f>'[2]PAGE 6'!$BI$8</f>
        <v>24123</v>
      </c>
      <c r="R55" s="47">
        <f>[3]P6!$M$15*S3</f>
        <v>3807.0591501969325</v>
      </c>
      <c r="S55" s="13">
        <f>[3]P6!$BG$15</f>
        <v>53674</v>
      </c>
      <c r="T55" s="47">
        <f>[13]P6!$M$15*U3</f>
        <v>1028.7648070682983</v>
      </c>
      <c r="U55" s="13">
        <f>[13]P6!$BG$15</f>
        <v>15557</v>
      </c>
      <c r="V55" s="47">
        <f>+INDEX('[10]PAGE 3'!$1:$1048576,MATCH("taxes payroll",'[10]PAGE 3'!$B:$B,0),14)</f>
        <v>964</v>
      </c>
      <c r="W55" s="13">
        <f>+INDEX('[10]PAGE 3'!$1:$1048576,MATCH("taxes payroll",'[10]PAGE 3'!$B:$B,0),16)</f>
        <v>6102</v>
      </c>
      <c r="X55" s="47">
        <f>IFERROR(VLOOKUP("Payroll Taxes                                         ",'[11]PAGE 3'!$B:$S,14,FALSE),0)</f>
        <v>0</v>
      </c>
      <c r="Y55" s="13">
        <f>IFERROR(VLOOKUP("Payroll Taxes                                         ",'[11]PAGE 3'!$B:$S,16,FALSE),0)</f>
        <v>0</v>
      </c>
      <c r="Z55" s="47">
        <f>IFERROR(VLOOKUP("Payroll Taxes                                         ",'[12]PAGE 3'!$B:$S,14,FALSE),0)</f>
        <v>2226</v>
      </c>
      <c r="AA55" s="13">
        <f>IFERROR(VLOOKUP("Payroll Taxes                                         ",'[12]PAGE 3'!$B:$S,16,FALSE),0)</f>
        <v>6269</v>
      </c>
      <c r="AB55" s="47">
        <f t="shared" si="0"/>
        <v>23387.715726178103</v>
      </c>
      <c r="AC55" s="13">
        <f t="shared" si="1"/>
        <v>281481</v>
      </c>
    </row>
    <row r="56" spans="1:29">
      <c r="A56" s="5" t="s">
        <v>19</v>
      </c>
      <c r="B56" s="47">
        <f>INDEX('[4]Page 3'!$B:$DP,MATCH("0260",'[4]Page 3'!$R:$R,0),50)</f>
        <v>4922</v>
      </c>
      <c r="C56" s="13">
        <f>INDEX('[4]Page 3'!$B:$DP,MATCH("0260",'[4]Page 3'!$R:$R,0),61)</f>
        <v>39044</v>
      </c>
      <c r="D56" s="47">
        <f>INDEX('[5]Page 3'!$B:$DP,MATCH("0260",'[5]Page 3'!$R:$R,0),50)</f>
        <v>5626</v>
      </c>
      <c r="E56" s="13">
        <f>INDEX('[5]Page 3'!$B:$DP,MATCH("0260",'[5]Page 3'!$R:$R,0),61)</f>
        <v>39173</v>
      </c>
      <c r="F56" s="47">
        <f>INDEX('[6]Page 3'!$B:$DP,MATCH("0260",'[6]Page 3'!$R:$R,0),50)</f>
        <v>5877</v>
      </c>
      <c r="G56" s="13">
        <f>INDEX('[6]Page 3'!$B:$DP,MATCH("0260",'[6]Page 3'!$R:$R,0),61)</f>
        <v>44023</v>
      </c>
      <c r="H56" s="47">
        <f>IFERROR(VLOOKUP("Employee Benefits/Pension/401K/Workers' Comp",'[7]PAGE 3'!$B:$W,20,FALSE),0)</f>
        <v>2317</v>
      </c>
      <c r="I56" s="13">
        <f>IFERROR(VLOOKUP("Employee Benefits/Pension/401K/Workers' Comp",'[7]PAGE 3'!$B:$W,22,FALSE),0)</f>
        <v>21583</v>
      </c>
      <c r="J56" s="47">
        <f>IFERROR(VLOOKUP("Employee Benefits/Pension/401K/Workers' Comp",'[8]PAGE 3'!$B:$W,20,FALSE),0)</f>
        <v>1283</v>
      </c>
      <c r="K56" s="13">
        <f>IFERROR(VLOOKUP("Employee Benefits/Pension/401K/Workers' Comp",'[8]PAGE 3'!$B:$W,22,FALSE),0)</f>
        <v>12274</v>
      </c>
      <c r="L56" s="47"/>
      <c r="M56" s="13"/>
      <c r="N56" s="47">
        <f>IFERROR(VLOOKUP("Employee Benefits                                 ",'[9]PAGE 3'!$B:$S,14,FALSE),0)</f>
        <v>2734</v>
      </c>
      <c r="O56" s="13">
        <f>IFERROR(VLOOKUP("Employee Benefits                                 ",'[9]PAGE 3'!$B:$S,16,FALSE),0)</f>
        <v>28753</v>
      </c>
      <c r="P56" s="47">
        <f>$Q$3*'[2]PAGE 6'!$O$7</f>
        <v>1940.4130639600864</v>
      </c>
      <c r="Q56" s="13">
        <f>'[2]PAGE 6'!$BI$7</f>
        <v>19845</v>
      </c>
      <c r="R56" s="47">
        <f>[3]P6!$M$13*S3</f>
        <v>3514.4176781573346</v>
      </c>
      <c r="S56" s="13">
        <f>[3]P6!$BG$13</f>
        <v>37875</v>
      </c>
      <c r="T56" s="47">
        <f>[13]P6!$M$13*U3</f>
        <v>1083.1629461667776</v>
      </c>
      <c r="U56" s="13">
        <f>[13]P6!$BG$13</f>
        <v>17423</v>
      </c>
      <c r="V56" s="47">
        <f>+INDEX('[10]PAGE 3'!$1:$1048576,MATCH("employee benefits",'[10]PAGE 3'!$B:$B,0),14)</f>
        <v>929</v>
      </c>
      <c r="W56" s="13">
        <f>+INDEX('[10]PAGE 3'!$1:$1048576,MATCH("employee benefits",'[10]PAGE 3'!$B:$B,0),16)</f>
        <v>3230</v>
      </c>
      <c r="X56" s="47">
        <f>IFERROR(VLOOKUP("Employee Benefits                                 ",'[11]PAGE 3'!$B:$S,14,FALSE),0)</f>
        <v>0</v>
      </c>
      <c r="Y56" s="13">
        <f>IFERROR(VLOOKUP("Employee Benefits                                 ",'[11]PAGE 3'!$B:$S,16,FALSE),0)</f>
        <v>0</v>
      </c>
      <c r="Z56" s="47">
        <f>IFERROR(VLOOKUP("Employee Benefits                                 ",'[12]PAGE 3'!$B:$S,14,FALSE),0)</f>
        <v>6913</v>
      </c>
      <c r="AA56" s="13">
        <f>IFERROR(VLOOKUP("Employee Benefits                                 ",'[12]PAGE 3'!$B:$S,16,FALSE),0)</f>
        <v>16534</v>
      </c>
      <c r="AB56" s="47">
        <f t="shared" si="0"/>
        <v>37138.993688284201</v>
      </c>
      <c r="AC56" s="13">
        <f t="shared" si="1"/>
        <v>279757</v>
      </c>
    </row>
    <row r="57" spans="1:29">
      <c r="A57" s="5" t="s">
        <v>20</v>
      </c>
      <c r="B57" s="47"/>
      <c r="C57" s="13"/>
      <c r="D57" s="47"/>
      <c r="E57" s="13"/>
      <c r="F57" s="47"/>
      <c r="G57" s="13"/>
      <c r="H57" s="47">
        <f>IFERROR(VLOOKUP("",'[7]PAGE 3'!$B:$W,20,FALSE),0)</f>
        <v>0</v>
      </c>
      <c r="I57" s="13">
        <f>IFERROR(VLOOKUP("",'[7]PAGE 3'!$B:$W,22,FALSE),0)</f>
        <v>0</v>
      </c>
      <c r="J57" s="47">
        <f>IFERROR(VLOOKUP("",'[8]PAGE 3'!$B:$W,20,FALSE),0)</f>
        <v>0</v>
      </c>
      <c r="K57" s="13">
        <f>IFERROR(VLOOKUP("",'[8]PAGE 3'!$B:$W,22,FALSE),0)</f>
        <v>0</v>
      </c>
      <c r="L57" s="47"/>
      <c r="M57" s="13"/>
      <c r="N57" s="47">
        <f>IFERROR(VLOOKUP("Pension Fund/Profit Sharing                  ",'[9]PAGE 3'!$B:$S,14,FALSE),0)</f>
        <v>406</v>
      </c>
      <c r="O57" s="13">
        <f>IFERROR(VLOOKUP("Pension Fund/Profit Sharing                  ",'[9]PAGE 3'!$B:$S,16,FALSE),0)</f>
        <v>2221</v>
      </c>
      <c r="P57" s="47">
        <f>$Q$3*'[2]PAGE 6'!$O$9</f>
        <v>186.34410398064281</v>
      </c>
      <c r="Q57" s="13">
        <f>'[2]PAGE 6'!$BI$9</f>
        <v>1285</v>
      </c>
      <c r="R57" s="47">
        <f>[3]P6!$M$17*S3</f>
        <v>425.28213924617324</v>
      </c>
      <c r="S57" s="13">
        <f>[3]P6!$BG$17</f>
        <v>5688</v>
      </c>
      <c r="T57" s="47">
        <f>[13]P6!$M$17*U3</f>
        <v>45.118456546385708</v>
      </c>
      <c r="U57" s="13">
        <f>[13]P6!$BG$17</f>
        <v>686</v>
      </c>
      <c r="V57" s="47">
        <f>+INDEX('[10]PAGE 3'!$1:$1048576,MATCH("pension &amp; profit sharing",'[10]PAGE 3'!$B:$B,0),14)</f>
        <v>184</v>
      </c>
      <c r="W57" s="13">
        <f>+INDEX('[10]PAGE 3'!$1:$1048576,MATCH("pension &amp; profit sharing",'[10]PAGE 3'!$B:$B,0),16)</f>
        <v>1110</v>
      </c>
      <c r="X57" s="47">
        <f>IFERROR(VLOOKUP("Pension Fund/Profit Sharing                  ",'[11]PAGE 3'!$B:$S,14,FALSE),0)</f>
        <v>0</v>
      </c>
      <c r="Y57" s="13">
        <f>IFERROR(VLOOKUP("Pension Fund/Profit Sharing                  ",'[11]PAGE 3'!$B:$S,16,FALSE),0)</f>
        <v>0</v>
      </c>
      <c r="Z57" s="47">
        <f>IFERROR(VLOOKUP("Pension Fund/Profit Sharing                  ",'[12]PAGE 3'!$B:$S,14,FALSE),0)</f>
        <v>0</v>
      </c>
      <c r="AA57" s="13">
        <f>IFERROR(VLOOKUP("Pension Fund/Profit Sharing                  ",'[12]PAGE 3'!$B:$S,16,FALSE),0)</f>
        <v>0</v>
      </c>
      <c r="AB57" s="47">
        <f t="shared" si="0"/>
        <v>1246.7446997732018</v>
      </c>
      <c r="AC57" s="13">
        <f t="shared" si="1"/>
        <v>10990</v>
      </c>
    </row>
    <row r="58" spans="1:29">
      <c r="A58" s="4" t="s">
        <v>55</v>
      </c>
      <c r="B58" s="24">
        <f t="shared" ref="B58:C58" si="25">SUM(B50:B57)</f>
        <v>31243</v>
      </c>
      <c r="C58" s="25">
        <f t="shared" si="25"/>
        <v>349514</v>
      </c>
      <c r="D58" s="24">
        <f t="shared" ref="D58:E58" si="26">SUM(D50:D57)</f>
        <v>40285</v>
      </c>
      <c r="E58" s="25">
        <f t="shared" si="26"/>
        <v>447635</v>
      </c>
      <c r="F58" s="24">
        <f t="shared" ref="F58:G58" si="27">SUM(F50:F57)</f>
        <v>45198</v>
      </c>
      <c r="G58" s="25">
        <f t="shared" si="27"/>
        <v>415539</v>
      </c>
      <c r="H58" s="24">
        <f t="shared" ref="H58:K58" si="28">SUM(H50:H57)</f>
        <v>37654</v>
      </c>
      <c r="I58" s="25">
        <f t="shared" si="28"/>
        <v>394539</v>
      </c>
      <c r="J58" s="24">
        <f t="shared" si="28"/>
        <v>25371</v>
      </c>
      <c r="K58" s="25">
        <f t="shared" si="28"/>
        <v>236976</v>
      </c>
      <c r="L58" s="24"/>
      <c r="M58" s="25"/>
      <c r="N58" s="24">
        <f t="shared" ref="N58:S58" si="29">SUM(N50:N57)</f>
        <v>35091</v>
      </c>
      <c r="O58" s="25">
        <f t="shared" si="29"/>
        <v>378189</v>
      </c>
      <c r="P58" s="24">
        <f t="shared" si="29"/>
        <v>31316.86902850046</v>
      </c>
      <c r="Q58" s="25">
        <f t="shared" si="29"/>
        <v>290256</v>
      </c>
      <c r="R58" s="24">
        <f t="shared" si="29"/>
        <v>38465.499343558062</v>
      </c>
      <c r="S58" s="25">
        <f t="shared" si="29"/>
        <v>410642</v>
      </c>
      <c r="T58" s="24">
        <f t="shared" ref="T58:U58" si="30">SUM(T50:T57)</f>
        <v>8469.664099456586</v>
      </c>
      <c r="U58" s="25">
        <f t="shared" si="30"/>
        <v>120195</v>
      </c>
      <c r="V58" s="24">
        <f t="shared" ref="V58:W58" si="31">SUM(V49:V57)</f>
        <v>14248</v>
      </c>
      <c r="W58" s="25">
        <f t="shared" si="31"/>
        <v>92899</v>
      </c>
      <c r="X58" s="24">
        <f t="shared" ref="X58:AA58" si="32">SUM(X50:X57)</f>
        <v>0</v>
      </c>
      <c r="Y58" s="25">
        <f t="shared" si="32"/>
        <v>0</v>
      </c>
      <c r="Z58" s="24">
        <f t="shared" si="32"/>
        <v>35574</v>
      </c>
      <c r="AA58" s="25">
        <f t="shared" si="32"/>
        <v>100133</v>
      </c>
      <c r="AB58" s="24">
        <f t="shared" si="0"/>
        <v>342916.03247151506</v>
      </c>
      <c r="AC58" s="25">
        <f t="shared" si="1"/>
        <v>3236517</v>
      </c>
    </row>
    <row r="59" spans="1:29">
      <c r="A59" s="5" t="s">
        <v>21</v>
      </c>
      <c r="B59" s="47">
        <f>INDEX('[4]Page 3'!$B:$DP,MATCH("0310",'[4]Page 3'!$R:$R,0),50)</f>
        <v>513</v>
      </c>
      <c r="C59" s="13">
        <f>INDEX('[4]Page 3'!$B:$DP,MATCH("0310",'[4]Page 3'!$R:$R,0),61)</f>
        <v>7814</v>
      </c>
      <c r="D59" s="47">
        <f>INDEX('[5]Page 3'!$B:$DP,MATCH("0310",'[5]Page 3'!$R:$R,0),50)</f>
        <v>501</v>
      </c>
      <c r="E59" s="13">
        <f>INDEX('[5]Page 3'!$B:$DP,MATCH("0310",'[5]Page 3'!$R:$R,0),61)</f>
        <v>7719</v>
      </c>
      <c r="F59" s="47">
        <f>INDEX('[6]Page 3'!$B:$DP,MATCH("0310",'[6]Page 3'!$R:$R,0),50)</f>
        <v>609</v>
      </c>
      <c r="G59" s="13">
        <f>INDEX('[6]Page 3'!$B:$DP,MATCH("0310",'[6]Page 3'!$R:$R,0),61)</f>
        <v>4202</v>
      </c>
      <c r="H59" s="47">
        <f>IFERROR(VLOOKUP("Company Vehicle Expense",'[7]PAGE 3'!$B:$W,20,FALSE),0)</f>
        <v>938</v>
      </c>
      <c r="I59" s="13">
        <f>IFERROR(VLOOKUP("Company Vehicle Expense",'[7]PAGE 3'!$B:$W,22,FALSE),0)</f>
        <v>10821</v>
      </c>
      <c r="J59" s="47">
        <f>IFERROR(VLOOKUP("Company Vehicle Expense",'[8]PAGE 3'!$B:$W,20,FALSE),0)</f>
        <v>228</v>
      </c>
      <c r="K59" s="13">
        <f>IFERROR(VLOOKUP("Company Vehicle Expense",'[8]PAGE 3'!$B:$W,22,FALSE),0)</f>
        <v>4154</v>
      </c>
      <c r="L59" s="47"/>
      <c r="M59" s="13"/>
      <c r="N59" s="47">
        <f>IFERROR(VLOOKUP("Demos. &amp; Company Vehicles - Dept'l.",'[9]PAGE 3'!$B:$S,14,FALSE)+VLOOKUP("Company Vehicles- Administration",'[9]PAGE 3'!$B:$S,14,FALSE),0)</f>
        <v>1372</v>
      </c>
      <c r="O59" s="13">
        <f>IFERROR(VLOOKUP("Demos. &amp; Company Vehicles - Dept'l.",'[9]PAGE 3'!$B:$S,16,FALSE)+VLOOKUP("Company Vehicles- Administration",'[9]PAGE 3'!$B:$S,16,FALSE),0)</f>
        <v>10479</v>
      </c>
      <c r="P59" s="47">
        <f>'[2]PAGE 5'!$C$56</f>
        <v>-60</v>
      </c>
      <c r="Q59" s="13">
        <f>'[2]PAGE 5'!$M$56</f>
        <v>-60</v>
      </c>
      <c r="R59" s="47"/>
      <c r="S59" s="13"/>
      <c r="T59" s="47"/>
      <c r="U59" s="13"/>
      <c r="V59" s="47">
        <f>+INDEX('[10]PAGE 3'!$1:$1048576,MATCH("company vehicle expense",'[10]PAGE 3'!$B:$B,0),14)</f>
        <v>321</v>
      </c>
      <c r="W59" s="13">
        <f>+INDEX('[10]PAGE 3'!$1:$1048576,MATCH("company vehicle expense",'[10]PAGE 3'!$B:$B,0),16)</f>
        <v>553</v>
      </c>
      <c r="X59" s="47">
        <f>IFERROR(VLOOKUP("Demos. &amp; Company Vehicles - Dept'l.",'[11]PAGE 3'!$B:$S,14,FALSE)+VLOOKUP("Company Vehicles- Administration",'[11]PAGE 3'!$B:$S,14,FALSE),0)</f>
        <v>0</v>
      </c>
      <c r="Y59" s="13">
        <f>IFERROR(VLOOKUP("Demos. &amp; Company Vehicles - Dept'l.",'[11]PAGE 3'!$B:$S,16,FALSE)+VLOOKUP("Company Vehicles- Administration",'[11]PAGE 3'!$B:$S,16,FALSE),0)</f>
        <v>0</v>
      </c>
      <c r="Z59" s="47">
        <f>IFERROR(VLOOKUP("Demos. &amp; Company Vehicles - Dept'l.",'[12]PAGE 3'!$B:$S,14,FALSE)+VLOOKUP("Company Vehicles- Administration",'[12]PAGE 3'!$B:$S,14,FALSE),0)</f>
        <v>0</v>
      </c>
      <c r="AA59" s="13">
        <f>IFERROR(VLOOKUP("Demos. &amp; Company Vehicles - Dept'l.",'[12]PAGE 3'!$B:$S,16,FALSE)+VLOOKUP("Company Vehicles- Administration",'[12]PAGE 3'!$B:$S,16,FALSE),0)</f>
        <v>1049</v>
      </c>
      <c r="AB59" s="47">
        <f t="shared" si="0"/>
        <v>4422</v>
      </c>
      <c r="AC59" s="13">
        <f t="shared" si="1"/>
        <v>46731</v>
      </c>
    </row>
    <row r="60" spans="1:29">
      <c r="A60" s="5" t="s">
        <v>22</v>
      </c>
      <c r="B60" s="47">
        <f>INDEX('[4]Page 3'!$B:$DP,MATCH("0320",'[4]Page 3'!$R:$R,0),50)</f>
        <v>0</v>
      </c>
      <c r="C60" s="13">
        <f>INDEX('[4]Page 3'!$B:$DP,MATCH("0320",'[4]Page 3'!$R:$R,0),61)</f>
        <v>0</v>
      </c>
      <c r="D60" s="47">
        <f>INDEX('[5]Page 3'!$B:$DP,MATCH("0320",'[5]Page 3'!$R:$R,0),50)</f>
        <v>0</v>
      </c>
      <c r="E60" s="13">
        <f>INDEX('[5]Page 3'!$B:$DP,MATCH("0320",'[5]Page 3'!$R:$R,0),61)</f>
        <v>0</v>
      </c>
      <c r="F60" s="47">
        <f>INDEX('[6]Page 3'!$B:$DP,MATCH("0320",'[6]Page 3'!$R:$R,0),50)</f>
        <v>0</v>
      </c>
      <c r="G60" s="13">
        <f>INDEX('[6]Page 3'!$B:$DP,MATCH("0320",'[6]Page 3'!$R:$R,0),61)</f>
        <v>0</v>
      </c>
      <c r="H60" s="47">
        <f>IFERROR(VLOOKUP("Other Supplies &amp; Tools",'[7]PAGE 3'!$B:$W,20,FALSE),0)</f>
        <v>1025</v>
      </c>
      <c r="I60" s="13">
        <f>IFERROR(VLOOKUP("Other Supplies &amp; Tools",'[7]PAGE 3'!$B:$W,22,FALSE),0)</f>
        <v>11270</v>
      </c>
      <c r="J60" s="47">
        <f>IFERROR(VLOOKUP("Other Supplies &amp; Tools",'[8]PAGE 3'!$B:$W,20,FALSE),0)</f>
        <v>181</v>
      </c>
      <c r="K60" s="13">
        <f>IFERROR(VLOOKUP("Other Supplies &amp; Tools",'[8]PAGE 3'!$B:$W,22,FALSE),0)</f>
        <v>1801</v>
      </c>
      <c r="L60" s="47"/>
      <c r="M60" s="13"/>
      <c r="N60" s="47">
        <f>IFERROR(VLOOKUP("Supplies &amp; Small Tools",'[9]PAGE 3'!$B:$S,14,FALSE),0)</f>
        <v>189</v>
      </c>
      <c r="O60" s="13">
        <f>IFERROR(VLOOKUP("Supplies &amp; Small Tools",'[9]PAGE 3'!$B:$S,16,FALSE),0)</f>
        <v>2650</v>
      </c>
      <c r="P60" s="47">
        <f>'[2]PAGE 5'!$C$57</f>
        <v>377</v>
      </c>
      <c r="Q60" s="13">
        <f>'[2]PAGE 5'!$M$57</f>
        <v>912</v>
      </c>
      <c r="R60" s="47">
        <f>SUM([3]P5!$D$113)</f>
        <v>151</v>
      </c>
      <c r="S60" s="13">
        <f>[3]P5!$L$113</f>
        <v>720</v>
      </c>
      <c r="T60" s="47"/>
      <c r="U60" s="13"/>
      <c r="V60" s="47">
        <f>+INDEX('[10]PAGE 3'!$1:$1048576,MATCH("small tools &amp; other supplies",'[10]PAGE 3'!$B:$B,0),14)</f>
        <v>226</v>
      </c>
      <c r="W60" s="13">
        <f>+INDEX('[10]PAGE 3'!$1:$1048576,MATCH("small tools &amp; other supplies",'[10]PAGE 3'!$B:$B,0),16)</f>
        <v>2429</v>
      </c>
      <c r="X60" s="47">
        <f>IFERROR(VLOOKUP("Supplies &amp; Small Tools",'[11]PAGE 3'!$B:$S,14,FALSE),0)</f>
        <v>0</v>
      </c>
      <c r="Y60" s="13">
        <f>IFERROR(VLOOKUP("Supplies &amp; Small Tools",'[11]PAGE 3'!$B:$S,16,FALSE),0)</f>
        <v>0</v>
      </c>
      <c r="Z60" s="47">
        <f>IFERROR(VLOOKUP("Supplies &amp; Small Tools",'[12]PAGE 3'!$B:$S,14,FALSE),0)</f>
        <v>164</v>
      </c>
      <c r="AA60" s="13">
        <f>IFERROR(VLOOKUP("Supplies &amp; Small Tools",'[12]PAGE 3'!$B:$S,16,FALSE),0)</f>
        <v>420</v>
      </c>
      <c r="AB60" s="47">
        <f t="shared" si="0"/>
        <v>2313</v>
      </c>
      <c r="AC60" s="13">
        <f t="shared" si="1"/>
        <v>20202</v>
      </c>
    </row>
    <row r="61" spans="1:29">
      <c r="A61" s="5" t="s">
        <v>23</v>
      </c>
      <c r="B61" s="47">
        <f>INDEX('[4]Page 3'!$B:$DP,MATCH("0340",'[4]Page 3'!$R:$R,0),50)</f>
        <v>375</v>
      </c>
      <c r="C61" s="13">
        <f>INDEX('[4]Page 3'!$B:$DP,MATCH("0340",'[4]Page 3'!$R:$R,0),61)</f>
        <v>6389</v>
      </c>
      <c r="D61" s="47">
        <f>INDEX('[5]Page 3'!$B:$DP,MATCH("0340",'[5]Page 3'!$R:$R,0),50)</f>
        <v>171</v>
      </c>
      <c r="E61" s="13">
        <f>INDEX('[5]Page 3'!$B:$DP,MATCH("0340",'[5]Page 3'!$R:$R,0),61)</f>
        <v>4933</v>
      </c>
      <c r="F61" s="47">
        <f>INDEX('[6]Page 3'!$B:$DP,MATCH("0340",'[6]Page 3'!$R:$R,0),50)</f>
        <v>1006</v>
      </c>
      <c r="G61" s="13">
        <f>INDEX('[6]Page 3'!$B:$DP,MATCH("0340",'[6]Page 3'!$R:$R,0),61)</f>
        <v>6679</v>
      </c>
      <c r="H61" s="47">
        <f>IFERROR(VLOOKUP("Postage/Express Mail/Freight",'[7]PAGE 3'!$B:$W,20,FALSE),0)</f>
        <v>662</v>
      </c>
      <c r="I61" s="13">
        <f>IFERROR(VLOOKUP("Postage/Express Mail/Freight",'[7]PAGE 3'!$B:$W,22,FALSE),0)</f>
        <v>4144</v>
      </c>
      <c r="J61" s="47">
        <f>IFERROR(VLOOKUP("Postage/Express Mail/Freight",'[8]PAGE 3'!$B:$W,20,FALSE),0)</f>
        <v>305</v>
      </c>
      <c r="K61" s="13">
        <f>IFERROR(VLOOKUP("Postage/Express Mail/Freight",'[8]PAGE 3'!$B:$W,22,FALSE),0)</f>
        <v>4850</v>
      </c>
      <c r="L61" s="47"/>
      <c r="M61" s="13"/>
      <c r="N61" s="47">
        <f>IFERROR(VLOOKUP("Freight",'[9]PAGE 3'!$B:$S,14,FALSE),0)</f>
        <v>-72</v>
      </c>
      <c r="O61" s="13">
        <f>IFERROR(VLOOKUP("Freight",'[9]PAGE 3'!$B:$S,16,FALSE),0)</f>
        <v>-939</v>
      </c>
      <c r="P61" s="47">
        <f>'[2]PAGE 5'!$C$58</f>
        <v>48</v>
      </c>
      <c r="Q61" s="13">
        <f>'[2]PAGE 5'!$M$58</f>
        <v>674</v>
      </c>
      <c r="R61" s="47">
        <f>[3]P5!$D$115</f>
        <v>192</v>
      </c>
      <c r="S61" s="13">
        <f>[3]P5!$L$115</f>
        <v>61</v>
      </c>
      <c r="T61" s="47">
        <f>SUM([13]P5!$D$115)</f>
        <v>0</v>
      </c>
      <c r="U61" s="13">
        <f>SUM([13]P5!$L$115)</f>
        <v>15</v>
      </c>
      <c r="V61" s="47">
        <f>+INDEX('[10]PAGE 3'!$1:$1048576,MATCH("freight, express and cartage - parts department",'[10]PAGE 3'!$B:$B,0),14)</f>
        <v>326</v>
      </c>
      <c r="W61" s="13">
        <f>+INDEX('[10]PAGE 3'!$1:$1048576,MATCH("freight, express and cartage - parts department",'[10]PAGE 3'!$B:$B,0),16)</f>
        <v>1758</v>
      </c>
      <c r="X61" s="47">
        <f>IFERROR(VLOOKUP("Freight",'[11]PAGE 3'!$B:$S,14,FALSE),0)</f>
        <v>0</v>
      </c>
      <c r="Y61" s="13">
        <f>IFERROR(VLOOKUP("Freight",'[11]PAGE 3'!$B:$S,16,FALSE),0)</f>
        <v>0</v>
      </c>
      <c r="Z61" s="47">
        <f>IFERROR(VLOOKUP("Freight",'[12]PAGE 3'!$B:$S,14,FALSE),0)</f>
        <v>255</v>
      </c>
      <c r="AA61" s="13">
        <f>IFERROR(VLOOKUP("Freight",'[12]PAGE 3'!$B:$S,16,FALSE),0)</f>
        <v>831</v>
      </c>
      <c r="AB61" s="47">
        <f t="shared" si="0"/>
        <v>3268</v>
      </c>
      <c r="AC61" s="13">
        <f t="shared" si="1"/>
        <v>29395</v>
      </c>
    </row>
    <row r="62" spans="1:29">
      <c r="A62" s="5" t="s">
        <v>24</v>
      </c>
      <c r="B62" s="47">
        <f>INDEX('[4]Page 3'!$B:$DP,MATCH("0350",'[4]Page 3'!$R:$R,0),50)</f>
        <v>0</v>
      </c>
      <c r="C62" s="13">
        <f>INDEX('[4]Page 3'!$B:$DP,MATCH("0350",'[4]Page 3'!$R:$R,0),61)</f>
        <v>205</v>
      </c>
      <c r="D62" s="47">
        <f>INDEX('[5]Page 3'!$B:$DP,MATCH("0350",'[5]Page 3'!$R:$R,0),50)</f>
        <v>2207</v>
      </c>
      <c r="E62" s="13">
        <f>INDEX('[5]Page 3'!$B:$DP,MATCH("0350",'[5]Page 3'!$R:$R,0),61)</f>
        <v>23887</v>
      </c>
      <c r="F62" s="47">
        <f>INDEX('[6]Page 3'!$B:$DP,MATCH("0350",'[6]Page 3'!$R:$R,0),50)</f>
        <v>519</v>
      </c>
      <c r="G62" s="13">
        <f>INDEX('[6]Page 3'!$B:$DP,MATCH("0350",'[6]Page 3'!$R:$R,0),61)</f>
        <v>1933</v>
      </c>
      <c r="H62" s="47">
        <f>IFERROR(VLOOKUP("Adv. - Serv, Body, P &amp; A",'[7]PAGE 3'!$B:$W,20,FALSE),0)</f>
        <v>877</v>
      </c>
      <c r="I62" s="13">
        <f>IFERROR(VLOOKUP("Adv. - Serv, Body, P &amp; A",'[7]PAGE 3'!$B:$W,22,FALSE),0)</f>
        <v>10065</v>
      </c>
      <c r="J62" s="47">
        <f>IFERROR(VLOOKUP("Adv. - Serv, Body, P &amp; A",'[8]PAGE 3'!$B:$W,20,FALSE),0)</f>
        <v>1919</v>
      </c>
      <c r="K62" s="13">
        <f>IFERROR(VLOOKUP("Adv. - Serv, Body, P &amp; A",'[8]PAGE 3'!$B:$W,22,FALSE),0)</f>
        <v>20189</v>
      </c>
      <c r="L62" s="47"/>
      <c r="M62" s="13"/>
      <c r="N62" s="47">
        <f>IFERROR(VLOOKUP("Advertising General &amp; Institutional",'[9]PAGE 3'!$B:$S,14,FALSE),0)</f>
        <v>445</v>
      </c>
      <c r="O62" s="13">
        <f>IFERROR(VLOOKUP("Advertising General &amp; Institutional",'[9]PAGE 3'!$B:$S,16,FALSE),0)</f>
        <v>465</v>
      </c>
      <c r="P62" s="47">
        <f>$Q$3*'[2]PAGE 6'!$O$10</f>
        <v>0</v>
      </c>
      <c r="Q62" s="13">
        <f>'[2]PAGE 6'!$BI$10</f>
        <v>828</v>
      </c>
      <c r="R62" s="47"/>
      <c r="S62" s="13"/>
      <c r="T62" s="47"/>
      <c r="U62" s="13"/>
      <c r="V62" s="47"/>
      <c r="W62" s="13"/>
      <c r="X62" s="47">
        <f>IFERROR(VLOOKUP("Advertising General &amp; Institutional",'[11]PAGE 3'!$B:$S,14,FALSE),0)</f>
        <v>0</v>
      </c>
      <c r="Y62" s="13">
        <f>IFERROR(VLOOKUP("Advertising General &amp; Institutional",'[11]PAGE 3'!$B:$S,16,FALSE),0)</f>
        <v>0</v>
      </c>
      <c r="Z62" s="47">
        <f>IFERROR(VLOOKUP("Advertising General &amp; Institutional",'[12]PAGE 3'!$B:$S,14,FALSE),0)</f>
        <v>-7674</v>
      </c>
      <c r="AA62" s="13">
        <f>IFERROR(VLOOKUP("Advertising General &amp; Institutional",'[12]PAGE 3'!$B:$S,16,FALSE),0)</f>
        <v>-7334</v>
      </c>
      <c r="AB62" s="47">
        <f t="shared" si="0"/>
        <v>-1707</v>
      </c>
      <c r="AC62" s="13">
        <f t="shared" si="1"/>
        <v>50238</v>
      </c>
    </row>
    <row r="63" spans="1:29">
      <c r="A63" s="5" t="s">
        <v>25</v>
      </c>
      <c r="B63" s="47">
        <f>INDEX('[4]Page 3'!$B:$DP,MATCH("0360",'[4]Page 3'!$R:$R,0),50)</f>
        <v>615</v>
      </c>
      <c r="C63" s="13">
        <f>INDEX('[4]Page 3'!$B:$DP,MATCH("0360",'[4]Page 3'!$R:$R,0),61)</f>
        <v>6873</v>
      </c>
      <c r="D63" s="47">
        <f>INDEX('[5]Page 3'!$B:$DP,MATCH("0360",'[5]Page 3'!$R:$R,0),50)</f>
        <v>817</v>
      </c>
      <c r="E63" s="13">
        <f>INDEX('[5]Page 3'!$B:$DP,MATCH("0360",'[5]Page 3'!$R:$R,0),61)</f>
        <v>9057</v>
      </c>
      <c r="F63" s="47">
        <f>INDEX('[6]Page 3'!$B:$DP,MATCH("0360",'[6]Page 3'!$R:$R,0),50)</f>
        <v>1556</v>
      </c>
      <c r="G63" s="13">
        <f>INDEX('[6]Page 3'!$B:$DP,MATCH("0360",'[6]Page 3'!$R:$R,0),61)</f>
        <v>8724</v>
      </c>
      <c r="H63" s="47">
        <f>IFERROR(VLOOKUP("Office Supplies &amp; Stationery",'[7]PAGE 3'!$B:$W,20,FALSE),0)</f>
        <v>125</v>
      </c>
      <c r="I63" s="13">
        <f>IFERROR(VLOOKUP("Office Supplies &amp; Stationery",'[7]PAGE 3'!$B:$W,22,FALSE),0)</f>
        <v>1905</v>
      </c>
      <c r="J63" s="47">
        <f>IFERROR(VLOOKUP("Office Supplies &amp; Stationery",'[8]PAGE 3'!$B:$W,20,FALSE),0)</f>
        <v>179</v>
      </c>
      <c r="K63" s="13">
        <f>IFERROR(VLOOKUP("Office Supplies &amp; Stationery",'[8]PAGE 3'!$B:$W,22,FALSE),0)</f>
        <v>1316</v>
      </c>
      <c r="L63" s="47"/>
      <c r="M63" s="13"/>
      <c r="N63" s="47">
        <f>IFERROR(VLOOKUP("Stationery &amp; Office Supplies",'[9]PAGE 3'!$B:$S,14,FALSE),0)</f>
        <v>299</v>
      </c>
      <c r="O63" s="13">
        <f>IFERROR(VLOOKUP("Stationery &amp; Office Supplies",'[9]PAGE 3'!$B:$S,16,FALSE),0)</f>
        <v>2555</v>
      </c>
      <c r="P63" s="47">
        <f>$Q$3*'[2]PAGE 6'!$O$16</f>
        <v>367.6968480332327</v>
      </c>
      <c r="Q63" s="13">
        <f>'[2]PAGE 6'!$BI$16</f>
        <v>2300</v>
      </c>
      <c r="R63" s="47">
        <f>[3]P6!$M$31*S3</f>
        <v>581.28292395837002</v>
      </c>
      <c r="S63" s="13">
        <f>[3]P6!$BG$31</f>
        <v>11792</v>
      </c>
      <c r="T63" s="47">
        <f>[13]P6!$M$31*U3</f>
        <v>406.22610344423163</v>
      </c>
      <c r="U63" s="13">
        <f>[13]P6!$BG$31</f>
        <v>4804</v>
      </c>
      <c r="V63" s="47">
        <f>+INDEX('[10]PAGE 3'!$1:$1048576,MATCH("stationery, office supplies &amp; postage",'[10]PAGE 3'!$B:$B,0),14)</f>
        <v>24</v>
      </c>
      <c r="W63" s="13">
        <f>+INDEX('[10]PAGE 3'!$1:$1048576,MATCH("stationery, office supplies &amp; postage",'[10]PAGE 3'!$B:$B,0),16)</f>
        <v>1778</v>
      </c>
      <c r="X63" s="47">
        <f>IFERROR(VLOOKUP("Stationery &amp; Office Supplies",'[11]PAGE 3'!$B:$S,14,FALSE),0)</f>
        <v>0</v>
      </c>
      <c r="Y63" s="13">
        <f>IFERROR(VLOOKUP("Stationery &amp; Office Supplies",'[11]PAGE 3'!$B:$S,16,FALSE),0)</f>
        <v>0</v>
      </c>
      <c r="Z63" s="47">
        <f>IFERROR(VLOOKUP("Stationery &amp; Office Supplies",'[12]PAGE 3'!$B:$S,14,FALSE),0)</f>
        <v>477</v>
      </c>
      <c r="AA63" s="13">
        <f>IFERROR(VLOOKUP("Stationery &amp; Office Supplies",'[12]PAGE 3'!$B:$S,16,FALSE),0)</f>
        <v>1959</v>
      </c>
      <c r="AB63" s="47">
        <f t="shared" si="0"/>
        <v>5447.2058754358341</v>
      </c>
      <c r="AC63" s="13">
        <f t="shared" si="1"/>
        <v>53063</v>
      </c>
    </row>
    <row r="64" spans="1:29">
      <c r="A64" s="5" t="s">
        <v>26</v>
      </c>
      <c r="B64" s="47">
        <f>INDEX('[4]Page 3'!$B:$DP,MATCH("0370",'[4]Page 3'!$R:$R,0),50)</f>
        <v>365</v>
      </c>
      <c r="C64" s="13">
        <f>INDEX('[4]Page 3'!$B:$DP,MATCH("0370",'[4]Page 3'!$R:$R,0),61)</f>
        <v>5608</v>
      </c>
      <c r="D64" s="47">
        <f>INDEX('[5]Page 3'!$B:$DP,MATCH("0370",'[5]Page 3'!$R:$R,0),50)</f>
        <v>242</v>
      </c>
      <c r="E64" s="13">
        <f>INDEX('[5]Page 3'!$B:$DP,MATCH("0370",'[5]Page 3'!$R:$R,0),61)</f>
        <v>5128</v>
      </c>
      <c r="F64" s="47">
        <f>INDEX('[6]Page 3'!$B:$DP,MATCH("0370",'[6]Page 3'!$R:$R,0),50)</f>
        <v>831</v>
      </c>
      <c r="G64" s="13">
        <f>INDEX('[6]Page 3'!$B:$DP,MATCH("0370",'[6]Page 3'!$R:$R,0),61)</f>
        <v>12506</v>
      </c>
      <c r="H64" s="47">
        <f>IFERROR(VLOOKUP("Laundry &amp; Uniforms",'[7]PAGE 3'!$B:$W,20,FALSE),0)</f>
        <v>40</v>
      </c>
      <c r="I64" s="13">
        <f>IFERROR(VLOOKUP("Laundry &amp; Uniforms",'[7]PAGE 3'!$B:$W,22,FALSE),0)</f>
        <v>365</v>
      </c>
      <c r="J64" s="47">
        <f>IFERROR(VLOOKUP("Laundry &amp; Uniforms",'[8]PAGE 3'!$B:$W,20,FALSE),0)</f>
        <v>0</v>
      </c>
      <c r="K64" s="13">
        <f>IFERROR(VLOOKUP("Laundry &amp; Uniforms",'[8]PAGE 3'!$B:$W,22,FALSE),0)</f>
        <v>0</v>
      </c>
      <c r="L64" s="47"/>
      <c r="M64" s="13"/>
      <c r="N64" s="47">
        <f>IFERROR(VLOOKUP("Laundry &amp; Uniforms",'[9]PAGE 3'!$B:$S,14,FALSE),0)</f>
        <v>-11</v>
      </c>
      <c r="O64" s="13">
        <f>IFERROR(VLOOKUP("Laundry &amp; Uniforms",'[9]PAGE 3'!$B:$S,16,FALSE),0)</f>
        <v>317</v>
      </c>
      <c r="P64" s="47"/>
      <c r="Q64" s="13"/>
      <c r="R64" s="47"/>
      <c r="S64" s="13"/>
      <c r="T64" s="47"/>
      <c r="U64" s="13"/>
      <c r="V64" s="47">
        <f>+INDEX('[10]PAGE 3'!$1:$1048576,MATCH("laundry &amp; uniforms",'[10]PAGE 3'!$B:$B,0),14)</f>
        <v>188</v>
      </c>
      <c r="W64" s="13">
        <f>+INDEX('[10]PAGE 3'!$1:$1048576,MATCH("laundry &amp; uniforms",'[10]PAGE 3'!$B:$B,0),16)</f>
        <v>3207</v>
      </c>
      <c r="X64" s="47">
        <f>IFERROR(VLOOKUP("Laundry &amp; Uniforms",'[11]PAGE 3'!$B:$S,14,FALSE),0)</f>
        <v>0</v>
      </c>
      <c r="Y64" s="13">
        <f>IFERROR(VLOOKUP("Laundry &amp; Uniforms",'[11]PAGE 3'!$B:$S,16,FALSE),0)</f>
        <v>0</v>
      </c>
      <c r="Z64" s="47">
        <f>IFERROR(VLOOKUP("Laundry &amp; Uniforms",'[12]PAGE 3'!$B:$S,14,FALSE),0)</f>
        <v>113</v>
      </c>
      <c r="AA64" s="13">
        <f>IFERROR(VLOOKUP("Laundry &amp; Uniforms",'[12]PAGE 3'!$B:$S,16,FALSE),0)</f>
        <v>255</v>
      </c>
      <c r="AB64" s="47">
        <f t="shared" si="0"/>
        <v>1768</v>
      </c>
      <c r="AC64" s="13">
        <f t="shared" si="1"/>
        <v>27386</v>
      </c>
    </row>
    <row r="65" spans="1:29">
      <c r="A65" s="5" t="s">
        <v>27</v>
      </c>
      <c r="B65" s="47">
        <f>INDEX('[4]Page 3'!$B:$DP,MATCH("0380",'[4]Page 3'!$R:$R,0),50)</f>
        <v>1838</v>
      </c>
      <c r="C65" s="13">
        <f>INDEX('[4]Page 3'!$B:$DP,MATCH("0380",'[4]Page 3'!$R:$R,0),61)</f>
        <v>29011</v>
      </c>
      <c r="D65" s="47">
        <f>INDEX('[5]Page 3'!$B:$DP,MATCH("0380",'[5]Page 3'!$R:$R,0),50)</f>
        <v>7464</v>
      </c>
      <c r="E65" s="13">
        <f>INDEX('[5]Page 3'!$B:$DP,MATCH("0380",'[5]Page 3'!$R:$R,0),61)</f>
        <v>54564</v>
      </c>
      <c r="F65" s="47">
        <f>INDEX('[6]Page 3'!$B:$DP,MATCH("0380",'[6]Page 3'!$R:$R,0),50)</f>
        <v>3273</v>
      </c>
      <c r="G65" s="13">
        <f>INDEX('[6]Page 3'!$B:$DP,MATCH("0380",'[6]Page 3'!$R:$R,0),61)</f>
        <v>52314</v>
      </c>
      <c r="H65" s="47">
        <f>IFERROR(VLOOKUP("Outside Services",'[7]PAGE 3'!$B:$W,20,FALSE),0)</f>
        <v>374</v>
      </c>
      <c r="I65" s="13">
        <f>IFERROR(VLOOKUP("Outside Services",'[7]PAGE 3'!$B:$W,22,FALSE),0)</f>
        <v>23220</v>
      </c>
      <c r="J65" s="47">
        <f>IFERROR(VLOOKUP("Outside Services",'[8]PAGE 3'!$B:$W,20,FALSE),0)</f>
        <v>367</v>
      </c>
      <c r="K65" s="13">
        <f>IFERROR(VLOOKUP("Outside Services",'[8]PAGE 3'!$B:$W,22,FALSE),0)</f>
        <v>17941</v>
      </c>
      <c r="L65" s="47"/>
      <c r="M65" s="13"/>
      <c r="N65" s="47">
        <f>IFERROR(VLOOKUP("Outside Services - Departmental",'[9]PAGE 3'!$B:$S,14,FALSE)+VLOOKUP("Outside Services - Gen. &amp; Inst.",'[9]PAGE 3'!$B:$S,14,FALSE),0)</f>
        <v>4251</v>
      </c>
      <c r="O65" s="13">
        <f>IFERROR(VLOOKUP("Outside Services - Departmental",'[9]PAGE 3'!$B:$S,16,FALSE)+VLOOKUP("Outside Services - Gen. &amp; Inst.",'[9]PAGE 3'!$B:$S,16,FALSE),0)</f>
        <v>41500</v>
      </c>
      <c r="P65" s="47">
        <f>$Q$3*'[2]PAGE 6'!$O$17</f>
        <v>-490.29165328365559</v>
      </c>
      <c r="Q65" s="13">
        <f>'[2]PAGE 6'!$BI17</f>
        <v>9600</v>
      </c>
      <c r="R65" s="47">
        <f>[3]P6!$M$33*S3</f>
        <v>6168.5110287275083</v>
      </c>
      <c r="S65" s="13">
        <f>[3]P6!$BG$33</f>
        <v>87763</v>
      </c>
      <c r="T65" s="47">
        <f>[13]P6!$M$33*U3</f>
        <v>611.65907580437079</v>
      </c>
      <c r="U65" s="13">
        <f>[13]P6!$BG$33</f>
        <v>17676</v>
      </c>
      <c r="V65" s="47">
        <f>+INDEX('[10]PAGE 3'!$1:$1048576,MATCH("outside services",'[10]PAGE 3'!$B:$B,0),14)</f>
        <v>0</v>
      </c>
      <c r="W65" s="13">
        <f>+INDEX('[10]PAGE 3'!$1:$1048576,MATCH("outside services",'[10]PAGE 3'!$B:$B,0),16)</f>
        <v>2000</v>
      </c>
      <c r="X65" s="47">
        <f>IFERROR(VLOOKUP("Outside Services - Departmental",'[11]PAGE 3'!$B:$S,14,FALSE)+VLOOKUP("Outside Services - Gen. &amp; Inst.",'[11]PAGE 3'!$B:$S,14,FALSE),0)</f>
        <v>0</v>
      </c>
      <c r="Y65" s="13">
        <f>IFERROR(VLOOKUP("Outside Services - Departmental",'[11]PAGE 3'!$B:$S,16,FALSE)+VLOOKUP("Outside Services - Gen. &amp; Inst.",'[11]PAGE 3'!$B:$S,16,FALSE),0)</f>
        <v>0</v>
      </c>
      <c r="Z65" s="47">
        <f>IFERROR(VLOOKUP("Outside Services - Departmental",'[12]PAGE 3'!$B:$S,14,FALSE)+VLOOKUP("Outside Services - Gen. &amp; Inst.",'[12]PAGE 3'!$B:$S,14,FALSE),0)</f>
        <v>795</v>
      </c>
      <c r="AA65" s="13">
        <f>IFERROR(VLOOKUP("Outside Services - Departmental",'[12]PAGE 3'!$B:$S,16,FALSE)+VLOOKUP("Outside Services - Gen. &amp; Inst.",'[12]PAGE 3'!$B:$S,16,FALSE),0)</f>
        <v>8153</v>
      </c>
      <c r="AB65" s="47">
        <f t="shared" si="0"/>
        <v>24651.878451248223</v>
      </c>
      <c r="AC65" s="13">
        <f t="shared" si="1"/>
        <v>343742</v>
      </c>
    </row>
    <row r="66" spans="1:29">
      <c r="A66" s="5" t="s">
        <v>28</v>
      </c>
      <c r="B66" s="47">
        <f>INDEX('[4]Page 3'!$B:$DP,MATCH("0390",'[4]Page 3'!$R:$R,0),50)</f>
        <v>481</v>
      </c>
      <c r="C66" s="13">
        <f>INDEX('[4]Page 3'!$B:$DP,MATCH("0390",'[4]Page 3'!$R:$R,0),61)</f>
        <v>5181</v>
      </c>
      <c r="D66" s="47">
        <f>INDEX('[5]Page 3'!$B:$DP,MATCH("0390",'[5]Page 3'!$R:$R,0),50)</f>
        <v>846</v>
      </c>
      <c r="E66" s="13">
        <f>INDEX('[5]Page 3'!$B:$DP,MATCH("0390",'[5]Page 3'!$R:$R,0),61)</f>
        <v>7261</v>
      </c>
      <c r="F66" s="47">
        <f>INDEX('[6]Page 3'!$B:$DP,MATCH("0390",'[6]Page 3'!$R:$R,0),50)</f>
        <v>1478</v>
      </c>
      <c r="G66" s="13">
        <f>INDEX('[6]Page 3'!$B:$DP,MATCH("0390",'[6]Page 3'!$R:$R,0),61)</f>
        <v>7249</v>
      </c>
      <c r="H66" s="47">
        <f>IFERROR(VLOOKUP("Travel &amp; Entertainment",'[7]PAGE 3'!$B:$W,20,FALSE),0)</f>
        <v>0</v>
      </c>
      <c r="I66" s="13">
        <f>IFERROR(VLOOKUP("Travel &amp; Entertainment",'[7]PAGE 3'!$B:$W,22,FALSE),0)</f>
        <v>21</v>
      </c>
      <c r="J66" s="47">
        <f>IFERROR(VLOOKUP("Travel &amp; Entertainment",'[8]PAGE 3'!$B:$W,20,FALSE),0)</f>
        <v>0</v>
      </c>
      <c r="K66" s="13">
        <f>IFERROR(VLOOKUP("Travel &amp; Entertainment",'[8]PAGE 3'!$B:$W,22,FALSE),0)</f>
        <v>2</v>
      </c>
      <c r="L66" s="47"/>
      <c r="M66" s="13"/>
      <c r="N66" s="47">
        <f>IFERROR(VLOOKUP("Travel &amp; EntertainmentS",'[9]PAGE 3'!$B:$S,14,FALSE),0)</f>
        <v>0</v>
      </c>
      <c r="O66" s="13">
        <f>IFERROR(VLOOKUP("Travel &amp; EntertainmentS",'[9]PAGE 3'!$B:$S,16,FALSE),0)</f>
        <v>3</v>
      </c>
      <c r="P66" s="47">
        <f>$Q$3*'[2]PAGE 6'!$O$24</f>
        <v>116.46506498790175</v>
      </c>
      <c r="Q66" s="13">
        <f>'[2]PAGE 6'!$BI$24</f>
        <v>2362</v>
      </c>
      <c r="R66" s="47">
        <f>[3]P6!$M$47*S3</f>
        <v>367.20184709178614</v>
      </c>
      <c r="S66" s="13">
        <f>[3]P6!$BG$47</f>
        <v>4600</v>
      </c>
      <c r="T66" s="47">
        <f>[13]P6!$M$47*U3</f>
        <v>63.517827123812509</v>
      </c>
      <c r="U66" s="13">
        <f>[13]P6!$BG$47</f>
        <v>1035</v>
      </c>
      <c r="V66" s="47">
        <f>+INDEX('[10]PAGE 3'!$1:$1048576,MATCH("travel and entertainment",'[10]PAGE 3'!$B:$B,0),14)</f>
        <v>496</v>
      </c>
      <c r="W66" s="13">
        <f>+INDEX('[10]PAGE 3'!$1:$1048576,MATCH("travel and entertainment",'[10]PAGE 3'!$B:$B,0),16)</f>
        <v>812</v>
      </c>
      <c r="X66" s="47">
        <f>IFERROR(VLOOKUP("Travel &amp; EntertainmentS",'[11]PAGE 3'!$B:$S,14,FALSE),0)</f>
        <v>0</v>
      </c>
      <c r="Y66" s="13">
        <f>IFERROR(VLOOKUP("Travel &amp; EntertainmentS",'[11]PAGE 3'!$B:$S,16,FALSE),0)</f>
        <v>0</v>
      </c>
      <c r="Z66" s="47">
        <f>IFERROR(VLOOKUP("Travel &amp; EntertainmentS",'[12]PAGE 3'!$B:$S,14,FALSE),0)</f>
        <v>274</v>
      </c>
      <c r="AA66" s="13">
        <f>IFERROR(VLOOKUP("Travel &amp; EntertainmentS",'[12]PAGE 3'!$B:$S,16,FALSE),0)</f>
        <v>1103</v>
      </c>
      <c r="AB66" s="47">
        <f t="shared" si="0"/>
        <v>4122.1847392034997</v>
      </c>
      <c r="AC66" s="13">
        <f t="shared" si="1"/>
        <v>29629</v>
      </c>
    </row>
    <row r="67" spans="1:29">
      <c r="A67" s="5" t="s">
        <v>29</v>
      </c>
      <c r="B67" s="47">
        <f>INDEX('[4]Page 3'!$B:$DP,MATCH("0400",'[4]Page 3'!$R:$R,0),50)</f>
        <v>467</v>
      </c>
      <c r="C67" s="13">
        <f>INDEX('[4]Page 3'!$B:$DP,MATCH("0400",'[4]Page 3'!$R:$R,0),61)</f>
        <v>7183</v>
      </c>
      <c r="D67" s="47">
        <f>INDEX('[5]Page 3'!$B:$DP,MATCH("0400",'[5]Page 3'!$R:$R,0),50)</f>
        <v>746</v>
      </c>
      <c r="E67" s="13">
        <f>INDEX('[5]Page 3'!$B:$DP,MATCH("0400",'[5]Page 3'!$R:$R,0),61)</f>
        <v>9043</v>
      </c>
      <c r="F67" s="47">
        <f>INDEX('[6]Page 3'!$B:$DP,MATCH("0400",'[6]Page 3'!$R:$R,0),50)</f>
        <v>0</v>
      </c>
      <c r="G67" s="13">
        <f>INDEX('[6]Page 3'!$B:$DP,MATCH("0400",'[6]Page 3'!$R:$R,0),61)</f>
        <v>7771</v>
      </c>
      <c r="H67" s="47">
        <f>IFERROR(VLOOKUP("Legal &amp; Auditing",'[7]PAGE 3'!$B:$W,20,FALSE),0)</f>
        <v>-881</v>
      </c>
      <c r="I67" s="13">
        <f>IFERROR(VLOOKUP("Legal &amp; Auditing",'[7]PAGE 3'!$B:$W,22,FALSE),0)</f>
        <v>4337</v>
      </c>
      <c r="J67" s="47">
        <f>IFERROR(VLOOKUP("Legal &amp; Auditing",'[8]PAGE 3'!$B:$W,20,FALSE),0)</f>
        <v>1386</v>
      </c>
      <c r="K67" s="13">
        <f>IFERROR(VLOOKUP("Legal &amp; Auditing",'[8]PAGE 3'!$B:$W,22,FALSE),0)</f>
        <v>5869</v>
      </c>
      <c r="L67" s="47"/>
      <c r="M67" s="13"/>
      <c r="N67" s="47">
        <f>IFERROR(VLOOKUP("Legal and Auditing",'[9]PAGE 3'!$B:$S,14,FALSE),0)</f>
        <v>-896</v>
      </c>
      <c r="O67" s="13">
        <f>IFERROR(VLOOKUP("Legal and Auditing",'[9]PAGE 3'!$B:$S,16,FALSE),0)</f>
        <v>4504</v>
      </c>
      <c r="P67" s="47"/>
      <c r="Q67" s="13"/>
      <c r="R67" s="47"/>
      <c r="S67" s="13"/>
      <c r="T67" s="47"/>
      <c r="U67" s="13"/>
      <c r="V67" s="47">
        <f>+INDEX('[10]PAGE 3'!$1:$1048576,MATCH("legal, accounting and auditing expense",'[10]PAGE 3'!$B:$B,0),14)</f>
        <v>676</v>
      </c>
      <c r="W67" s="13">
        <f>+INDEX('[10]PAGE 3'!$1:$1048576,MATCH("legal, accounting and auditing expense",'[10]PAGE 3'!$B:$B,0),16)</f>
        <v>973</v>
      </c>
      <c r="X67" s="47">
        <f>IFERROR(VLOOKUP("Legal and Auditing",'[11]PAGE 3'!$B:$S,14,FALSE),0)</f>
        <v>0</v>
      </c>
      <c r="Y67" s="13">
        <f>IFERROR(VLOOKUP("Legal and Auditing",'[11]PAGE 3'!$B:$S,16,FALSE),0)</f>
        <v>0</v>
      </c>
      <c r="Z67" s="47">
        <f>IFERROR(VLOOKUP("Legal and Auditing",'[12]PAGE 3'!$B:$S,14,FALSE),0)</f>
        <v>-855</v>
      </c>
      <c r="AA67" s="13">
        <f>IFERROR(VLOOKUP("Legal and Auditing",'[12]PAGE 3'!$B:$S,16,FALSE),0)</f>
        <v>2169</v>
      </c>
      <c r="AB67" s="47">
        <f t="shared" si="0"/>
        <v>643</v>
      </c>
      <c r="AC67" s="13">
        <f t="shared" si="1"/>
        <v>41849</v>
      </c>
    </row>
    <row r="68" spans="1:29">
      <c r="A68" s="5" t="s">
        <v>30</v>
      </c>
      <c r="B68" s="47">
        <f>INDEX('[4]Page 3'!$B:$DP,MATCH("0410",'[4]Page 3'!$R:$R,0),50)</f>
        <v>2178</v>
      </c>
      <c r="C68" s="13">
        <f>INDEX('[4]Page 3'!$B:$DP,MATCH("0410",'[4]Page 3'!$R:$R,0),61)</f>
        <v>35984</v>
      </c>
      <c r="D68" s="47">
        <f>INDEX('[5]Page 3'!$B:$DP,MATCH("0410",'[5]Page 3'!$R:$R,0),50)</f>
        <v>3354</v>
      </c>
      <c r="E68" s="13">
        <f>INDEX('[5]Page 3'!$B:$DP,MATCH("0410",'[5]Page 3'!$R:$R,0),61)</f>
        <v>37310</v>
      </c>
      <c r="F68" s="47">
        <f>INDEX('[6]Page 3'!$B:$DP,MATCH("0410",'[6]Page 3'!$R:$R,0),50)</f>
        <v>3325</v>
      </c>
      <c r="G68" s="13">
        <f>INDEX('[6]Page 3'!$B:$DP,MATCH("0410",'[6]Page 3'!$R:$R,0),61)</f>
        <v>36795</v>
      </c>
      <c r="H68" s="47">
        <f>IFERROR(VLOOKUP("Telephone",'[7]PAGE 3'!$B:$W,20,FALSE),0)</f>
        <v>81</v>
      </c>
      <c r="I68" s="13">
        <f>IFERROR(VLOOKUP("Telephone",'[7]PAGE 3'!$B:$W,22,FALSE),0)</f>
        <v>980</v>
      </c>
      <c r="J68" s="47">
        <f>IFERROR(VLOOKUP("Telephone",'[8]PAGE 3'!$B:$W,20,FALSE),0)</f>
        <v>111</v>
      </c>
      <c r="K68" s="13">
        <f>IFERROR(VLOOKUP("Telephone",'[8]PAGE 3'!$B:$W,22,FALSE),0)</f>
        <v>1731</v>
      </c>
      <c r="L68" s="47"/>
      <c r="M68" s="13"/>
      <c r="N68" s="47">
        <f>IFERROR(VLOOKUP("Telephone ",'[9]PAGE 3'!$B:$S,14,FALSE),0)</f>
        <v>135</v>
      </c>
      <c r="O68" s="13">
        <f>IFERROR(VLOOKUP("Telephone ",'[9]PAGE 3'!$B:$S,16,FALSE),0)</f>
        <v>1286</v>
      </c>
      <c r="P68" s="47">
        <f>$Q$3*'[2]PAGE 6'!$O$13</f>
        <v>436.52507440954156</v>
      </c>
      <c r="Q68" s="13">
        <f>'[2]PAGE 6'!$BI$13</f>
        <v>5808</v>
      </c>
      <c r="R68" s="47">
        <f>[3]P6!$M$25*S3</f>
        <v>81.120408050342306</v>
      </c>
      <c r="S68" s="13">
        <f>[3]P6!$BG$25</f>
        <v>2625</v>
      </c>
      <c r="T68" s="47">
        <f>IFERROR([13]P6!$M$25*U3,0)</f>
        <v>59.997947535087377</v>
      </c>
      <c r="U68" s="13">
        <f>IFERROR([13]P6!$BG$25,0)</f>
        <v>1686</v>
      </c>
      <c r="V68" s="47">
        <f>+INDEX('[10]PAGE 3'!$1:$1048576,MATCH("Telephone ",'[10]PAGE 3'!$B:$B,0),14)</f>
        <v>198</v>
      </c>
      <c r="W68" s="13">
        <f>+INDEX('[10]PAGE 3'!$1:$1048576,MATCH("Telephone ",'[10]PAGE 3'!$B:$B,0),16)</f>
        <v>1102</v>
      </c>
      <c r="X68" s="47">
        <f>IFERROR(VLOOKUP("Telephone ",'[11]PAGE 3'!$B:$S,14,FALSE),0)</f>
        <v>0</v>
      </c>
      <c r="Y68" s="13">
        <f>IFERROR(VLOOKUP("Telephone ",'[11]PAGE 3'!$B:$S,16,FALSE),0)</f>
        <v>0</v>
      </c>
      <c r="Z68" s="47">
        <f>IFERROR(VLOOKUP("Telephone ",'[12]PAGE 3'!$B:$S,14,FALSE),0)</f>
        <v>279</v>
      </c>
      <c r="AA68" s="13">
        <f>IFERROR(VLOOKUP("Telephone ",'[12]PAGE 3'!$B:$S,16,FALSE),0)</f>
        <v>1797</v>
      </c>
      <c r="AB68" s="47">
        <f t="shared" si="0"/>
        <v>10238.643429994971</v>
      </c>
      <c r="AC68" s="13">
        <f t="shared" si="1"/>
        <v>127104</v>
      </c>
    </row>
    <row r="69" spans="1:29">
      <c r="A69" s="5" t="s">
        <v>31</v>
      </c>
      <c r="B69" s="47">
        <f>INDEX('[4]Page 3'!$B:$DP,MATCH("0420",'[4]Page 3'!$R:$R,0),50)</f>
        <v>263</v>
      </c>
      <c r="C69" s="13">
        <f>INDEX('[4]Page 3'!$B:$DP,MATCH("0420",'[4]Page 3'!$R:$R,0),61)</f>
        <v>2614</v>
      </c>
      <c r="D69" s="47">
        <f>INDEX('[5]Page 3'!$B:$DP,MATCH("0420",'[5]Page 3'!$R:$R,0),50)</f>
        <v>-3</v>
      </c>
      <c r="E69" s="13">
        <f>INDEX('[5]Page 3'!$B:$DP,MATCH("0420",'[5]Page 3'!$R:$R,0),61)</f>
        <v>186</v>
      </c>
      <c r="F69" s="47">
        <f>INDEX('[6]Page 3'!$B:$DP,MATCH("0420",'[6]Page 3'!$R:$R,0),50)</f>
        <v>770</v>
      </c>
      <c r="G69" s="13">
        <f>INDEX('[6]Page 3'!$B:$DP,MATCH("0420",'[6]Page 3'!$R:$R,0),61)</f>
        <v>5520</v>
      </c>
      <c r="H69" s="47">
        <f>IFERROR(VLOOKUP("Training",'[7]PAGE 3'!$B:$W,20,FALSE),0)</f>
        <v>330</v>
      </c>
      <c r="I69" s="13">
        <f>IFERROR(VLOOKUP("Training",'[7]PAGE 3'!$B:$W,22,FALSE),0)</f>
        <v>3892</v>
      </c>
      <c r="J69" s="47">
        <f>IFERROR(VLOOKUP("Training",'[8]PAGE 3'!$B:$W,20,FALSE),0)</f>
        <v>197</v>
      </c>
      <c r="K69" s="13">
        <f>IFERROR(VLOOKUP("Training",'[8]PAGE 3'!$B:$W,22,FALSE),0)</f>
        <v>5654</v>
      </c>
      <c r="L69" s="47"/>
      <c r="M69" s="13"/>
      <c r="N69" s="47">
        <f>IFERROR(VLOOKUP("Personnel Training",'[9]PAGE 3'!$B:$S,14,FALSE),0)</f>
        <v>302</v>
      </c>
      <c r="O69" s="13">
        <f>IFERROR(VLOOKUP("Personnel Training",'[9]PAGE 3'!$B:$S,16,FALSE),0)</f>
        <v>3994</v>
      </c>
      <c r="P69" s="47">
        <f>'[2]PAGE 5'!$C$54</f>
        <v>438</v>
      </c>
      <c r="Q69" s="13">
        <f>'[2]PAGE 5'!$M$54</f>
        <v>9017</v>
      </c>
      <c r="R69" s="47">
        <f>SUM([3]P5!$D$107:$G$108)</f>
        <v>0</v>
      </c>
      <c r="S69" s="13">
        <f>SUM([3]P5!$L$107:$P$108)</f>
        <v>0</v>
      </c>
      <c r="T69" s="47">
        <f>SUM([13]P5!$D$107:$G$108)</f>
        <v>0</v>
      </c>
      <c r="U69" s="13">
        <f>SUM([13]P5!$L$107:$P$108)</f>
        <v>0</v>
      </c>
      <c r="V69" s="47">
        <f>+INDEX('[10]PAGE 3'!$1:$1048576,MATCH("Training",'[10]PAGE 3'!$B:$B,0),14)</f>
        <v>0</v>
      </c>
      <c r="W69" s="13">
        <f>+INDEX('[10]PAGE 3'!$1:$1048576,MATCH("Training",'[10]PAGE 3'!$B:$B,0),16)</f>
        <v>80</v>
      </c>
      <c r="X69" s="47">
        <f>IFERROR(VLOOKUP("Personnel Training",'[11]PAGE 3'!$B:$S,14,FALSE),0)</f>
        <v>0</v>
      </c>
      <c r="Y69" s="13">
        <f>IFERROR(VLOOKUP("Personnel Training",'[11]PAGE 3'!$B:$S,16,FALSE),0)</f>
        <v>0</v>
      </c>
      <c r="Z69" s="47">
        <f>IFERROR(VLOOKUP("Personnel Training",'[12]PAGE 3'!$B:$S,14,FALSE),0)</f>
        <v>681</v>
      </c>
      <c r="AA69" s="13">
        <f>IFERROR(VLOOKUP("Personnel Training",'[12]PAGE 3'!$B:$S,16,FALSE),0)</f>
        <v>1823</v>
      </c>
      <c r="AB69" s="47">
        <f t="shared" si="0"/>
        <v>2978</v>
      </c>
      <c r="AC69" s="13">
        <f t="shared" si="1"/>
        <v>32780</v>
      </c>
    </row>
    <row r="70" spans="1:29">
      <c r="A70" s="5" t="s">
        <v>32</v>
      </c>
      <c r="B70" s="47">
        <f>INDEX('[4]Page 3'!$B:$DP,MATCH("0430",'[4]Page 3'!$R:$R,0),50)</f>
        <v>0</v>
      </c>
      <c r="C70" s="13">
        <f>INDEX('[4]Page 3'!$B:$DP,MATCH("0430",'[4]Page 3'!$R:$R,0),61)</f>
        <v>0</v>
      </c>
      <c r="D70" s="47">
        <f>INDEX('[5]Page 3'!$B:$DP,MATCH("0430",'[5]Page 3'!$R:$R,0),50)</f>
        <v>0</v>
      </c>
      <c r="E70" s="13">
        <f>INDEX('[5]Page 3'!$B:$DP,MATCH("0430",'[5]Page 3'!$R:$R,0),61)</f>
        <v>1095</v>
      </c>
      <c r="F70" s="47">
        <f>INDEX('[6]Page 3'!$B:$DP,MATCH("0430",'[6]Page 3'!$R:$R,0),50)</f>
        <v>0</v>
      </c>
      <c r="G70" s="13">
        <f>INDEX('[6]Page 3'!$B:$DP,MATCH("0430",'[6]Page 3'!$R:$R,0),61)</f>
        <v>0</v>
      </c>
      <c r="H70" s="47">
        <f>IFERROR(VLOOKUP("Bad Debts",'[7]PAGE 3'!$B:$W,20,FALSE),0)</f>
        <v>-187</v>
      </c>
      <c r="I70" s="13">
        <f>IFERROR(VLOOKUP("Bad Debts",'[7]PAGE 3'!$B:$W,22,FALSE),0)</f>
        <v>0</v>
      </c>
      <c r="J70" s="47">
        <f>IFERROR(VLOOKUP("Bad Debts",'[8]PAGE 3'!$B:$W,20,FALSE),0)</f>
        <v>0</v>
      </c>
      <c r="K70" s="13">
        <f>IFERROR(VLOOKUP("Bad Debts",'[8]PAGE 3'!$B:$W,22,FALSE),0)</f>
        <v>0</v>
      </c>
      <c r="L70" s="47"/>
      <c r="M70" s="13"/>
      <c r="N70" s="47">
        <f>IFERROR(VLOOKUP("",'[9]PAGE 3'!$B:$S,14,FALSE),0)</f>
        <v>0</v>
      </c>
      <c r="O70" s="13">
        <f>IFERROR(VLOOKUP("",'[9]PAGE 3'!$B:$S,16,FALSE),0)</f>
        <v>0</v>
      </c>
      <c r="P70" s="47">
        <f>'[2]PAGE 6'!$O$19*$Q$3</f>
        <v>-39.142769962099315</v>
      </c>
      <c r="Q70" s="13">
        <f>'[2]PAGE 6'!$Z$19*$Q$3</f>
        <v>0</v>
      </c>
      <c r="R70" s="47"/>
      <c r="S70" s="13"/>
      <c r="T70" s="47"/>
      <c r="U70" s="13"/>
      <c r="V70" s="47">
        <f>+INDEX('[10]PAGE 3'!$1:$1048576,MATCH("adjustments for doubtful accounts",'[10]PAGE 3'!$B:$B,0),14)+INDEX('[10]PAGE 3'!$1:$1048576,MATCH("bad debts recovered",'[10]PAGE 3'!$B:$B,0),14)</f>
        <v>0</v>
      </c>
      <c r="W70" s="13">
        <f>+INDEX('[10]PAGE 3'!$1:$1048576,MATCH("adjustments for doubtful accounts",'[10]PAGE 3'!$B:$B,0),16)+INDEX('[10]PAGE 3'!$1:$1048576,MATCH("bad debts recovered",'[10]PAGE 3'!$B:$B,0),16)</f>
        <v>0</v>
      </c>
      <c r="X70" s="47">
        <f>IFERROR(VLOOKUP("",'[11]PAGE 3'!$B:$S,14,FALSE),0)</f>
        <v>0</v>
      </c>
      <c r="Y70" s="13">
        <f>IFERROR(VLOOKUP("",'[11]PAGE 3'!$B:$S,16,FALSE),0)</f>
        <v>0</v>
      </c>
      <c r="Z70" s="47">
        <f>IFERROR(VLOOKUP("",'[12]PAGE 3'!$B:$S,14,FALSE),0)</f>
        <v>0</v>
      </c>
      <c r="AA70" s="13">
        <f>IFERROR(VLOOKUP("",'[12]PAGE 3'!$B:$S,16,FALSE),0)</f>
        <v>0</v>
      </c>
      <c r="AB70" s="47">
        <f t="shared" si="0"/>
        <v>-226.14276996209932</v>
      </c>
      <c r="AC70" s="13">
        <f t="shared" si="1"/>
        <v>1095</v>
      </c>
    </row>
    <row r="71" spans="1:29">
      <c r="A71" s="7" t="s">
        <v>33</v>
      </c>
      <c r="B71" s="47">
        <f>INDEX('[4]Page 3'!$B:$DP,MATCH("0440",'[4]Page 3'!$R:$R,0),50)</f>
        <v>299</v>
      </c>
      <c r="C71" s="13">
        <f>INDEX('[4]Page 3'!$B:$DP,MATCH("0440",'[4]Page 3'!$R:$R,0),61)</f>
        <v>3721</v>
      </c>
      <c r="D71" s="47">
        <f>INDEX('[5]Page 3'!$B:$DP,MATCH("0440",'[5]Page 3'!$R:$R,0),50)</f>
        <v>536</v>
      </c>
      <c r="E71" s="13">
        <f>INDEX('[5]Page 3'!$B:$DP,MATCH("0440",'[5]Page 3'!$R:$R,0),61)</f>
        <v>3019</v>
      </c>
      <c r="F71" s="47">
        <f>INDEX('[6]Page 3'!$B:$DP,MATCH("0440",'[6]Page 3'!$R:$R,0),50)</f>
        <v>418</v>
      </c>
      <c r="G71" s="13">
        <f>INDEX('[6]Page 3'!$B:$DP,MATCH("0440",'[6]Page 3'!$R:$R,0),61)</f>
        <v>2194</v>
      </c>
      <c r="H71" s="47">
        <f>+VLOOKUP("mISCELLANEOUS",'[7]PAGE 3'!$B:$W,20,FALSE)</f>
        <v>172</v>
      </c>
      <c r="I71" s="13">
        <f>+VLOOKUP("mISCELLANEOUS",'[7]PAGE 3'!$B:$W,22,FALSE)</f>
        <v>345</v>
      </c>
      <c r="J71" s="47">
        <f>+VLOOKUP("mISCELLANEOUS",'[8]PAGE 3'!$B:$W,20,FALSE)</f>
        <v>0</v>
      </c>
      <c r="K71" s="13">
        <f>+VLOOKUP("mISCELLANEOUS",'[8]PAGE 3'!$B:$W,22,FALSE)</f>
        <v>0</v>
      </c>
      <c r="L71" s="47"/>
      <c r="M71" s="13"/>
      <c r="N71" s="47">
        <f>IFERROR(VLOOKUP("Miscellaneous Expenses",'[9]PAGE 3'!$B:$S,14,FALSE)+VLOOKUP("Postage",'[9]PAGE 3'!$B:$S,14,FALSE),0)</f>
        <v>232</v>
      </c>
      <c r="O71" s="13">
        <f>IFERROR(VLOOKUP("Miscellaneous Expenses",'[9]PAGE 3'!$B:$S,16,FALSE)+VLOOKUP("Postage",'[9]PAGE 3'!$B:$S,16,FALSE),0)</f>
        <v>1978</v>
      </c>
      <c r="P71" s="47">
        <f>$Q$3*'[2]PAGE 6'!$O$25</f>
        <v>1011.844981906169</v>
      </c>
      <c r="Q71" s="13">
        <f>'[2]PAGE 6'!$BI$25</f>
        <v>7260</v>
      </c>
      <c r="R71" s="47"/>
      <c r="S71" s="13"/>
      <c r="T71" s="47"/>
      <c r="U71" s="13"/>
      <c r="V71" s="47">
        <f>+INDEX('[10]PAGE 3'!$1:$1048576,MATCH("miscellaneous",'[10]PAGE 3'!$B:$B,0),14)</f>
        <v>859</v>
      </c>
      <c r="W71" s="13">
        <f>+INDEX('[10]PAGE 3'!$1:$1048576,MATCH("miscellaneous",'[10]PAGE 3'!$B:$B,0),16)</f>
        <v>2985</v>
      </c>
      <c r="X71" s="47">
        <f>IFERROR(VLOOKUP("Miscellaneous Expenses",'[11]PAGE 3'!$B:$S,14,FALSE)+VLOOKUP("Postage",'[11]PAGE 3'!$B:$S,14,FALSE),0)</f>
        <v>0</v>
      </c>
      <c r="Y71" s="13">
        <f>IFERROR(VLOOKUP("Miscellaneous Expenses",'[11]PAGE 3'!$B:$S,16,FALSE)+VLOOKUP("Postage",'[11]PAGE 3'!$B:$S,16,FALSE),0)</f>
        <v>0</v>
      </c>
      <c r="Z71" s="47">
        <f>IFERROR(VLOOKUP("Miscellaneous Expenses",'[12]PAGE 3'!$B:$S,14,FALSE)+VLOOKUP("Postage",'[12]PAGE 3'!$B:$S,14,FALSE),0)</f>
        <v>387</v>
      </c>
      <c r="AA71" s="13">
        <f>IFERROR(VLOOKUP("Miscellaneous Expenses",'[12]PAGE 3'!$B:$S,16,FALSE)+VLOOKUP("Postage",'[12]PAGE 3'!$B:$S,16,FALSE),0)</f>
        <v>1122</v>
      </c>
      <c r="AB71" s="47">
        <f t="shared" ref="AB71:AB97" si="33">SUMIF($B$5:$AA$5,"Month",B71:AA71)</f>
        <v>3914.8449819061689</v>
      </c>
      <c r="AC71" s="13">
        <f t="shared" ref="AC71:AC97" si="34">SUMIF($B$5:$AA$5,"YTD",B71:AA71)</f>
        <v>22624</v>
      </c>
    </row>
    <row r="72" spans="1:29">
      <c r="A72" s="5" t="s">
        <v>34</v>
      </c>
      <c r="B72" s="47"/>
      <c r="C72" s="13"/>
      <c r="D72" s="47"/>
      <c r="E72" s="13"/>
      <c r="F72" s="47"/>
      <c r="G72" s="13"/>
      <c r="H72" s="47">
        <f>IFERROR(VLOOKUP("Data Processing Services",'[7]PAGE 3'!$B:$W,20,FALSE),0)</f>
        <v>2054</v>
      </c>
      <c r="I72" s="13">
        <f>IFERROR(VLOOKUP("Data Processing Services",'[7]PAGE 3'!$B:$W,22,FALSE),0)</f>
        <v>16591</v>
      </c>
      <c r="J72" s="47">
        <f>IFERROR(VLOOKUP("Data Processing Services",'[8]PAGE 3'!$B:$W,20,FALSE),0)</f>
        <v>545</v>
      </c>
      <c r="K72" s="13">
        <f>IFERROR(VLOOKUP("Data Processing Services",'[8]PAGE 3'!$B:$W,22,FALSE),0)</f>
        <v>13746</v>
      </c>
      <c r="L72" s="47"/>
      <c r="M72" s="13"/>
      <c r="N72" s="47">
        <f>IFERROR(VLOOKUP("Data Processing Services",'[9]PAGE 3'!$B:$S,14,FALSE),0)</f>
        <v>1644</v>
      </c>
      <c r="O72" s="13">
        <f>IFERROR(VLOOKUP("Data Processing Services",'[9]PAGE 3'!$B:$S,16,FALSE),0)</f>
        <v>19461</v>
      </c>
      <c r="P72" s="47">
        <f>$Q$3*'[2]PAGE 6'!$O$18</f>
        <v>2073.0781567846511</v>
      </c>
      <c r="Q72" s="13">
        <f>'[2]PAGE 6'!$BI$18</f>
        <v>40465</v>
      </c>
      <c r="R72" s="47">
        <f>[3]P6!$M$35*S3</f>
        <v>2307.5316073018475</v>
      </c>
      <c r="S72" s="13">
        <f>[3]P6!$BG$35</f>
        <v>25237</v>
      </c>
      <c r="T72" s="47">
        <f>[13]P6!$M$35*U3</f>
        <v>826.85171429688421</v>
      </c>
      <c r="U72" s="13">
        <f>[13]P6!$BG$35</f>
        <v>10876</v>
      </c>
      <c r="V72" s="47">
        <f>+INDEX('[10]PAGE 3'!$1:$1048576,MATCH("data processing",'[10]PAGE 3'!$B:$B,0),14)</f>
        <v>1946</v>
      </c>
      <c r="W72" s="13">
        <f>+INDEX('[10]PAGE 3'!$1:$1048576,MATCH("data processing",'[10]PAGE 3'!$B:$B,0),16)</f>
        <v>10844</v>
      </c>
      <c r="X72" s="47">
        <f>IFERROR(VLOOKUP("Data Processing Services",'[11]PAGE 3'!$B:$S,14,FALSE),0)</f>
        <v>0</v>
      </c>
      <c r="Y72" s="13">
        <f>IFERROR(VLOOKUP("Data Processing Services",'[11]PAGE 3'!$B:$S,16,FALSE),0)</f>
        <v>0</v>
      </c>
      <c r="Z72" s="47">
        <f>IFERROR(VLOOKUP("Data Processing Services",'[12]PAGE 3'!$B:$S,14,FALSE),0)</f>
        <v>-3050</v>
      </c>
      <c r="AA72" s="13">
        <f>IFERROR(VLOOKUP("Data Processing Services",'[12]PAGE 3'!$B:$S,16,FALSE),0)</f>
        <v>9439</v>
      </c>
      <c r="AB72" s="47">
        <f t="shared" si="33"/>
        <v>8346.461478383384</v>
      </c>
      <c r="AC72" s="13">
        <f t="shared" si="34"/>
        <v>146659</v>
      </c>
    </row>
    <row r="73" spans="1:29">
      <c r="A73" s="5" t="s">
        <v>35</v>
      </c>
      <c r="B73" s="47"/>
      <c r="C73" s="13"/>
      <c r="D73" s="47"/>
      <c r="E73" s="13"/>
      <c r="F73" s="47"/>
      <c r="G73" s="13"/>
      <c r="H73" s="47">
        <f>IFERROR(VLOOKUP("Contributions",'[7]PAGE 3'!$B:$W,20,FALSE),0)</f>
        <v>59</v>
      </c>
      <c r="I73" s="13">
        <f>IFERROR(VLOOKUP("Contributions",'[7]PAGE 3'!$B:$W,22,FALSE),0)</f>
        <v>1479</v>
      </c>
      <c r="J73" s="47">
        <f>IFERROR(VLOOKUP("Contributions",'[8]PAGE 3'!$B:$W,20,FALSE),0)</f>
        <v>0</v>
      </c>
      <c r="K73" s="13">
        <f>IFERROR(VLOOKUP("Contributions",'[8]PAGE 3'!$B:$W,22,FALSE),0)</f>
        <v>578</v>
      </c>
      <c r="L73" s="47"/>
      <c r="M73" s="13"/>
      <c r="N73" s="47">
        <f>IFERROR(VLOOKUP("Contributions",'[9]PAGE 3'!$B:$S,14,FALSE),0)</f>
        <v>0</v>
      </c>
      <c r="O73" s="13">
        <f>IFERROR(VLOOKUP("Contributions",'[9]PAGE 3'!$B:$S,16,FALSE),0)</f>
        <v>3269</v>
      </c>
      <c r="P73" s="47">
        <f>$Q$3*'[2]PAGE 6'!$O$20</f>
        <v>0</v>
      </c>
      <c r="Q73" s="13">
        <f>'[2]PAGE 6'!$BI$20</f>
        <v>859</v>
      </c>
      <c r="R73" s="47">
        <f>IFERROR([3]P6!$M$39*S3,0)</f>
        <v>0</v>
      </c>
      <c r="S73" s="13">
        <f>[3]P6!$BG$39</f>
        <v>189</v>
      </c>
      <c r="T73" s="47">
        <f>IFERROR([13]P6!$M$39*U3,0)</f>
        <v>0</v>
      </c>
      <c r="U73" s="13">
        <f>IFERROR([13]P6!$BG$39,0)</f>
        <v>0</v>
      </c>
      <c r="V73" s="47">
        <f>+INDEX('[10]PAGE 3'!$1:$1048576,MATCH("contributions",'[10]PAGE 3'!$B:$B,0),14)</f>
        <v>0</v>
      </c>
      <c r="W73" s="13">
        <f>+INDEX('[10]PAGE 3'!$1:$1048576,MATCH("contributions",'[10]PAGE 3'!$B:$B,0),16)</f>
        <v>0</v>
      </c>
      <c r="X73" s="47">
        <f>IFERROR(VLOOKUP("Contributions",'[11]PAGE 3'!$B:$S,14,FALSE),0)</f>
        <v>0</v>
      </c>
      <c r="Y73" s="13">
        <f>IFERROR(VLOOKUP("Contributions",'[11]PAGE 3'!$B:$S,16,FALSE),0)</f>
        <v>0</v>
      </c>
      <c r="Z73" s="47">
        <f>IFERROR(VLOOKUP("Contributions",'[12]PAGE 3'!$B:$S,14,FALSE),0)</f>
        <v>39</v>
      </c>
      <c r="AA73" s="13">
        <f>IFERROR(VLOOKUP("Contributions",'[12]PAGE 3'!$B:$S,16,FALSE),0)</f>
        <v>127</v>
      </c>
      <c r="AB73" s="47">
        <f t="shared" si="33"/>
        <v>98</v>
      </c>
      <c r="AC73" s="13">
        <f t="shared" si="34"/>
        <v>6501</v>
      </c>
    </row>
    <row r="74" spans="1:29">
      <c r="A74" s="5" t="s">
        <v>36</v>
      </c>
      <c r="B74" s="47">
        <f>INDEX('[4]Page 3'!$B:$DP,MATCH("0480",'[4]Page 3'!$R:$R,0),50)</f>
        <v>276</v>
      </c>
      <c r="C74" s="13">
        <f>INDEX('[4]Page 3'!$B:$DP,MATCH("0480",'[4]Page 3'!$R:$R,0),61)</f>
        <v>4582</v>
      </c>
      <c r="D74" s="47">
        <f>INDEX('[5]Page 3'!$B:$DP,MATCH("0480",'[5]Page 3'!$R:$R,0),50)</f>
        <v>747</v>
      </c>
      <c r="E74" s="13">
        <f>INDEX('[5]Page 3'!$B:$DP,MATCH("0480",'[5]Page 3'!$R:$R,0),61)</f>
        <v>16014</v>
      </c>
      <c r="F74" s="47">
        <f>INDEX('[6]Page 3'!$B:$DP,MATCH("0480",'[6]Page 3'!$R:$R,0),50)</f>
        <v>547</v>
      </c>
      <c r="G74" s="13">
        <f>INDEX('[6]Page 3'!$B:$DP,MATCH("0480",'[6]Page 3'!$R:$R,0),61)</f>
        <v>4166</v>
      </c>
      <c r="H74" s="47">
        <f>IFERROR(VLOOKUP("Memberships,  Dues, Pblcns.",'[7]PAGE 3'!$B:$W,20,FALSE),0)</f>
        <v>283</v>
      </c>
      <c r="I74" s="13">
        <f>IFERROR(VLOOKUP("Memberships,  Dues, Pblcns.",'[7]PAGE 3'!$B:$W,22,FALSE),0)</f>
        <v>2475</v>
      </c>
      <c r="J74" s="47">
        <f>IFERROR(VLOOKUP("Memberships,  Dues, Pblcns.",'[8]PAGE 3'!$B:$W,20,FALSE),0)</f>
        <v>47</v>
      </c>
      <c r="K74" s="13">
        <f>IFERROR(VLOOKUP("Memberships,  Dues, Pblcns.",'[8]PAGE 3'!$B:$W,22,FALSE),0)</f>
        <v>273</v>
      </c>
      <c r="L74" s="47"/>
      <c r="M74" s="13"/>
      <c r="N74" s="47">
        <f>IFERROR(VLOOKUP("Dues &amp; Subscriptions",'[9]PAGE 3'!$B:$S,14,FALSE),0)</f>
        <v>107</v>
      </c>
      <c r="O74" s="13">
        <f>IFERROR(VLOOKUP("Dues &amp; Subscriptions",'[9]PAGE 3'!$B:$S,16,FALSE),0)</f>
        <v>1170</v>
      </c>
      <c r="P74" s="47"/>
      <c r="Q74" s="13"/>
      <c r="R74" s="47"/>
      <c r="S74" s="13"/>
      <c r="T74" s="47"/>
      <c r="U74" s="13"/>
      <c r="V74" s="47">
        <f>+INDEX('[10]PAGE 3'!$1:$1048576,MATCH("membership, dues and publications",'[10]PAGE 3'!$B:$B,0),14)</f>
        <v>0</v>
      </c>
      <c r="W74" s="13">
        <f>+INDEX('[10]PAGE 3'!$1:$1048576,MATCH("membership, dues and publications",'[10]PAGE 3'!$B:$B,0),16)</f>
        <v>168</v>
      </c>
      <c r="X74" s="47">
        <f>IFERROR(VLOOKUP("Dues &amp; Subscriptions",'[11]PAGE 3'!$B:$S,14,FALSE),0)</f>
        <v>0</v>
      </c>
      <c r="Y74" s="13">
        <f>IFERROR(VLOOKUP("Dues &amp; Subscriptions",'[11]PAGE 3'!$B:$S,16,FALSE),0)</f>
        <v>0</v>
      </c>
      <c r="Z74" s="47">
        <f>IFERROR(VLOOKUP("Dues &amp; Subscriptions",'[12]PAGE 3'!$B:$S,14,FALSE),0)</f>
        <v>169</v>
      </c>
      <c r="AA74" s="13">
        <f>IFERROR(VLOOKUP("Dues &amp; Subscriptions",'[12]PAGE 3'!$B:$S,16,FALSE),0)</f>
        <v>587</v>
      </c>
      <c r="AB74" s="47">
        <f t="shared" si="33"/>
        <v>2176</v>
      </c>
      <c r="AC74" s="13">
        <f t="shared" si="34"/>
        <v>29435</v>
      </c>
    </row>
    <row r="75" spans="1:29">
      <c r="A75" s="4" t="s">
        <v>56</v>
      </c>
      <c r="B75" s="24">
        <f t="shared" ref="B75:C75" si="35">SUM(B59:B74)</f>
        <v>7670</v>
      </c>
      <c r="C75" s="25">
        <f t="shared" si="35"/>
        <v>115165</v>
      </c>
      <c r="D75" s="24">
        <f t="shared" ref="D75:E75" si="36">SUM(D59:D74)</f>
        <v>17628</v>
      </c>
      <c r="E75" s="25">
        <f t="shared" si="36"/>
        <v>179216</v>
      </c>
      <c r="F75" s="24">
        <f t="shared" ref="F75:G75" si="37">SUM(F59:F74)</f>
        <v>14332</v>
      </c>
      <c r="G75" s="25">
        <f t="shared" si="37"/>
        <v>150053</v>
      </c>
      <c r="H75" s="24">
        <f t="shared" ref="H75:K75" si="38">SUM(H59:H74)</f>
        <v>5952</v>
      </c>
      <c r="I75" s="25">
        <f t="shared" si="38"/>
        <v>91910</v>
      </c>
      <c r="J75" s="24">
        <f t="shared" si="38"/>
        <v>5465</v>
      </c>
      <c r="K75" s="25">
        <f t="shared" si="38"/>
        <v>78104</v>
      </c>
      <c r="L75" s="24"/>
      <c r="M75" s="25"/>
      <c r="N75" s="24">
        <f t="shared" ref="N75:S75" si="39">SUM(N59:N74)</f>
        <v>7997</v>
      </c>
      <c r="O75" s="25">
        <f t="shared" si="39"/>
        <v>92692</v>
      </c>
      <c r="P75" s="24">
        <f t="shared" si="39"/>
        <v>4279.175702875742</v>
      </c>
      <c r="Q75" s="25">
        <f t="shared" si="39"/>
        <v>80025</v>
      </c>
      <c r="R75" s="24">
        <f t="shared" si="39"/>
        <v>9848.6478151298543</v>
      </c>
      <c r="S75" s="25">
        <f t="shared" si="39"/>
        <v>132987</v>
      </c>
      <c r="T75" s="24">
        <f t="shared" ref="T75:AA75" si="40">SUM(T59:T74)</f>
        <v>1968.2526682043865</v>
      </c>
      <c r="U75" s="25">
        <f t="shared" si="40"/>
        <v>36092</v>
      </c>
      <c r="V75" s="24">
        <f t="shared" si="40"/>
        <v>5260</v>
      </c>
      <c r="W75" s="25">
        <f t="shared" si="40"/>
        <v>28689</v>
      </c>
      <c r="X75" s="24">
        <f t="shared" si="40"/>
        <v>0</v>
      </c>
      <c r="Y75" s="25">
        <f t="shared" si="40"/>
        <v>0</v>
      </c>
      <c r="Z75" s="24">
        <f t="shared" si="40"/>
        <v>-7946</v>
      </c>
      <c r="AA75" s="25">
        <f t="shared" si="40"/>
        <v>23500</v>
      </c>
      <c r="AB75" s="24">
        <f t="shared" si="33"/>
        <v>72454.076186209975</v>
      </c>
      <c r="AC75" s="25">
        <f t="shared" si="34"/>
        <v>1008433</v>
      </c>
    </row>
    <row r="76" spans="1:29">
      <c r="A76" s="5" t="s">
        <v>37</v>
      </c>
      <c r="B76" s="47">
        <f>INDEX('[4]Page 3'!$B:$DP,MATCH("0500",'[4]Page 3'!$R:$R,0),50)</f>
        <v>8475</v>
      </c>
      <c r="C76" s="13">
        <f>INDEX('[4]Page 3'!$B:$DP,MATCH("0500",'[4]Page 3'!$R:$R,0),61)</f>
        <v>102525</v>
      </c>
      <c r="D76" s="47">
        <f>INDEX('[5]Page 3'!$B:$DP,MATCH("0500",'[5]Page 3'!$R:$R,0),50)</f>
        <v>4200</v>
      </c>
      <c r="E76" s="13">
        <f>INDEX('[5]Page 3'!$B:$DP,MATCH("0500",'[5]Page 3'!$R:$R,0),61)</f>
        <v>50400</v>
      </c>
      <c r="F76" s="47">
        <f>INDEX('[6]Page 3'!$B:$DP,MATCH("0500",'[6]Page 3'!$R:$R,0),50)</f>
        <v>8030</v>
      </c>
      <c r="G76" s="13">
        <f>INDEX('[6]Page 3'!$B:$DP,MATCH("0500",'[6]Page 3'!$R:$R,0),61)</f>
        <v>95118</v>
      </c>
      <c r="H76" s="47">
        <f>IFERROR(VLOOKUP("Rent",'[7]PAGE 3'!$B:$W,20,FALSE),0)</f>
        <v>5126</v>
      </c>
      <c r="I76" s="13">
        <f>IFERROR(VLOOKUP("Rent",'[7]PAGE 3'!$B:$W,22,FALSE),0)</f>
        <v>59132</v>
      </c>
      <c r="J76" s="47">
        <f>IFERROR(VLOOKUP("Rent",'[8]PAGE 3'!$B:$W,20,FALSE),0)</f>
        <v>4995</v>
      </c>
      <c r="K76" s="13">
        <f>IFERROR(VLOOKUP("Rent",'[8]PAGE 3'!$B:$W,22,FALSE),0)</f>
        <v>55000</v>
      </c>
      <c r="L76" s="47"/>
      <c r="M76" s="13"/>
      <c r="N76" s="47">
        <f>IFERROR(VLOOKUP("Rent &amp; Equivalent",'[9]PAGE 3'!$B:$S,14,FALSE),0)</f>
        <v>8116</v>
      </c>
      <c r="O76" s="13">
        <f>IFERROR(VLOOKUP("Rent &amp; Equivalent",'[9]PAGE 3'!$B:$S,16,FALSE),0)</f>
        <v>82059</v>
      </c>
      <c r="P76" s="47">
        <f>$Q$3*'[2]PAGE 6'!$O$11</f>
        <v>3630.5575897732383</v>
      </c>
      <c r="Q76" s="13">
        <f>'[2]PAGE 6'!$BI$11</f>
        <v>50048</v>
      </c>
      <c r="R76" s="47">
        <f>[3]P6!$M$21*S3</f>
        <v>5307.546697921015</v>
      </c>
      <c r="S76" s="13">
        <f>[3]P6!$BG$21</f>
        <v>72043</v>
      </c>
      <c r="T76" s="47">
        <f>[13]P6!$M$21*U3</f>
        <v>1714.0213651823763</v>
      </c>
      <c r="U76" s="13">
        <f>[13]P6!$BG$21</f>
        <v>33335</v>
      </c>
      <c r="V76" s="47">
        <f>+INDEX('[10]PAGE 3'!$1:$1048576,MATCH("rent",'[10]PAGE 3'!$B:$B,0),14)</f>
        <v>5600</v>
      </c>
      <c r="W76" s="13">
        <f>+INDEX('[10]PAGE 3'!$1:$1048576,MATCH("rent",'[10]PAGE 3'!$B:$B,0),16)</f>
        <v>31800</v>
      </c>
      <c r="X76" s="47">
        <f>IFERROR(VLOOKUP("Rent &amp; Equivalent",'[11]PAGE 3'!$B:$S,14,FALSE),0)</f>
        <v>0</v>
      </c>
      <c r="Y76" s="13">
        <f>IFERROR(VLOOKUP("Rent &amp; Equivalent",'[11]PAGE 3'!$B:$S,16,FALSE),0)</f>
        <v>0</v>
      </c>
      <c r="Z76" s="47">
        <f>IFERROR(VLOOKUP("Rent &amp; Equivalent",'[12]PAGE 3'!$B:$S,14,FALSE),0)</f>
        <v>6000</v>
      </c>
      <c r="AA76" s="13">
        <f>IFERROR(VLOOKUP("Rent &amp; Equivalent",'[12]PAGE 3'!$B:$S,16,FALSE),0)</f>
        <v>23995</v>
      </c>
      <c r="AB76" s="47">
        <f t="shared" si="33"/>
        <v>61194.125652876639</v>
      </c>
      <c r="AC76" s="13">
        <f t="shared" si="34"/>
        <v>655455</v>
      </c>
    </row>
    <row r="77" spans="1:29">
      <c r="A77" s="5" t="s">
        <v>38</v>
      </c>
      <c r="B77" s="47">
        <f>INDEX('[4]Page 3'!$B:$DP,MATCH("0510",'[4]Page 3'!$R:$R,0),50)</f>
        <v>-57</v>
      </c>
      <c r="C77" s="13">
        <f>INDEX('[4]Page 3'!$B:$DP,MATCH("0510",'[4]Page 3'!$R:$R,0),61)</f>
        <v>434</v>
      </c>
      <c r="D77" s="47">
        <f>INDEX('[5]Page 3'!$B:$DP,MATCH("0510",'[5]Page 3'!$R:$R,0),50)</f>
        <v>0</v>
      </c>
      <c r="E77" s="13">
        <f>INDEX('[5]Page 3'!$B:$DP,MATCH("0510",'[5]Page 3'!$R:$R,0),61)</f>
        <v>0</v>
      </c>
      <c r="F77" s="47">
        <f>INDEX('[6]Page 3'!$B:$DP,MATCH("0510",'[6]Page 3'!$R:$R,0),50)</f>
        <v>0</v>
      </c>
      <c r="G77" s="13">
        <f>INDEX('[6]Page 3'!$B:$DP,MATCH("0510",'[6]Page 3'!$R:$R,0),61)</f>
        <v>0</v>
      </c>
      <c r="H77" s="47">
        <f>IFERROR(VLOOKUP("Amortization  - Leaseholds",'[7]PAGE 3'!$B:$W,20,FALSE),0)</f>
        <v>0</v>
      </c>
      <c r="I77" s="13">
        <f>IFERROR(VLOOKUP("Amortization  - Leaseholds",'[7]PAGE 3'!$B:$W,22,FALSE),0)</f>
        <v>0</v>
      </c>
      <c r="J77" s="47">
        <f>IFERROR(VLOOKUP("Amortization  - Leaseholds",'[8]PAGE 3'!$B:$W,20,FALSE),0)</f>
        <v>0</v>
      </c>
      <c r="K77" s="13">
        <f>IFERROR(VLOOKUP("Amortization  - Leaseholds",'[8]PAGE 3'!$B:$W,22,FALSE),0)</f>
        <v>0</v>
      </c>
      <c r="L77" s="47"/>
      <c r="M77" s="13"/>
      <c r="N77" s="47">
        <f>IFERROR(VLOOKUP("",'[9]PAGE 3'!$B:$S,14,FALSE),0)</f>
        <v>0</v>
      </c>
      <c r="O77" s="13">
        <f>IFERROR(VLOOKUP("",'[9]PAGE 3'!$B:$S,16,FALSE),0)</f>
        <v>0</v>
      </c>
      <c r="P77" s="47"/>
      <c r="Q77" s="13"/>
      <c r="R77" s="47"/>
      <c r="S77" s="13"/>
      <c r="T77" s="47"/>
      <c r="U77" s="13"/>
      <c r="V77" s="47">
        <f>+INDEX('[10]PAGE 3'!$1:$1048576,MATCH("amortization - leaseholds",'[10]PAGE 3'!$B:$B,0),14)</f>
        <v>0</v>
      </c>
      <c r="W77" s="13">
        <f>+INDEX('[10]PAGE 3'!$1:$1048576,MATCH("amortization - leaseholds",'[10]PAGE 3'!$B:$B,0),16)</f>
        <v>0</v>
      </c>
      <c r="X77" s="47">
        <f>IFERROR(VLOOKUP("",'[11]PAGE 3'!$B:$S,14,FALSE),0)</f>
        <v>0</v>
      </c>
      <c r="Y77" s="13">
        <f>IFERROR(VLOOKUP("",'[11]PAGE 3'!$B:$S,16,FALSE),0)</f>
        <v>0</v>
      </c>
      <c r="Z77" s="47">
        <f>IFERROR(VLOOKUP("",'[12]PAGE 3'!$B:$S,14,FALSE),0)</f>
        <v>0</v>
      </c>
      <c r="AA77" s="13">
        <f>IFERROR(VLOOKUP("",'[12]PAGE 3'!$B:$S,16,FALSE),0)</f>
        <v>0</v>
      </c>
      <c r="AB77" s="47">
        <f t="shared" si="33"/>
        <v>-57</v>
      </c>
      <c r="AC77" s="13">
        <f t="shared" si="34"/>
        <v>434</v>
      </c>
    </row>
    <row r="78" spans="1:29">
      <c r="A78" s="5" t="s">
        <v>39</v>
      </c>
      <c r="B78" s="47">
        <f>INDEX('[4]Page 3'!$B:$DP,MATCH("0520",'[4]Page 3'!$R:$R,0),50)</f>
        <v>0</v>
      </c>
      <c r="C78" s="13">
        <f>INDEX('[4]Page 3'!$B:$DP,MATCH("0520",'[4]Page 3'!$R:$R,0),61)</f>
        <v>3541</v>
      </c>
      <c r="D78" s="47">
        <f>INDEX('[5]Page 3'!$B:$DP,MATCH("0520",'[5]Page 3'!$R:$R,0),50)</f>
        <v>0</v>
      </c>
      <c r="E78" s="13">
        <f>INDEX('[5]Page 3'!$B:$DP,MATCH("0520",'[5]Page 3'!$R:$R,0),61)</f>
        <v>582</v>
      </c>
      <c r="F78" s="47">
        <f>INDEX('[6]Page 3'!$B:$DP,MATCH("0520",'[6]Page 3'!$R:$R,0),50)</f>
        <v>0</v>
      </c>
      <c r="G78" s="13">
        <f>INDEX('[6]Page 3'!$B:$DP,MATCH("0520",'[6]Page 3'!$R:$R,0),61)</f>
        <v>196</v>
      </c>
      <c r="H78" s="47">
        <f>IFERROR(VLOOKUP("Repairs &amp; Maint - Real Estate",'[7]PAGE 3'!$B:$W,20,FALSE),0)</f>
        <v>0</v>
      </c>
      <c r="I78" s="13">
        <f>IFERROR(VLOOKUP("Repairs &amp; Maint - Real Estate",'[7]PAGE 3'!$B:$W,22,FALSE),0)</f>
        <v>258</v>
      </c>
      <c r="J78" s="47">
        <f>IFERROR(VLOOKUP("Repairs &amp; Maint - Real Estate",'[8]PAGE 3'!$B:$W,20,FALSE),0)</f>
        <v>39</v>
      </c>
      <c r="K78" s="13">
        <f>IFERROR(VLOOKUP("Repairs &amp; Maint - Real Estate",'[8]PAGE 3'!$B:$W,22,FALSE),0)</f>
        <v>62</v>
      </c>
      <c r="L78" s="47"/>
      <c r="M78" s="13"/>
      <c r="N78" s="47">
        <f>IFERROR(VLOOKUP("",'[9]PAGE 3'!$B:$S,14,FALSE),0)</f>
        <v>0</v>
      </c>
      <c r="O78" s="13">
        <f>IFERROR(VLOOKUP("",'[9]PAGE 3'!$B:$S,16,FALSE),0)</f>
        <v>0</v>
      </c>
      <c r="P78" s="47"/>
      <c r="Q78" s="13"/>
      <c r="R78" s="47"/>
      <c r="S78" s="13"/>
      <c r="T78" s="47"/>
      <c r="U78" s="13"/>
      <c r="V78" s="47">
        <f>+INDEX('[10]PAGE 3'!$1:$1048576,MATCH("repairs - real estate",'[10]PAGE 3'!$B:$B,0),14)</f>
        <v>150</v>
      </c>
      <c r="W78" s="13">
        <f>+INDEX('[10]PAGE 3'!$1:$1048576,MATCH("repairs - real estate",'[10]PAGE 3'!$B:$B,0),16)</f>
        <v>1372</v>
      </c>
      <c r="X78" s="47">
        <f>IFERROR(VLOOKUP("",'[11]PAGE 3'!$B:$S,14,FALSE),0)</f>
        <v>0</v>
      </c>
      <c r="Y78" s="13">
        <f>IFERROR(VLOOKUP("",'[11]PAGE 3'!$B:$S,16,FALSE),0)</f>
        <v>0</v>
      </c>
      <c r="Z78" s="47">
        <f>IFERROR(VLOOKUP("",'[12]PAGE 3'!$B:$S,14,FALSE),0)</f>
        <v>0</v>
      </c>
      <c r="AA78" s="13">
        <f>IFERROR(VLOOKUP("",'[12]PAGE 3'!$B:$S,16,FALSE),0)</f>
        <v>0</v>
      </c>
      <c r="AB78" s="47">
        <f t="shared" si="33"/>
        <v>189</v>
      </c>
      <c r="AC78" s="13">
        <f t="shared" si="34"/>
        <v>6011</v>
      </c>
    </row>
    <row r="79" spans="1:29">
      <c r="A79" s="5" t="s">
        <v>40</v>
      </c>
      <c r="B79" s="47">
        <f>INDEX('[4]Page 3'!$B:$DP,MATCH("0530",'[4]Page 3'!$R:$R,0),50)</f>
        <v>0</v>
      </c>
      <c r="C79" s="13">
        <f>INDEX('[4]Page 3'!$B:$DP,MATCH("0530",'[4]Page 3'!$R:$R,0),61)</f>
        <v>0</v>
      </c>
      <c r="D79" s="47">
        <f>INDEX('[5]Page 3'!$B:$DP,MATCH("0530",'[5]Page 3'!$R:$R,0),50)</f>
        <v>292</v>
      </c>
      <c r="E79" s="13">
        <f>INDEX('[5]Page 3'!$B:$DP,MATCH("0530",'[5]Page 3'!$R:$R,0),61)</f>
        <v>1753</v>
      </c>
      <c r="F79" s="47">
        <f>INDEX('[6]Page 3'!$B:$DP,MATCH("0530",'[6]Page 3'!$R:$R,0),50)</f>
        <v>152</v>
      </c>
      <c r="G79" s="13">
        <f>INDEX('[6]Page 3'!$B:$DP,MATCH("0530",'[6]Page 3'!$R:$R,0),61)</f>
        <v>1126</v>
      </c>
      <c r="H79" s="47">
        <f>IFERROR(VLOOKUP("Depreciation  - Bldg &amp; Imps",'[7]PAGE 3'!$B:$W,20,FALSE),0)</f>
        <v>0</v>
      </c>
      <c r="I79" s="13">
        <f>IFERROR(VLOOKUP("Depreciation  - Bldg &amp; Imps",'[7]PAGE 3'!$B:$W,22,FALSE),0)</f>
        <v>0</v>
      </c>
      <c r="J79" s="47">
        <f>IFERROR(VLOOKUP("Depreciation  - Bldg &amp; Imps",'[8]PAGE 3'!$B:$W,20,FALSE),0)</f>
        <v>0</v>
      </c>
      <c r="K79" s="13">
        <f>IFERROR(VLOOKUP("Depreciation  - Bldg &amp; Imps",'[8]PAGE 3'!$B:$W,22,FALSE),0)</f>
        <v>0</v>
      </c>
      <c r="L79" s="47"/>
      <c r="M79" s="13"/>
      <c r="N79" s="47">
        <f>IFERROR(VLOOKUP("",'[9]PAGE 3'!$B:$S,14,FALSE),0)</f>
        <v>0</v>
      </c>
      <c r="O79" s="13">
        <f>IFERROR(VLOOKUP("",'[9]PAGE 3'!$B:$S,16,FALSE),0)</f>
        <v>0</v>
      </c>
      <c r="P79" s="47"/>
      <c r="Q79" s="13"/>
      <c r="R79" s="47"/>
      <c r="S79" s="13"/>
      <c r="T79" s="47"/>
      <c r="U79" s="13"/>
      <c r="V79" s="47">
        <f>+INDEX('[10]PAGE 3'!$1:$1048576,MATCH("depreciation - buildings and improvements",'[10]PAGE 3'!$B:$B,0),14)</f>
        <v>0</v>
      </c>
      <c r="W79" s="13">
        <f>+INDEX('[10]PAGE 3'!$1:$1048576,MATCH("depreciation - buildings and improvements",'[10]PAGE 3'!$B:$B,0),16)</f>
        <v>0</v>
      </c>
      <c r="X79" s="47">
        <f>IFERROR(VLOOKUP("",'[11]PAGE 3'!$B:$S,14,FALSE),0)</f>
        <v>0</v>
      </c>
      <c r="Y79" s="13">
        <f>IFERROR(VLOOKUP("",'[11]PAGE 3'!$B:$S,16,FALSE),0)</f>
        <v>0</v>
      </c>
      <c r="Z79" s="47">
        <f>IFERROR(VLOOKUP("",'[12]PAGE 3'!$B:$S,14,FALSE),0)</f>
        <v>0</v>
      </c>
      <c r="AA79" s="13">
        <f>IFERROR(VLOOKUP("",'[12]PAGE 3'!$B:$S,16,FALSE),0)</f>
        <v>0</v>
      </c>
      <c r="AB79" s="47">
        <f t="shared" si="33"/>
        <v>444</v>
      </c>
      <c r="AC79" s="13">
        <f t="shared" si="34"/>
        <v>2879</v>
      </c>
    </row>
    <row r="80" spans="1:29">
      <c r="A80" s="5" t="s">
        <v>41</v>
      </c>
      <c r="B80" s="47">
        <f>INDEX('[4]Page 3'!$B:$DP,MATCH("0540",'[4]Page 3'!$R:$R,0),50)</f>
        <v>860</v>
      </c>
      <c r="C80" s="13">
        <f>INDEX('[4]Page 3'!$B:$DP,MATCH("0540",'[4]Page 3'!$R:$R,0),61)</f>
        <v>8004</v>
      </c>
      <c r="D80" s="47">
        <f>INDEX('[5]Page 3'!$B:$DP,MATCH("0540",'[5]Page 3'!$R:$R,0),50)</f>
        <v>257</v>
      </c>
      <c r="E80" s="13">
        <f>INDEX('[5]Page 3'!$B:$DP,MATCH("0540",'[5]Page 3'!$R:$R,0),61)</f>
        <v>2897</v>
      </c>
      <c r="F80" s="47">
        <f>INDEX('[6]Page 3'!$B:$DP,MATCH("0540",'[6]Page 3'!$R:$R,0),50)</f>
        <v>0</v>
      </c>
      <c r="G80" s="13">
        <f>INDEX('[6]Page 3'!$B:$DP,MATCH("0540",'[6]Page 3'!$R:$R,0),61)</f>
        <v>0</v>
      </c>
      <c r="H80" s="47">
        <f>IFERROR(VLOOKUP("Insurance - Bldgs &amp; Imps",'[7]PAGE 3'!$B:$W,20,FALSE),0)</f>
        <v>0</v>
      </c>
      <c r="I80" s="13">
        <f>IFERROR(VLOOKUP("Insurance - Bldgs &amp; Imps",'[7]PAGE 3'!$B:$W,22,FALSE),0)</f>
        <v>0</v>
      </c>
      <c r="J80" s="47">
        <f>IFERROR(VLOOKUP("Insurance - Bldgs &amp; Imps",'[8]PAGE 3'!$B:$W,20,FALSE),0)</f>
        <v>0</v>
      </c>
      <c r="K80" s="13">
        <f>IFERROR(VLOOKUP("Insurance - Bldgs &amp; Imps",'[8]PAGE 3'!$B:$W,22,FALSE),0)</f>
        <v>0</v>
      </c>
      <c r="L80" s="47"/>
      <c r="M80" s="13"/>
      <c r="N80" s="47">
        <f>IFERROR(VLOOKUP("",'[9]PAGE 3'!$B:$S,14,FALSE),0)</f>
        <v>0</v>
      </c>
      <c r="O80" s="13">
        <f>IFERROR(VLOOKUP("",'[9]PAGE 3'!$B:$S,16,FALSE),0)</f>
        <v>0</v>
      </c>
      <c r="P80" s="47"/>
      <c r="Q80" s="13"/>
      <c r="R80" s="47"/>
      <c r="S80" s="13"/>
      <c r="T80" s="47"/>
      <c r="U80" s="13"/>
      <c r="V80" s="47">
        <f>+INDEX('[10]PAGE 3'!$1:$1048576,MATCH("insurance - building and improvements",'[10]PAGE 3'!$B:$B,0),14)</f>
        <v>0</v>
      </c>
      <c r="W80" s="13">
        <f>+INDEX('[10]PAGE 3'!$1:$1048576,MATCH("insurance - building and improvements",'[10]PAGE 3'!$B:$B,0),16)</f>
        <v>0</v>
      </c>
      <c r="X80" s="47">
        <f>IFERROR(VLOOKUP("",'[11]PAGE 3'!$B:$S,14,FALSE),0)</f>
        <v>0</v>
      </c>
      <c r="Y80" s="13">
        <f>IFERROR(VLOOKUP("",'[11]PAGE 3'!$B:$S,16,FALSE),0)</f>
        <v>0</v>
      </c>
      <c r="Z80" s="47">
        <f>IFERROR(VLOOKUP("",'[12]PAGE 3'!$B:$S,14,FALSE),0)</f>
        <v>0</v>
      </c>
      <c r="AA80" s="13">
        <f>IFERROR(VLOOKUP("",'[12]PAGE 3'!$B:$S,16,FALSE),0)</f>
        <v>0</v>
      </c>
      <c r="AB80" s="47">
        <f t="shared" si="33"/>
        <v>1117</v>
      </c>
      <c r="AC80" s="13">
        <f t="shared" si="34"/>
        <v>10901</v>
      </c>
    </row>
    <row r="81" spans="1:29">
      <c r="A81" s="5" t="s">
        <v>42</v>
      </c>
      <c r="B81" s="47">
        <f>INDEX('[4]Page 3'!$B:$DP,MATCH("0550",'[4]Page 3'!$R:$R,0),50)</f>
        <v>255</v>
      </c>
      <c r="C81" s="13">
        <f>INDEX('[4]Page 3'!$B:$DP,MATCH("0550",'[4]Page 3'!$R:$R,0),61)</f>
        <v>3060</v>
      </c>
      <c r="D81" s="47">
        <f>INDEX('[5]Page 3'!$B:$DP,MATCH("0550",'[5]Page 3'!$R:$R,0),50)</f>
        <v>533</v>
      </c>
      <c r="E81" s="13">
        <f>INDEX('[5]Page 3'!$B:$DP,MATCH("0550",'[5]Page 3'!$R:$R,0),61)</f>
        <v>6397</v>
      </c>
      <c r="F81" s="47">
        <f>INDEX('[6]Page 3'!$B:$DP,MATCH("0550",'[6]Page 3'!$R:$R,0),50)</f>
        <v>590</v>
      </c>
      <c r="G81" s="13">
        <f>INDEX('[6]Page 3'!$B:$DP,MATCH("0550",'[6]Page 3'!$R:$R,0),61)</f>
        <v>2845</v>
      </c>
      <c r="H81" s="47">
        <f>IFERROR(VLOOKUP("Taxes - Real Estate",'[7]PAGE 3'!$B:$W,20,FALSE),0)</f>
        <v>154</v>
      </c>
      <c r="I81" s="13">
        <f>IFERROR(VLOOKUP("Taxes - Real Estate",'[7]PAGE 3'!$B:$W,22,FALSE),0)</f>
        <v>2678</v>
      </c>
      <c r="J81" s="47">
        <f>IFERROR(VLOOKUP("Taxes - Real Estate",'[8]PAGE 3'!$B:$W,20,FALSE),0)</f>
        <v>26</v>
      </c>
      <c r="K81" s="13">
        <f>IFERROR(VLOOKUP("Taxes - Real Estate",'[8]PAGE 3'!$B:$W,22,FALSE),0)</f>
        <v>1823</v>
      </c>
      <c r="L81" s="47"/>
      <c r="M81" s="13"/>
      <c r="N81" s="47">
        <f>IFERROR(VLOOKUP("",'[9]PAGE 3'!$B:$S,14,FALSE),0)</f>
        <v>0</v>
      </c>
      <c r="O81" s="13">
        <f>IFERROR(VLOOKUP("",'[9]PAGE 3'!$B:$S,16,FALSE),0)</f>
        <v>0</v>
      </c>
      <c r="P81" s="47"/>
      <c r="Q81" s="13"/>
      <c r="R81" s="47"/>
      <c r="S81" s="13"/>
      <c r="T81" s="47"/>
      <c r="U81" s="13"/>
      <c r="V81" s="47">
        <f>+INDEX('[10]PAGE 3'!$1:$1048576,MATCH("taxes - real estate",'[10]PAGE 3'!$B:$B,0),14)</f>
        <v>0</v>
      </c>
      <c r="W81" s="13">
        <f>+INDEX('[10]PAGE 3'!$1:$1048576,MATCH("taxes - real estate",'[10]PAGE 3'!$B:$B,0),16)</f>
        <v>0</v>
      </c>
      <c r="X81" s="47">
        <f>IFERROR(VLOOKUP("",'[11]PAGE 3'!$B:$S,14,FALSE),0)</f>
        <v>0</v>
      </c>
      <c r="Y81" s="13">
        <f>IFERROR(VLOOKUP("",'[11]PAGE 3'!$B:$S,16,FALSE),0)</f>
        <v>0</v>
      </c>
      <c r="Z81" s="47">
        <f>IFERROR(VLOOKUP("",'[12]PAGE 3'!$B:$S,14,FALSE),0)</f>
        <v>0</v>
      </c>
      <c r="AA81" s="13">
        <f>IFERROR(VLOOKUP("",'[12]PAGE 3'!$B:$S,16,FALSE),0)</f>
        <v>0</v>
      </c>
      <c r="AB81" s="47">
        <f t="shared" si="33"/>
        <v>1558</v>
      </c>
      <c r="AC81" s="13">
        <f t="shared" si="34"/>
        <v>16803</v>
      </c>
    </row>
    <row r="82" spans="1:29">
      <c r="A82" s="5" t="s">
        <v>255</v>
      </c>
      <c r="B82" s="47"/>
      <c r="C82" s="13"/>
      <c r="D82" s="47"/>
      <c r="E82" s="13"/>
      <c r="F82" s="47"/>
      <c r="G82" s="13"/>
      <c r="H82" s="47">
        <f>IFERROR(VLOOKUP("Mortgage Interest",'[7]PAGE 3'!$B:$W,20,FALSE)+VLOOKUP("Other Interest",'[7]PAGE 3'!$B:$W,20,FALSE),0)</f>
        <v>626</v>
      </c>
      <c r="I82" s="13">
        <f>IFERROR(VLOOKUP("Mortgage Interest",'[7]PAGE 3'!$B:$W,22,FALSE)+VLOOKUP("Other Interest",'[7]PAGE 3'!$B:$W,22,FALSE),0)</f>
        <v>9047</v>
      </c>
      <c r="J82" s="47">
        <f>IFERROR(VLOOKUP("Mortgage Interest",'[8]PAGE 3'!$B:$W,20,FALSE)+VLOOKUP("Other Interest",'[8]PAGE 3'!$B:$W,20,FALSE),0)</f>
        <v>626</v>
      </c>
      <c r="K82" s="13">
        <f>IFERROR(VLOOKUP("Mortgage Interest",'[8]PAGE 3'!$B:$W,22,FALSE)+VLOOKUP("Other Interest",'[8]PAGE 3'!$B:$W,22,FALSE),0)</f>
        <v>9047</v>
      </c>
      <c r="L82" s="47"/>
      <c r="M82" s="13"/>
      <c r="N82" s="47">
        <f>IFERROR(VLOOKUP("Interest - Other Than Floor Plan &amp; R.E. Mortgage",'[9]PAGE 3'!$B:$S,14,FALSE),0)</f>
        <v>162</v>
      </c>
      <c r="O82" s="13">
        <f>IFERROR(VLOOKUP("Interest - Other Than Floor Plan &amp; R.E. Mortgage",'[9]PAGE 3'!$B:$S,16,FALSE),0)</f>
        <v>12842</v>
      </c>
      <c r="P82" s="47">
        <f>$Q$3*'[2]PAGE 6'!$O$21</f>
        <v>1225.9480525042291</v>
      </c>
      <c r="Q82" s="13">
        <f>'[2]PAGE 6'!$BI$21</f>
        <v>17894</v>
      </c>
      <c r="R82" s="47">
        <f>[3]P6!$M$41*S3</f>
        <v>609.76306721864796</v>
      </c>
      <c r="S82" s="13">
        <f>[3]P6!$BG$41</f>
        <v>8971</v>
      </c>
      <c r="T82" s="47">
        <f>[13]P6!$M$41*U3</f>
        <v>609.73914148324798</v>
      </c>
      <c r="U82" s="13">
        <f>[13]P6!$BG$41</f>
        <v>8971</v>
      </c>
      <c r="V82" s="47">
        <f>+INDEX('[10]PAGE 3'!$1:$1048576,MATCH("interest - real estate mortgage",'[10]PAGE 3'!$B:$B,0),14)</f>
        <v>0</v>
      </c>
      <c r="W82" s="13">
        <f>+INDEX('[10]PAGE 3'!$1:$1048576,MATCH("interest - real estate mortgage",'[10]PAGE 3'!$B:$B,0),16)</f>
        <v>0</v>
      </c>
      <c r="X82" s="47">
        <f>IFERROR(VLOOKUP("Interest - Other Than Floor Plan &amp; R.E. Mortgage",'[11]PAGE 3'!$B:$S,14,FALSE),0)</f>
        <v>0</v>
      </c>
      <c r="Y82" s="13">
        <f>IFERROR(VLOOKUP("Interest - Other Than Floor Plan &amp; R.E. Mortgage",'[11]PAGE 3'!$B:$S,16,FALSE),0)</f>
        <v>0</v>
      </c>
      <c r="Z82" s="47">
        <f>IFERROR(VLOOKUP("Interest - Other Than Floor Plan &amp; R.E. Mortgage",'[12]PAGE 3'!$B:$S,14,FALSE),0)</f>
        <v>5313</v>
      </c>
      <c r="AA82" s="13">
        <f>IFERROR(VLOOKUP("Interest - Other Than Floor Plan &amp; R.E. Mortgage",'[12]PAGE 3'!$B:$S,16,FALSE),0)</f>
        <v>5313</v>
      </c>
      <c r="AB82" s="47">
        <f t="shared" si="33"/>
        <v>9172.450261206126</v>
      </c>
      <c r="AC82" s="13">
        <f t="shared" si="34"/>
        <v>72085</v>
      </c>
    </row>
    <row r="83" spans="1:29">
      <c r="A83" s="5" t="s">
        <v>44</v>
      </c>
      <c r="B83" s="47">
        <f>INDEX('[4]Page 3'!$B:$DP,MATCH("0570",'[4]Page 3'!$R:$R,0),50)</f>
        <v>883</v>
      </c>
      <c r="C83" s="13">
        <f>INDEX('[4]Page 3'!$B:$DP,MATCH("0570",'[4]Page 3'!$R:$R,0),61)</f>
        <v>14964</v>
      </c>
      <c r="D83" s="47">
        <f>INDEX('[5]Page 3'!$B:$DP,MATCH("0570",'[5]Page 3'!$R:$R,0),50)</f>
        <v>1275</v>
      </c>
      <c r="E83" s="13">
        <f>INDEX('[5]Page 3'!$B:$DP,MATCH("0570",'[5]Page 3'!$R:$R,0),61)</f>
        <v>18124</v>
      </c>
      <c r="F83" s="47">
        <f>INDEX('[6]Page 3'!$B:$DP,MATCH("0570",'[6]Page 3'!$R:$R,0),50)</f>
        <v>1577</v>
      </c>
      <c r="G83" s="13">
        <f>INDEX('[6]Page 3'!$B:$DP,MATCH("0570",'[6]Page 3'!$R:$R,0),61)</f>
        <v>14359</v>
      </c>
      <c r="H83" s="47">
        <f>IFERROR(VLOOKUP("Utilities",'[7]PAGE 3'!$B:$W,20,FALSE),0)</f>
        <v>776</v>
      </c>
      <c r="I83" s="13">
        <f>IFERROR(VLOOKUP("Utilities",'[7]PAGE 3'!$B:$W,22,FALSE),0)</f>
        <v>6510</v>
      </c>
      <c r="J83" s="47">
        <f>IFERROR(VLOOKUP("Utilities",'[8]PAGE 3'!$B:$W,20,FALSE),0)</f>
        <v>334</v>
      </c>
      <c r="K83" s="13">
        <f>IFERROR(VLOOKUP("Utilities",'[8]PAGE 3'!$B:$W,22,FALSE),0)</f>
        <v>6381</v>
      </c>
      <c r="L83" s="47"/>
      <c r="M83" s="13"/>
      <c r="N83" s="47">
        <f>IFERROR(VLOOKUP("Heat, Light, Power &amp; Water",'[9]PAGE 3'!$B:$S,14,FALSE),0)</f>
        <v>749</v>
      </c>
      <c r="O83" s="13">
        <f>IFERROR(VLOOKUP("Heat, Light, Power &amp; Water",'[9]PAGE 3'!$B:$S,16,FALSE),0)</f>
        <v>9975</v>
      </c>
      <c r="P83" s="47">
        <f>$Q$3*'[2]PAGE 6'!$O$12</f>
        <v>780.31593541894176</v>
      </c>
      <c r="Q83" s="13">
        <f>'[2]PAGE 6'!$BI$12</f>
        <v>9983</v>
      </c>
      <c r="R83" s="47">
        <f>[3]P6!$M$23*S3</f>
        <v>1263.6863565712101</v>
      </c>
      <c r="S83" s="13">
        <f>[3]P6!$BG$23</f>
        <v>15069</v>
      </c>
      <c r="T83" s="47">
        <f>[13]P6!$M$23*U3</f>
        <v>509.10258415106142</v>
      </c>
      <c r="U83" s="13">
        <f>[13]P6!$BG$23</f>
        <v>6269</v>
      </c>
      <c r="V83" s="47">
        <f>+INDEX('[10]PAGE 3'!$1:$1048576,MATCH("heat, light, power and water",'[10]PAGE 3'!$B:$B,0),14)</f>
        <v>698</v>
      </c>
      <c r="W83" s="13">
        <f>+INDEX('[10]PAGE 3'!$1:$1048576,MATCH("heat, light, power and water",'[10]PAGE 3'!$B:$B,0),16)</f>
        <v>4086</v>
      </c>
      <c r="X83" s="47">
        <f>IFERROR(VLOOKUP("Heat, Light, Power &amp; Water",'[11]PAGE 3'!$B:$S,14,FALSE),0)</f>
        <v>0</v>
      </c>
      <c r="Y83" s="13">
        <f>IFERROR(VLOOKUP("Heat, Light, Power &amp; Water",'[11]PAGE 3'!$B:$S,16,FALSE),0)</f>
        <v>0</v>
      </c>
      <c r="Z83" s="47">
        <f>IFERROR(VLOOKUP("Heat, Light, Power &amp; Water",'[12]PAGE 3'!$B:$S,14,FALSE),0)</f>
        <v>403</v>
      </c>
      <c r="AA83" s="13">
        <f>IFERROR(VLOOKUP("Heat, Light, Power &amp; Water",'[12]PAGE 3'!$B:$S,16,FALSE),0)</f>
        <v>3970</v>
      </c>
      <c r="AB83" s="47">
        <f t="shared" si="33"/>
        <v>9248.104876141213</v>
      </c>
      <c r="AC83" s="13">
        <f t="shared" si="34"/>
        <v>109690</v>
      </c>
    </row>
    <row r="84" spans="1:29">
      <c r="A84" s="4" t="s">
        <v>57</v>
      </c>
      <c r="B84" s="24">
        <f t="shared" ref="B84:C84" si="41">SUM(B76:B83)</f>
        <v>10416</v>
      </c>
      <c r="C84" s="25">
        <f t="shared" si="41"/>
        <v>132528</v>
      </c>
      <c r="D84" s="24">
        <f t="shared" ref="D84:E84" si="42">SUM(D76:D83)</f>
        <v>6557</v>
      </c>
      <c r="E84" s="25">
        <f t="shared" si="42"/>
        <v>80153</v>
      </c>
      <c r="F84" s="24">
        <f t="shared" ref="F84:G84" si="43">SUM(F76:F83)</f>
        <v>10349</v>
      </c>
      <c r="G84" s="25">
        <f t="shared" si="43"/>
        <v>113644</v>
      </c>
      <c r="H84" s="24">
        <f t="shared" ref="H84:S84" si="44">SUM(H76:H83)</f>
        <v>6682</v>
      </c>
      <c r="I84" s="25">
        <f t="shared" si="44"/>
        <v>77625</v>
      </c>
      <c r="J84" s="24">
        <f t="shared" si="44"/>
        <v>6020</v>
      </c>
      <c r="K84" s="25">
        <f t="shared" si="44"/>
        <v>72313</v>
      </c>
      <c r="L84" s="24"/>
      <c r="M84" s="25"/>
      <c r="N84" s="24">
        <f t="shared" si="44"/>
        <v>9027</v>
      </c>
      <c r="O84" s="25">
        <f t="shared" si="44"/>
        <v>104876</v>
      </c>
      <c r="P84" s="24">
        <f t="shared" si="44"/>
        <v>5636.8215776964089</v>
      </c>
      <c r="Q84" s="25">
        <f t="shared" si="44"/>
        <v>77925</v>
      </c>
      <c r="R84" s="24">
        <f t="shared" si="44"/>
        <v>7180.996121710873</v>
      </c>
      <c r="S84" s="25">
        <f t="shared" si="44"/>
        <v>96083</v>
      </c>
      <c r="T84" s="24">
        <f t="shared" ref="T84:AA84" si="45">SUM(T76:T83)</f>
        <v>2832.8630908166856</v>
      </c>
      <c r="U84" s="25">
        <f t="shared" si="45"/>
        <v>48575</v>
      </c>
      <c r="V84" s="24">
        <f t="shared" si="45"/>
        <v>6448</v>
      </c>
      <c r="W84" s="25">
        <f t="shared" si="45"/>
        <v>37258</v>
      </c>
      <c r="X84" s="24">
        <f t="shared" si="45"/>
        <v>0</v>
      </c>
      <c r="Y84" s="25">
        <f t="shared" si="45"/>
        <v>0</v>
      </c>
      <c r="Z84" s="24">
        <f t="shared" si="45"/>
        <v>11716</v>
      </c>
      <c r="AA84" s="25">
        <f t="shared" si="45"/>
        <v>33278</v>
      </c>
      <c r="AB84" s="24">
        <f t="shared" si="33"/>
        <v>82865.680790223967</v>
      </c>
      <c r="AC84" s="25">
        <f t="shared" si="34"/>
        <v>874258</v>
      </c>
    </row>
    <row r="85" spans="1:29">
      <c r="A85" s="8" t="s">
        <v>45</v>
      </c>
      <c r="B85" s="47">
        <f>INDEX('[4]Page 3'!$B:$DP,MATCH("0600",'[4]Page 3'!$R:$R,0),50)</f>
        <v>0</v>
      </c>
      <c r="C85" s="13">
        <f>INDEX('[4]Page 3'!$B:$DP,MATCH("0600",'[4]Page 3'!$R:$R,0),61)</f>
        <v>0</v>
      </c>
      <c r="D85" s="47">
        <f>INDEX('[5]Page 3'!$B:$DP,MATCH("0600",'[5]Page 3'!$R:$R,0),50)</f>
        <v>291</v>
      </c>
      <c r="E85" s="13">
        <f>INDEX('[5]Page 3'!$B:$DP,MATCH("0600",'[5]Page 3'!$R:$R,0),61)</f>
        <v>3258</v>
      </c>
      <c r="F85" s="47">
        <f>INDEX('[6]Page 3'!$B:$DP,MATCH("0600",'[6]Page 3'!$R:$R,0),50)</f>
        <v>0</v>
      </c>
      <c r="G85" s="13">
        <f>INDEX('[6]Page 3'!$B:$DP,MATCH("0600",'[6]Page 3'!$R:$R,0),61)</f>
        <v>0</v>
      </c>
      <c r="H85" s="47">
        <f>IFERROR(VLOOKUP("",'[7]PAGE 3'!$B:$W,20,FALSE),0)</f>
        <v>0</v>
      </c>
      <c r="I85" s="13">
        <f>IFERROR(VLOOKUP("",'[7]PAGE 3'!$B:$W,22,FALSE),0)</f>
        <v>0</v>
      </c>
      <c r="J85" s="47">
        <f>IFERROR(VLOOKUP("",'[8]PAGE 3'!$B:$W,20,FALSE),0)</f>
        <v>0</v>
      </c>
      <c r="K85" s="13">
        <f>IFERROR(VLOOKUP("",'[8]PAGE 3'!$B:$W,22,FALSE),0)</f>
        <v>0</v>
      </c>
      <c r="L85" s="47"/>
      <c r="M85" s="13"/>
      <c r="N85" s="47">
        <f>IFERROR(VLOOKUP("",'[9]PAGE 3'!$B:$S,14,FALSE),0)</f>
        <v>0</v>
      </c>
      <c r="O85" s="13">
        <f>IFERROR(VLOOKUP("",'[9]PAGE 3'!$B:$S,16,FALSE),0)</f>
        <v>0</v>
      </c>
      <c r="P85" s="47"/>
      <c r="Q85" s="13"/>
      <c r="R85" s="47"/>
      <c r="S85" s="13"/>
      <c r="T85" s="47"/>
      <c r="U85" s="13"/>
      <c r="V85" s="47"/>
      <c r="W85" s="13"/>
      <c r="X85" s="47">
        <f>IFERROR(VLOOKUP("",'[11]PAGE 3'!$B:$S,14,FALSE),0)</f>
        <v>0</v>
      </c>
      <c r="Y85" s="13">
        <f>IFERROR(VLOOKUP("",'[11]PAGE 3'!$B:$S,16,FALSE),0)</f>
        <v>0</v>
      </c>
      <c r="Z85" s="47">
        <f>IFERROR(VLOOKUP("",'[12]PAGE 3'!$B:$S,14,FALSE),0)</f>
        <v>0</v>
      </c>
      <c r="AA85" s="13">
        <f>IFERROR(VLOOKUP("",'[12]PAGE 3'!$B:$S,16,FALSE),0)</f>
        <v>0</v>
      </c>
      <c r="AB85" s="47">
        <f t="shared" si="33"/>
        <v>291</v>
      </c>
      <c r="AC85" s="13">
        <f t="shared" si="34"/>
        <v>3258</v>
      </c>
    </row>
    <row r="86" spans="1:29">
      <c r="A86" s="5" t="s">
        <v>46</v>
      </c>
      <c r="B86" s="47">
        <f>INDEX('[4]Page 3'!$B:$DP,MATCH("0620",'[4]Page 3'!$R:$R,0),50)</f>
        <v>141</v>
      </c>
      <c r="C86" s="13">
        <f>INDEX('[4]Page 3'!$B:$DP,MATCH("0620",'[4]Page 3'!$R:$R,0),61)</f>
        <v>2018</v>
      </c>
      <c r="D86" s="47">
        <f>INDEX('[5]Page 3'!$B:$DP,MATCH("0620",'[5]Page 3'!$R:$R,0),50)</f>
        <v>601</v>
      </c>
      <c r="E86" s="13">
        <f>INDEX('[5]Page 3'!$B:$DP,MATCH("0620",'[5]Page 3'!$R:$R,0),61)</f>
        <v>2846</v>
      </c>
      <c r="F86" s="47">
        <f>INDEX('[6]Page 3'!$B:$DP,MATCH("0620",'[6]Page 3'!$R:$R,0),50)</f>
        <v>521</v>
      </c>
      <c r="G86" s="13">
        <f>INDEX('[6]Page 3'!$B:$DP,MATCH("0620",'[6]Page 3'!$R:$R,0),61)</f>
        <v>4452</v>
      </c>
      <c r="H86" s="47">
        <f>IFERROR(VLOOKUP("Equipment Repairs &amp; Rentals",'[7]PAGE 3'!$B:$W,20,FALSE),0)</f>
        <v>238</v>
      </c>
      <c r="I86" s="13">
        <f>IFERROR(VLOOKUP("Equipment Repairs &amp; Rentals",'[7]PAGE 3'!$B:$W,22,FALSE),0)</f>
        <v>477</v>
      </c>
      <c r="J86" s="47">
        <f>IFERROR(VLOOKUP("Equipment Repairs &amp; Rentals",'[8]PAGE 3'!$B:$W,20,FALSE),0)</f>
        <v>663</v>
      </c>
      <c r="K86" s="13">
        <f>IFERROR(VLOOKUP("Equipment Repairs &amp; Rentals",'[8]PAGE 3'!$B:$W,22,FALSE),0)</f>
        <v>3671</v>
      </c>
      <c r="L86" s="47"/>
      <c r="M86" s="13"/>
      <c r="N86" s="47">
        <f>IFERROR(VLOOKUP("Equip. - Maint., Repair &amp; Rental - Dept'l.",'[9]PAGE 3'!$B:$S,14,FALSE),0)</f>
        <v>303</v>
      </c>
      <c r="O86" s="13">
        <f>IFERROR(VLOOKUP("Equip. - Maint., Repair &amp; Rental - Dept'l.",'[9]PAGE 3'!$B:$S,16,FALSE),0)</f>
        <v>890</v>
      </c>
      <c r="P86" s="47">
        <f>$Q$3*'[2]PAGE 6'!$O$23</f>
        <v>11.383803344682127</v>
      </c>
      <c r="Q86" s="13">
        <f>'[2]PAGE 6'!$BI$23</f>
        <v>84</v>
      </c>
      <c r="R86" s="47">
        <f>[3]P5!$D$117+[3]P6!$M$45*S3</f>
        <v>288.84044185332925</v>
      </c>
      <c r="S86" s="13">
        <f>[3]P5!$L$117+[3]P6!$BG$45</f>
        <v>2948</v>
      </c>
      <c r="T86" s="47">
        <f>[13]P5!$D$117+[13]P6!$M$45*U3</f>
        <v>49.11941436334493</v>
      </c>
      <c r="U86" s="13">
        <f>[13]P5!$L$117+[13]P6!$BG$45</f>
        <v>367</v>
      </c>
      <c r="V86" s="47">
        <f>+INDEX('[10]PAGE 3'!$1:$1048576,MATCH("repairs - equipment",'[10]PAGE 3'!$B:$B,0),14)+INDEX('[10]PAGE 3'!$1:$1048576,MATCH("equipment rental",'[10]PAGE 3'!$B:$B,0),14)</f>
        <v>0</v>
      </c>
      <c r="W86" s="13">
        <f>+INDEX('[10]PAGE 3'!$1:$1048576,MATCH("repairs - equipment",'[10]PAGE 3'!$B:$B,0),16)+INDEX('[10]PAGE 3'!$1:$1048576,MATCH("equipment rental",'[10]PAGE 3'!$B:$B,0),16)</f>
        <v>115</v>
      </c>
      <c r="X86" s="47">
        <f>IFERROR(VLOOKUP("Equip. - Maint., Repair &amp; Rental - Dept'l.",'[11]PAGE 3'!$B:$S,14,FALSE),0)</f>
        <v>0</v>
      </c>
      <c r="Y86" s="13">
        <f>IFERROR(VLOOKUP("Equip. - Maint., Repair &amp; Rental - Dept'l.",'[11]PAGE 3'!$B:$S,16,FALSE),0)</f>
        <v>0</v>
      </c>
      <c r="Z86" s="47">
        <f>IFERROR(VLOOKUP("Equip. - Maint., Repair &amp; Rental - Dept'l.",'[12]PAGE 3'!$B:$S,14,FALSE),0)</f>
        <v>183</v>
      </c>
      <c r="AA86" s="13">
        <f>IFERROR(VLOOKUP("Equip. - Maint., Repair &amp; Rental - Dept'l.",'[12]PAGE 3'!$B:$S,16,FALSE),0)</f>
        <v>183</v>
      </c>
      <c r="AB86" s="47">
        <f t="shared" si="33"/>
        <v>2999.3436595613562</v>
      </c>
      <c r="AC86" s="13">
        <f t="shared" si="34"/>
        <v>18051</v>
      </c>
    </row>
    <row r="87" spans="1:29">
      <c r="A87" s="7" t="s">
        <v>47</v>
      </c>
      <c r="B87" s="47">
        <f>INDEX('[4]Page 3'!$B:$DP,MATCH("0630",'[4]Page 3'!$R:$R,0),50)</f>
        <v>-6292</v>
      </c>
      <c r="C87" s="13">
        <f>INDEX('[4]Page 3'!$B:$DP,MATCH("0630",'[4]Page 3'!$R:$R,0),61)</f>
        <v>11830</v>
      </c>
      <c r="D87" s="47">
        <f>INDEX('[5]Page 3'!$B:$DP,MATCH("0630",'[5]Page 3'!$R:$R,0),50)</f>
        <v>2001</v>
      </c>
      <c r="E87" s="13">
        <f>INDEX('[5]Page 3'!$B:$DP,MATCH("0630",'[5]Page 3'!$R:$R,0),61)</f>
        <v>23385</v>
      </c>
      <c r="F87" s="47">
        <f>INDEX('[6]Page 3'!$B:$DP,MATCH("0630",'[6]Page 3'!$R:$R,0),50)</f>
        <v>1121</v>
      </c>
      <c r="G87" s="13">
        <f>INDEX('[6]Page 3'!$B:$DP,MATCH("0630",'[6]Page 3'!$R:$R,0),61)</f>
        <v>12440</v>
      </c>
      <c r="H87" s="47">
        <f>IFERROR(VLOOKUP("Depreciation  - Other",'[7]PAGE 3'!$B:$W,20,FALSE),0)</f>
        <v>1173</v>
      </c>
      <c r="I87" s="13">
        <f>IFERROR(VLOOKUP("Depreciation  - Other",'[7]PAGE 3'!$B:$W,22,FALSE),0)</f>
        <v>13302</v>
      </c>
      <c r="J87" s="47">
        <f>IFERROR(VLOOKUP("Depreciation  - Other",'[8]PAGE 3'!$B:$W,20,FALSE),0)</f>
        <v>1042</v>
      </c>
      <c r="K87" s="13">
        <f>IFERROR(VLOOKUP("Depreciation  - Other",'[8]PAGE 3'!$B:$W,22,FALSE),0)</f>
        <v>11436</v>
      </c>
      <c r="L87" s="47"/>
      <c r="M87" s="13"/>
      <c r="N87" s="47">
        <f>IFERROR(VLOOKUP("Depr. - Equip. &amp; Vehicles - Dept'l.",'[9]PAGE 3'!$B:$S,14,FALSE)+VLOOKUP("Furniture, Signs, Fixtures &amp; Equipment - Depreciation, Maintenance, Repair &amp; Rental",'[9]PAGE 3'!$B:$S,14,FALSE),0)</f>
        <v>977</v>
      </c>
      <c r="O87" s="13">
        <f>IFERROR(VLOOKUP("Depr. - Equip. &amp; Vehicles - Dept'l.",'[9]PAGE 3'!$B:$S,16,FALSE)+VLOOKUP("Furniture, Signs, Fixtures &amp; Equipment - Depreciation, Maintenance, Repair &amp; Rental",'[9]PAGE 3'!$B:$S,16,FALSE),0)</f>
        <v>9746</v>
      </c>
      <c r="P87" s="47">
        <f>'[2]PAGE 5'!$C$60+$Q$3*'[2]PAGE 6'!$O$22</f>
        <v>854.78908374553009</v>
      </c>
      <c r="Q87" s="13">
        <f>'[2]PAGE 5'!$M$60+'[2]PAGE 6'!$BI$22</f>
        <v>16371</v>
      </c>
      <c r="R87" s="47">
        <f>[3]P6!$M$43*S3</f>
        <v>1460.1673449061614</v>
      </c>
      <c r="S87" s="13">
        <f>[3]P6!$BG$43</f>
        <v>17523</v>
      </c>
      <c r="T87" s="47">
        <f>SUM([13]P6!$M$43)*U3</f>
        <v>315.66920129793971</v>
      </c>
      <c r="U87" s="13">
        <f>SUM([13]P6!$BG$43)</f>
        <v>3788</v>
      </c>
      <c r="V87" s="47">
        <f>+INDEX('[10]PAGE 3'!$1:$1048576,MATCH("depreciation - other than bldgs. &amp; improvs.",'[10]PAGE 3'!$B:$B,0),14)</f>
        <v>0</v>
      </c>
      <c r="W87" s="13">
        <f>+INDEX('[10]PAGE 3'!$1:$1048576,MATCH("depreciation - other than bldgs. &amp; improvs.",'[10]PAGE 3'!$B:$B,0),16)</f>
        <v>0</v>
      </c>
      <c r="X87" s="47">
        <f>IFERROR(VLOOKUP("Depr. - Equip. &amp; Vehicles - Dept'l.",'[11]PAGE 3'!$B:$S,14,FALSE)+VLOOKUP("Furniture, Signs, Fixtures &amp; Equipment - Depreciation, Maintenance, Repair &amp; Rental",'[11]PAGE 3'!$B:$S,14,FALSE),0)</f>
        <v>0</v>
      </c>
      <c r="Y87" s="13">
        <f>IFERROR(VLOOKUP("Depr. - Equip. &amp; Vehicles - Dept'l.",'[11]PAGE 3'!$B:$S,16,FALSE)+VLOOKUP("Furniture, Signs, Fixtures &amp; Equipment - Depreciation, Maintenance, Repair &amp; Rental",'[11]PAGE 3'!$B:$S,16,FALSE),0)</f>
        <v>0</v>
      </c>
      <c r="Z87" s="47">
        <f>IFERROR(VLOOKUP("Depr. - Equip. &amp; Vehicles - Dept'l.",'[12]PAGE 3'!$B:$S,14,FALSE)+VLOOKUP("Furniture, Signs, Fixtures &amp; Equipment - Depreciation, Maintenance, Repair &amp; Rental",'[12]PAGE 3'!$B:$S,14,FALSE),0)</f>
        <v>416</v>
      </c>
      <c r="AA87" s="13">
        <f>IFERROR(VLOOKUP("Depr. - Equip. &amp; Vehicles - Dept'l.",'[12]PAGE 3'!$B:$S,16,FALSE)+VLOOKUP("Furniture, Signs, Fixtures &amp; Equipment - Depreciation, Maintenance, Repair &amp; Rental",'[12]PAGE 3'!$B:$S,16,FALSE),0)</f>
        <v>3219</v>
      </c>
      <c r="AB87" s="47">
        <f t="shared" si="33"/>
        <v>3068.6256299496313</v>
      </c>
      <c r="AC87" s="13">
        <f t="shared" si="34"/>
        <v>123040</v>
      </c>
    </row>
    <row r="88" spans="1:29">
      <c r="A88" s="7" t="s">
        <v>48</v>
      </c>
      <c r="B88" s="47">
        <f>INDEX('[4]Page 3'!$B:$DP,MATCH("0640",'[4]Page 3'!$R:$R,0),50)</f>
        <v>878</v>
      </c>
      <c r="C88" s="13">
        <f>INDEX('[4]Page 3'!$B:$DP,MATCH("0640",'[4]Page 3'!$R:$R,0),61)</f>
        <v>9053</v>
      </c>
      <c r="D88" s="47">
        <f>INDEX('[5]Page 3'!$B:$DP,MATCH("0640",'[5]Page 3'!$R:$R,0),50)</f>
        <v>1988</v>
      </c>
      <c r="E88" s="13">
        <f>INDEX('[5]Page 3'!$B:$DP,MATCH("0640",'[5]Page 3'!$R:$R,0),61)</f>
        <v>19361</v>
      </c>
      <c r="F88" s="47">
        <f>INDEX('[6]Page 3'!$B:$DP,MATCH("0640",'[6]Page 3'!$R:$R,0),50)</f>
        <v>1291</v>
      </c>
      <c r="G88" s="13">
        <f>INDEX('[6]Page 3'!$B:$DP,MATCH("0640",'[6]Page 3'!$R:$R,0),61)</f>
        <v>8745</v>
      </c>
      <c r="H88" s="47">
        <f>IFERROR(VLOOKUP("Insurance - Other",'[7]PAGE 3'!$B:$W,20,FALSE),0)</f>
        <v>481</v>
      </c>
      <c r="I88" s="13">
        <f>IFERROR(VLOOKUP("Insurance - Other",'[7]PAGE 3'!$B:$W,22,FALSE),0)</f>
        <v>5751</v>
      </c>
      <c r="J88" s="47">
        <f>IFERROR(VLOOKUP("Insurance - Other",'[8]PAGE 3'!$B:$W,20,FALSE),0)</f>
        <v>433</v>
      </c>
      <c r="K88" s="13">
        <f>IFERROR(VLOOKUP("Insurance - Other",'[8]PAGE 3'!$B:$W,22,FALSE),0)</f>
        <v>5345</v>
      </c>
      <c r="L88" s="47"/>
      <c r="M88" s="13"/>
      <c r="N88" s="47">
        <f>IFERROR(VLOOKUP("Insurance - Other Than Bldgs. &amp; Improvements",'[9]PAGE 3'!$B:$S,14,FALSE),0)</f>
        <v>572</v>
      </c>
      <c r="O88" s="13">
        <f>IFERROR(VLOOKUP("Insurance - Other Than Bldgs. &amp; Improvements",'[9]PAGE 3'!$B:$S,16,FALSE),0)</f>
        <v>6761</v>
      </c>
      <c r="P88" s="47">
        <f>$Q$3*'[2]PAGE 6'!$O$15</f>
        <v>576.28315239502365</v>
      </c>
      <c r="Q88" s="13">
        <f>'[2]PAGE 6'!$BI$15</f>
        <v>6482</v>
      </c>
      <c r="R88" s="47">
        <f>[3]P6!$M$29*S3</f>
        <v>1005.125055961046</v>
      </c>
      <c r="S88" s="13">
        <f>[3]P6!$BG$29</f>
        <v>11676</v>
      </c>
      <c r="T88" s="47">
        <f>[13]P6!$M$29*U3</f>
        <v>206.8729231009813</v>
      </c>
      <c r="U88" s="13">
        <f>[13]P6!$BG$29</f>
        <v>2684</v>
      </c>
      <c r="V88" s="47">
        <f>+INDEX('[10]PAGE 3'!$1:$1048576,MATCH("worker's compensation",'[10]PAGE 3'!$B:$B,0),14)+INDEX('[10]PAGE 3'!$1:$1048576,MATCH("insurance - other than bldgs. &amp; improvs.",'[10]PAGE 3'!$B:$B,0),14)</f>
        <v>829</v>
      </c>
      <c r="W88" s="13">
        <f>+INDEX('[10]PAGE 3'!$1:$1048576,MATCH("worker's compensation",'[10]PAGE 3'!$B:$B,0),16)+INDEX('[10]PAGE 3'!$1:$1048576,MATCH("insurance - other than bldgs. &amp; improvs.",'[10]PAGE 3'!$B:$B,0),16)</f>
        <v>4737</v>
      </c>
      <c r="X88" s="47">
        <f>IFERROR(VLOOKUP("Insurance - Other Than Bldgs. &amp; Improvements",'[11]PAGE 3'!$B:$S,14,FALSE),0)</f>
        <v>0</v>
      </c>
      <c r="Y88" s="13">
        <f>IFERROR(VLOOKUP("Insurance - Other Than Bldgs. &amp; Improvements",'[11]PAGE 3'!$B:$S,16,FALSE),0)</f>
        <v>0</v>
      </c>
      <c r="Z88" s="47">
        <f>IFERROR(VLOOKUP("Insurance - Other Than Bldgs. &amp; Improvements",'[12]PAGE 3'!$B:$S,14,FALSE),0)</f>
        <v>791</v>
      </c>
      <c r="AA88" s="13">
        <f>IFERROR(VLOOKUP("Insurance - Other Than Bldgs. &amp; Improvements",'[12]PAGE 3'!$B:$S,16,FALSE),0)</f>
        <v>2373</v>
      </c>
      <c r="AB88" s="47">
        <f t="shared" si="33"/>
        <v>9051.2811314570499</v>
      </c>
      <c r="AC88" s="13">
        <f t="shared" si="34"/>
        <v>82968</v>
      </c>
    </row>
    <row r="89" spans="1:29">
      <c r="A89" s="7" t="s">
        <v>49</v>
      </c>
      <c r="B89" s="47">
        <f>INDEX('[4]Page 3'!$B:$DP,MATCH("0650",'[4]Page 3'!$R:$R,0),50)</f>
        <v>0</v>
      </c>
      <c r="C89" s="13">
        <f>INDEX('[4]Page 3'!$B:$DP,MATCH("0650",'[4]Page 3'!$R:$R,0),61)</f>
        <v>56</v>
      </c>
      <c r="D89" s="47">
        <f>INDEX('[5]Page 3'!$B:$DP,MATCH("0650",'[5]Page 3'!$R:$R,0),50)</f>
        <v>913</v>
      </c>
      <c r="E89" s="13">
        <f>INDEX('[5]Page 3'!$B:$DP,MATCH("0650",'[5]Page 3'!$R:$R,0),61)</f>
        <v>11666</v>
      </c>
      <c r="F89" s="47">
        <f>INDEX('[6]Page 3'!$B:$DP,MATCH("0650",'[6]Page 3'!$R:$R,0),50)</f>
        <v>823</v>
      </c>
      <c r="G89" s="13">
        <f>INDEX('[6]Page 3'!$B:$DP,MATCH("0650",'[6]Page 3'!$R:$R,0),61)</f>
        <v>9121</v>
      </c>
      <c r="H89" s="47">
        <f>IFERROR(VLOOKUP("Taxes - Other",'[7]PAGE 3'!$B:$W,20,FALSE),0)</f>
        <v>587</v>
      </c>
      <c r="I89" s="13">
        <f>IFERROR(VLOOKUP("Taxes - Other",'[7]PAGE 3'!$B:$W,22,FALSE),0)</f>
        <v>6702</v>
      </c>
      <c r="J89" s="47">
        <f>IFERROR(VLOOKUP("Taxes - Other",'[8]PAGE 3'!$B:$W,20,FALSE),0)</f>
        <v>839</v>
      </c>
      <c r="K89" s="13">
        <f>IFERROR(VLOOKUP("Taxes - Other",'[8]PAGE 3'!$B:$W,22,FALSE),0)</f>
        <v>4919</v>
      </c>
      <c r="L89" s="47"/>
      <c r="M89" s="13"/>
      <c r="N89" s="47">
        <f>IFERROR(VLOOKUP("Taxes - Other Than R.E., Pay. &amp; Inc.",'[9]PAGE 3'!$B:$S,14,FALSE),0)</f>
        <v>1765</v>
      </c>
      <c r="O89" s="13">
        <f>IFERROR(VLOOKUP("Taxes - Other Than R.E., Pay. &amp; Inc.",'[9]PAGE 3'!$B:$S,16,FALSE),0)</f>
        <v>14933</v>
      </c>
      <c r="P89" s="47">
        <f>$Q$3*'[2]PAGE 6'!$O$14</f>
        <v>520.67765144215332</v>
      </c>
      <c r="Q89" s="13">
        <f>'[2]PAGE 6'!$BI$14</f>
        <v>8518</v>
      </c>
      <c r="R89" s="47">
        <f>[3]P6!$M$27*S3</f>
        <v>770.7238768806684</v>
      </c>
      <c r="S89" s="13">
        <f>[3]P6!$BG$27</f>
        <v>17402</v>
      </c>
      <c r="T89" s="47">
        <f>[13]P6!$M$27*U3</f>
        <v>-1128.4413972399234</v>
      </c>
      <c r="U89" s="13">
        <f>[13]P6!$BG$27</f>
        <v>1737</v>
      </c>
      <c r="V89" s="47">
        <f>+INDEX('[10]PAGE 3'!$1:$1048576,MATCH("taxes - other than real estate, income &amp; payroll",'[10]PAGE 3'!$B:$B,0),14)</f>
        <v>0</v>
      </c>
      <c r="W89" s="13">
        <f>+INDEX('[10]PAGE 3'!$1:$1048576,MATCH("taxes - other than real estate, income &amp; payroll",'[10]PAGE 3'!$B:$B,0),16)</f>
        <v>2021</v>
      </c>
      <c r="X89" s="47">
        <f>IFERROR(VLOOKUP("Taxes - Other Than R.E., Pay. &amp; Inc.",'[11]PAGE 3'!$B:$S,14,FALSE),0)</f>
        <v>0</v>
      </c>
      <c r="Y89" s="13">
        <f>IFERROR(VLOOKUP("Taxes - Other Than R.E., Pay. &amp; Inc.",'[11]PAGE 3'!$B:$S,16,FALSE),0)</f>
        <v>0</v>
      </c>
      <c r="Z89" s="47">
        <f>IFERROR(VLOOKUP("Taxes - Other Than R.E., Pay. &amp; Inc.",'[12]PAGE 3'!$B:$S,14,FALSE),0)</f>
        <v>-708</v>
      </c>
      <c r="AA89" s="13">
        <f>IFERROR(VLOOKUP("Taxes - Other Than R.E., Pay. &amp; Inc.",'[12]PAGE 3'!$B:$S,16,FALSE),0)</f>
        <v>117</v>
      </c>
      <c r="AB89" s="47">
        <f t="shared" si="33"/>
        <v>4381.9601310828984</v>
      </c>
      <c r="AC89" s="13">
        <f t="shared" si="34"/>
        <v>77192</v>
      </c>
    </row>
    <row r="90" spans="1:29">
      <c r="A90" s="4" t="s">
        <v>58</v>
      </c>
      <c r="B90" s="24">
        <f t="shared" ref="B90:C90" si="46">SUM(B84:B89)</f>
        <v>5143</v>
      </c>
      <c r="C90" s="25">
        <f t="shared" si="46"/>
        <v>155485</v>
      </c>
      <c r="D90" s="24">
        <f t="shared" ref="D90:E90" si="47">SUM(D84:D89)</f>
        <v>12351</v>
      </c>
      <c r="E90" s="25">
        <f t="shared" si="47"/>
        <v>140669</v>
      </c>
      <c r="F90" s="24">
        <f t="shared" ref="F90:G90" si="48">SUM(F84:F89)</f>
        <v>14105</v>
      </c>
      <c r="G90" s="25">
        <f t="shared" si="48"/>
        <v>148402</v>
      </c>
      <c r="H90" s="24">
        <f t="shared" ref="H90:K90" si="49">SUM(H84:H89)</f>
        <v>9161</v>
      </c>
      <c r="I90" s="25">
        <f t="shared" si="49"/>
        <v>103857</v>
      </c>
      <c r="J90" s="24">
        <f t="shared" si="49"/>
        <v>8997</v>
      </c>
      <c r="K90" s="25">
        <f t="shared" si="49"/>
        <v>97684</v>
      </c>
      <c r="L90" s="24"/>
      <c r="M90" s="25"/>
      <c r="N90" s="24">
        <f t="shared" ref="N90:S90" si="50">SUM(N84:N89)</f>
        <v>12644</v>
      </c>
      <c r="O90" s="25">
        <f t="shared" si="50"/>
        <v>137206</v>
      </c>
      <c r="P90" s="24">
        <f t="shared" si="50"/>
        <v>7599.9552686237976</v>
      </c>
      <c r="Q90" s="25">
        <f t="shared" si="50"/>
        <v>109380</v>
      </c>
      <c r="R90" s="24">
        <f t="shared" si="50"/>
        <v>10705.852841312078</v>
      </c>
      <c r="S90" s="25">
        <f t="shared" si="50"/>
        <v>145632</v>
      </c>
      <c r="T90" s="24">
        <f t="shared" ref="T90:U90" si="51">SUM(T84:T89)</f>
        <v>2276.0832323390277</v>
      </c>
      <c r="U90" s="25">
        <f t="shared" si="51"/>
        <v>57151</v>
      </c>
      <c r="V90" s="24">
        <f t="shared" ref="V90:AA90" si="52">SUM(V84:V89)</f>
        <v>7277</v>
      </c>
      <c r="W90" s="25">
        <f t="shared" si="52"/>
        <v>44131</v>
      </c>
      <c r="X90" s="24">
        <f t="shared" si="52"/>
        <v>0</v>
      </c>
      <c r="Y90" s="25">
        <f t="shared" si="52"/>
        <v>0</v>
      </c>
      <c r="Z90" s="24">
        <f t="shared" si="52"/>
        <v>12398</v>
      </c>
      <c r="AA90" s="25">
        <f t="shared" si="52"/>
        <v>39170</v>
      </c>
      <c r="AB90" s="24">
        <f t="shared" si="33"/>
        <v>102657.8913422749</v>
      </c>
      <c r="AC90" s="25">
        <f t="shared" si="34"/>
        <v>1178767</v>
      </c>
    </row>
    <row r="91" spans="1:29">
      <c r="A91" s="11" t="s">
        <v>59</v>
      </c>
      <c r="B91" s="16">
        <f t="shared" ref="B91:C91" si="53">SUM(B90+B75+B58)</f>
        <v>44056</v>
      </c>
      <c r="C91" s="17">
        <f t="shared" si="53"/>
        <v>620164</v>
      </c>
      <c r="D91" s="16">
        <f t="shared" ref="D91:E91" si="54">SUM(D90+D75+D58)</f>
        <v>70264</v>
      </c>
      <c r="E91" s="17">
        <f t="shared" si="54"/>
        <v>767520</v>
      </c>
      <c r="F91" s="16">
        <f t="shared" ref="F91:G91" si="55">SUM(F90+F75+F58)</f>
        <v>73635</v>
      </c>
      <c r="G91" s="17">
        <f t="shared" si="55"/>
        <v>713994</v>
      </c>
      <c r="H91" s="16">
        <f t="shared" ref="H91:K91" si="56">SUM(H90+H75+H58)</f>
        <v>52767</v>
      </c>
      <c r="I91" s="17">
        <f t="shared" si="56"/>
        <v>590306</v>
      </c>
      <c r="J91" s="16">
        <f t="shared" si="56"/>
        <v>39833</v>
      </c>
      <c r="K91" s="17">
        <f t="shared" si="56"/>
        <v>412764</v>
      </c>
      <c r="L91" s="16"/>
      <c r="M91" s="17"/>
      <c r="N91" s="16">
        <f t="shared" ref="N91:S91" si="57">SUM(N90+N75+N58)</f>
        <v>55732</v>
      </c>
      <c r="O91" s="17">
        <f t="shared" si="57"/>
        <v>608087</v>
      </c>
      <c r="P91" s="16">
        <f t="shared" si="57"/>
        <v>43196</v>
      </c>
      <c r="Q91" s="17">
        <f t="shared" si="57"/>
        <v>479661</v>
      </c>
      <c r="R91" s="16">
        <f t="shared" si="57"/>
        <v>59019.999999999993</v>
      </c>
      <c r="S91" s="17">
        <f t="shared" si="57"/>
        <v>689261</v>
      </c>
      <c r="T91" s="16">
        <f t="shared" ref="T91:U91" si="58">SUM(T90+T75+T58)</f>
        <v>12714</v>
      </c>
      <c r="U91" s="17">
        <f t="shared" si="58"/>
        <v>213438</v>
      </c>
      <c r="V91" s="16">
        <f t="shared" ref="V91:AA91" si="59">SUM(V90+V75+V58)</f>
        <v>26785</v>
      </c>
      <c r="W91" s="17">
        <f t="shared" si="59"/>
        <v>165719</v>
      </c>
      <c r="X91" s="16">
        <f t="shared" si="59"/>
        <v>0</v>
      </c>
      <c r="Y91" s="17">
        <f t="shared" si="59"/>
        <v>0</v>
      </c>
      <c r="Z91" s="16">
        <f t="shared" si="59"/>
        <v>40026</v>
      </c>
      <c r="AA91" s="17">
        <f t="shared" si="59"/>
        <v>162803</v>
      </c>
      <c r="AB91" s="16">
        <f t="shared" si="33"/>
        <v>518028</v>
      </c>
      <c r="AC91" s="17">
        <f t="shared" si="34"/>
        <v>5423717</v>
      </c>
    </row>
    <row r="92" spans="1:29">
      <c r="A92" s="4"/>
      <c r="B92" s="24"/>
      <c r="C92" s="25"/>
      <c r="D92" s="24"/>
      <c r="E92" s="25"/>
      <c r="F92" s="24"/>
      <c r="G92" s="25"/>
      <c r="H92" s="24"/>
      <c r="I92" s="25"/>
      <c r="J92" s="24"/>
      <c r="K92" s="25"/>
      <c r="L92" s="24"/>
      <c r="M92" s="25"/>
      <c r="N92" s="24"/>
      <c r="O92" s="25"/>
      <c r="P92" s="24"/>
      <c r="Q92" s="25"/>
      <c r="R92" s="24"/>
      <c r="S92" s="25"/>
      <c r="T92" s="24"/>
      <c r="U92" s="25"/>
      <c r="V92" s="24"/>
      <c r="W92" s="25"/>
      <c r="X92" s="24"/>
      <c r="Y92" s="25"/>
      <c r="Z92" s="24"/>
      <c r="AA92" s="25"/>
      <c r="AB92" s="24">
        <f t="shared" si="33"/>
        <v>0</v>
      </c>
      <c r="AC92" s="25">
        <f t="shared" si="34"/>
        <v>0</v>
      </c>
    </row>
    <row r="93" spans="1:29">
      <c r="A93" s="12" t="s">
        <v>60</v>
      </c>
      <c r="B93" s="20">
        <f t="shared" ref="B93:C93" si="60">B91+B48</f>
        <v>57727</v>
      </c>
      <c r="C93" s="21">
        <f t="shared" si="60"/>
        <v>772345</v>
      </c>
      <c r="D93" s="20">
        <f t="shared" ref="D93:K93" si="61">D91+D48</f>
        <v>83769</v>
      </c>
      <c r="E93" s="21">
        <f t="shared" si="61"/>
        <v>878122</v>
      </c>
      <c r="F93" s="20">
        <f t="shared" ref="F93:G93" si="62">F91+F48</f>
        <v>82590</v>
      </c>
      <c r="G93" s="21">
        <f t="shared" si="62"/>
        <v>837894</v>
      </c>
      <c r="H93" s="20">
        <f t="shared" si="61"/>
        <v>54628</v>
      </c>
      <c r="I93" s="21">
        <f t="shared" si="61"/>
        <v>599260</v>
      </c>
      <c r="J93" s="20">
        <f t="shared" si="61"/>
        <v>39919</v>
      </c>
      <c r="K93" s="21">
        <f t="shared" si="61"/>
        <v>429035</v>
      </c>
      <c r="L93" s="20"/>
      <c r="M93" s="21"/>
      <c r="N93" s="20">
        <f>N91+N48</f>
        <v>78840</v>
      </c>
      <c r="O93" s="21">
        <f t="shared" ref="O93:Q93" si="63">O91+O48</f>
        <v>870813</v>
      </c>
      <c r="P93" s="20">
        <f>P91+P48</f>
        <v>55669</v>
      </c>
      <c r="Q93" s="21">
        <f t="shared" si="63"/>
        <v>631977</v>
      </c>
      <c r="R93" s="20">
        <f t="shared" ref="R93:W93" si="64">R91+R48</f>
        <v>60668.999999999993</v>
      </c>
      <c r="S93" s="21">
        <f t="shared" si="64"/>
        <v>709090</v>
      </c>
      <c r="T93" s="20">
        <f t="shared" si="64"/>
        <v>12714</v>
      </c>
      <c r="U93" s="21">
        <f t="shared" si="64"/>
        <v>213438</v>
      </c>
      <c r="V93" s="20">
        <f t="shared" si="64"/>
        <v>27212</v>
      </c>
      <c r="W93" s="21">
        <f t="shared" si="64"/>
        <v>174285</v>
      </c>
      <c r="X93" s="20">
        <f>X91+X48</f>
        <v>0</v>
      </c>
      <c r="Y93" s="21">
        <f t="shared" ref="Y93" si="65">Y91+Y48</f>
        <v>0</v>
      </c>
      <c r="Z93" s="20">
        <f>Z91+Z48</f>
        <v>41201</v>
      </c>
      <c r="AA93" s="21">
        <f t="shared" ref="AA93" si="66">AA91+AA48</f>
        <v>170324</v>
      </c>
      <c r="AB93" s="20">
        <f t="shared" si="33"/>
        <v>594938</v>
      </c>
      <c r="AC93" s="21">
        <f t="shared" si="34"/>
        <v>6286583</v>
      </c>
    </row>
    <row r="94" spans="1:29">
      <c r="A94" s="4"/>
      <c r="B94" s="22"/>
      <c r="C94" s="23"/>
      <c r="D94" s="22"/>
      <c r="E94" s="23"/>
      <c r="F94" s="22"/>
      <c r="G94" s="23"/>
      <c r="H94" s="22"/>
      <c r="I94" s="23"/>
      <c r="J94" s="22"/>
      <c r="K94" s="23"/>
      <c r="L94" s="22"/>
      <c r="M94" s="23"/>
      <c r="N94" s="22"/>
      <c r="O94" s="23"/>
      <c r="P94" s="22"/>
      <c r="Q94" s="23"/>
      <c r="R94" s="22"/>
      <c r="S94" s="23"/>
      <c r="T94" s="22"/>
      <c r="U94" s="23"/>
      <c r="V94" s="22"/>
      <c r="W94" s="23"/>
      <c r="X94" s="22"/>
      <c r="Y94" s="23"/>
      <c r="Z94" s="22"/>
      <c r="AA94" s="23"/>
      <c r="AB94" s="22">
        <f t="shared" si="33"/>
        <v>0</v>
      </c>
      <c r="AC94" s="23">
        <f t="shared" si="34"/>
        <v>0</v>
      </c>
    </row>
    <row r="95" spans="1:29">
      <c r="A95" s="4" t="s">
        <v>62</v>
      </c>
      <c r="B95" s="24">
        <f t="shared" ref="B95:G95" si="67">B34-B93</f>
        <v>29886</v>
      </c>
      <c r="C95" s="25">
        <f t="shared" si="67"/>
        <v>151732</v>
      </c>
      <c r="D95" s="24">
        <f t="shared" si="67"/>
        <v>42212</v>
      </c>
      <c r="E95" s="25">
        <f t="shared" si="67"/>
        <v>628748</v>
      </c>
      <c r="F95" s="24">
        <f t="shared" si="67"/>
        <v>741</v>
      </c>
      <c r="G95" s="25">
        <f t="shared" si="67"/>
        <v>311934</v>
      </c>
      <c r="H95" s="24">
        <f t="shared" ref="H95:K95" si="68">H34-H93</f>
        <v>61191</v>
      </c>
      <c r="I95" s="25">
        <f t="shared" si="68"/>
        <v>566785</v>
      </c>
      <c r="J95" s="24">
        <f t="shared" si="68"/>
        <v>7167</v>
      </c>
      <c r="K95" s="25">
        <f t="shared" si="68"/>
        <v>96771</v>
      </c>
      <c r="L95" s="24"/>
      <c r="M95" s="25"/>
      <c r="N95" s="24">
        <f t="shared" ref="N95:Q95" si="69">N34-N93</f>
        <v>80806</v>
      </c>
      <c r="O95" s="25">
        <f t="shared" si="69"/>
        <v>852977</v>
      </c>
      <c r="P95" s="24">
        <f t="shared" si="69"/>
        <v>21212</v>
      </c>
      <c r="Q95" s="25">
        <f t="shared" si="69"/>
        <v>331369</v>
      </c>
      <c r="R95" s="24">
        <f t="shared" ref="R95:AA95" si="70">R34-R93</f>
        <v>20680.000000000007</v>
      </c>
      <c r="S95" s="25">
        <f t="shared" si="70"/>
        <v>48715</v>
      </c>
      <c r="T95" s="24">
        <f t="shared" si="70"/>
        <v>916</v>
      </c>
      <c r="U95" s="25">
        <f t="shared" si="70"/>
        <v>-53939</v>
      </c>
      <c r="V95" s="24">
        <f t="shared" si="70"/>
        <v>5246</v>
      </c>
      <c r="W95" s="25">
        <f t="shared" si="70"/>
        <v>61001</v>
      </c>
      <c r="X95" s="24">
        <f t="shared" si="70"/>
        <v>0</v>
      </c>
      <c r="Y95" s="25">
        <f t="shared" si="70"/>
        <v>0</v>
      </c>
      <c r="Z95" s="24">
        <f t="shared" si="70"/>
        <v>10346</v>
      </c>
      <c r="AA95" s="25">
        <f t="shared" si="70"/>
        <v>17714</v>
      </c>
      <c r="AB95" s="24">
        <f t="shared" si="33"/>
        <v>280403</v>
      </c>
      <c r="AC95" s="25">
        <f t="shared" si="34"/>
        <v>3013807</v>
      </c>
    </row>
    <row r="96" spans="1:29">
      <c r="A96" s="9" t="s">
        <v>242</v>
      </c>
      <c r="B96" s="47">
        <f>INDEX('[4]Page 3'!$B:$DP,MATCH("8030",'[4]Page 3'!$R:$R,0),50)</f>
        <v>0</v>
      </c>
      <c r="C96" s="13">
        <f>INDEX('[4]Page 3'!$B:$DP,MATCH("8030",'[4]Page 3'!$R:$R,0),61)</f>
        <v>0</v>
      </c>
      <c r="D96" s="47">
        <f>INDEX('[5]Page 3'!$B:$DP,MATCH("8030",'[5]Page 3'!$R:$R,0),50)</f>
        <v>0</v>
      </c>
      <c r="E96" s="13">
        <f>INDEX('[5]Page 3'!$B:$DP,MATCH("8030",'[5]Page 3'!$R:$R,0),61)</f>
        <v>0</v>
      </c>
      <c r="F96" s="47">
        <f>INDEX('[6]Page 3'!$B:$DP,MATCH("8030",'[6]Page 3'!$R:$R,0),50)</f>
        <v>0</v>
      </c>
      <c r="G96" s="13">
        <f>INDEX('[6]Page 3'!$B:$DP,MATCH("8030",'[6]Page 3'!$R:$R,0),61)</f>
        <v>0</v>
      </c>
      <c r="H96" s="47"/>
      <c r="I96" s="13"/>
      <c r="J96" s="47"/>
      <c r="K96" s="13"/>
      <c r="L96" s="47"/>
      <c r="M96" s="13"/>
      <c r="N96" s="47"/>
      <c r="O96" s="13"/>
      <c r="P96" s="47"/>
      <c r="Q96" s="13"/>
      <c r="R96" s="47"/>
      <c r="S96" s="13"/>
      <c r="T96" s="47"/>
      <c r="U96" s="13"/>
      <c r="V96" s="47"/>
      <c r="W96" s="13"/>
      <c r="X96" s="47"/>
      <c r="Y96" s="13"/>
      <c r="Z96" s="47"/>
      <c r="AA96" s="13"/>
      <c r="AB96" s="47">
        <f t="shared" si="33"/>
        <v>0</v>
      </c>
      <c r="AC96" s="13">
        <f t="shared" si="34"/>
        <v>0</v>
      </c>
    </row>
    <row r="97" spans="1:29">
      <c r="A97" s="4" t="s">
        <v>63</v>
      </c>
      <c r="B97" s="24">
        <f t="shared" ref="B97:C97" si="71">SUM(B95:B96)</f>
        <v>29886</v>
      </c>
      <c r="C97" s="25">
        <f t="shared" si="71"/>
        <v>151732</v>
      </c>
      <c r="D97" s="24">
        <f t="shared" ref="D97:E97" si="72">SUM(D95:D96)</f>
        <v>42212</v>
      </c>
      <c r="E97" s="25">
        <f t="shared" si="72"/>
        <v>628748</v>
      </c>
      <c r="F97" s="24">
        <f t="shared" ref="F97:G97" si="73">SUM(F95:F96)</f>
        <v>741</v>
      </c>
      <c r="G97" s="25">
        <f t="shared" si="73"/>
        <v>311934</v>
      </c>
      <c r="H97" s="24">
        <f t="shared" ref="H97:K97" si="74">SUM(H95:H96)</f>
        <v>61191</v>
      </c>
      <c r="I97" s="25">
        <f t="shared" si="74"/>
        <v>566785</v>
      </c>
      <c r="J97" s="24">
        <f t="shared" si="74"/>
        <v>7167</v>
      </c>
      <c r="K97" s="25">
        <f t="shared" si="74"/>
        <v>96771</v>
      </c>
      <c r="L97" s="24"/>
      <c r="M97" s="25"/>
      <c r="N97" s="24">
        <f>SUM(N95:N96)</f>
        <v>80806</v>
      </c>
      <c r="O97" s="25">
        <f>SUM(O95:O96)</f>
        <v>852977</v>
      </c>
      <c r="P97" s="24">
        <f t="shared" ref="P97:Q97" si="75">SUM(P95:P96)</f>
        <v>21212</v>
      </c>
      <c r="Q97" s="25">
        <f t="shared" si="75"/>
        <v>331369</v>
      </c>
      <c r="R97" s="24">
        <f t="shared" ref="R97:W97" si="76">SUM(R95:R96)</f>
        <v>20680.000000000007</v>
      </c>
      <c r="S97" s="25">
        <f t="shared" si="76"/>
        <v>48715</v>
      </c>
      <c r="T97" s="24">
        <f t="shared" si="76"/>
        <v>916</v>
      </c>
      <c r="U97" s="25">
        <f t="shared" si="76"/>
        <v>-53939</v>
      </c>
      <c r="V97" s="24">
        <f t="shared" si="76"/>
        <v>5246</v>
      </c>
      <c r="W97" s="25">
        <f t="shared" si="76"/>
        <v>61001</v>
      </c>
      <c r="X97" s="24">
        <f>SUM(X95:X96)</f>
        <v>0</v>
      </c>
      <c r="Y97" s="25">
        <f>SUM(Y95:Y96)</f>
        <v>0</v>
      </c>
      <c r="Z97" s="24">
        <f>SUM(Z95:Z96)</f>
        <v>10346</v>
      </c>
      <c r="AA97" s="25">
        <f>SUM(AA95:AA96)</f>
        <v>17714</v>
      </c>
      <c r="AB97" s="24">
        <f t="shared" si="33"/>
        <v>280403</v>
      </c>
      <c r="AC97" s="25">
        <f t="shared" si="34"/>
        <v>3013807</v>
      </c>
    </row>
    <row r="98" spans="1:29" ht="15" hidden="1" customHeight="1">
      <c r="A98" s="10" t="s">
        <v>50</v>
      </c>
      <c r="B98" s="18"/>
      <c r="C98" s="19"/>
      <c r="D98" s="18"/>
      <c r="E98" s="19"/>
      <c r="F98" s="18"/>
      <c r="G98" s="19"/>
      <c r="H98" s="18"/>
      <c r="I98" s="19"/>
      <c r="J98" s="18"/>
      <c r="K98" s="19"/>
      <c r="L98" s="18"/>
      <c r="M98" s="19"/>
      <c r="N98" s="18"/>
      <c r="O98" s="19"/>
      <c r="P98" s="18"/>
      <c r="Q98" s="19"/>
      <c r="R98" s="18"/>
      <c r="S98" s="19"/>
      <c r="T98" s="18"/>
      <c r="U98" s="19"/>
      <c r="V98" s="18"/>
      <c r="W98" s="19"/>
      <c r="X98" s="18"/>
      <c r="Y98" s="19"/>
      <c r="Z98" s="18"/>
      <c r="AA98" s="19"/>
      <c r="AB98" s="18">
        <f t="shared" ref="AB98:AB125" si="77">SUMIF($B$5:$Y$5,"Month",B98:Y98)</f>
        <v>0</v>
      </c>
      <c r="AC98" s="19">
        <f t="shared" ref="AC98:AC125" si="78">SUMIF($B$5:$Y$5,"YTD",B98:Y98)</f>
        <v>0</v>
      </c>
    </row>
    <row r="99" spans="1:29" ht="15" hidden="1" customHeight="1">
      <c r="A99" s="4" t="s">
        <v>69</v>
      </c>
      <c r="B99" s="24">
        <f t="shared" ref="B99:C99" si="79">B97-B98</f>
        <v>29886</v>
      </c>
      <c r="C99" s="25">
        <f t="shared" si="79"/>
        <v>151732</v>
      </c>
      <c r="D99" s="24">
        <f t="shared" ref="D99:G99" si="80">D97-D98</f>
        <v>42212</v>
      </c>
      <c r="E99" s="25">
        <f t="shared" si="80"/>
        <v>628748</v>
      </c>
      <c r="F99" s="24">
        <f t="shared" si="80"/>
        <v>741</v>
      </c>
      <c r="G99" s="25">
        <f t="shared" si="80"/>
        <v>311934</v>
      </c>
      <c r="H99" s="24">
        <f t="shared" ref="H99:Q99" si="81">H97-H98</f>
        <v>61191</v>
      </c>
      <c r="I99" s="25">
        <f t="shared" si="81"/>
        <v>566785</v>
      </c>
      <c r="J99" s="24">
        <f>J97-J98</f>
        <v>7167</v>
      </c>
      <c r="K99" s="25">
        <f>K97-K98</f>
        <v>96771</v>
      </c>
      <c r="L99" s="24"/>
      <c r="M99" s="25"/>
      <c r="N99" s="24">
        <f t="shared" si="81"/>
        <v>80806</v>
      </c>
      <c r="O99" s="25">
        <f t="shared" si="81"/>
        <v>852977</v>
      </c>
      <c r="P99" s="24">
        <f t="shared" si="81"/>
        <v>21212</v>
      </c>
      <c r="Q99" s="25">
        <f t="shared" si="81"/>
        <v>331369</v>
      </c>
      <c r="R99" s="24">
        <f t="shared" ref="R99:AA99" si="82">R97-R98</f>
        <v>20680.000000000007</v>
      </c>
      <c r="S99" s="25">
        <f t="shared" si="82"/>
        <v>48715</v>
      </c>
      <c r="T99" s="24">
        <f t="shared" si="82"/>
        <v>916</v>
      </c>
      <c r="U99" s="25">
        <f t="shared" si="82"/>
        <v>-53939</v>
      </c>
      <c r="V99" s="24">
        <f t="shared" si="82"/>
        <v>5246</v>
      </c>
      <c r="W99" s="25">
        <f t="shared" si="82"/>
        <v>61001</v>
      </c>
      <c r="X99" s="24">
        <f t="shared" si="82"/>
        <v>0</v>
      </c>
      <c r="Y99" s="25">
        <f t="shared" si="82"/>
        <v>0</v>
      </c>
      <c r="Z99" s="24">
        <f t="shared" si="82"/>
        <v>10346</v>
      </c>
      <c r="AA99" s="25">
        <f t="shared" si="82"/>
        <v>17714</v>
      </c>
      <c r="AB99" s="24">
        <f t="shared" si="77"/>
        <v>270057</v>
      </c>
      <c r="AC99" s="25">
        <f t="shared" si="78"/>
        <v>2996093</v>
      </c>
    </row>
    <row r="100" spans="1:29" ht="15" hidden="1" customHeight="1">
      <c r="A100" s="10" t="s">
        <v>51</v>
      </c>
      <c r="B100" s="18"/>
      <c r="C100" s="19"/>
      <c r="D100" s="18"/>
      <c r="E100" s="19"/>
      <c r="F100" s="18"/>
      <c r="G100" s="19"/>
      <c r="H100" s="18"/>
      <c r="I100" s="19"/>
      <c r="J100" s="18"/>
      <c r="K100" s="19"/>
      <c r="L100" s="18"/>
      <c r="M100" s="19"/>
      <c r="N100" s="18"/>
      <c r="O100" s="19"/>
      <c r="P100" s="18"/>
      <c r="Q100" s="19"/>
      <c r="R100" s="18"/>
      <c r="S100" s="19"/>
      <c r="T100" s="18"/>
      <c r="U100" s="19"/>
      <c r="V100" s="18"/>
      <c r="W100" s="19"/>
      <c r="X100" s="18"/>
      <c r="Y100" s="19"/>
      <c r="Z100" s="18"/>
      <c r="AA100" s="19"/>
      <c r="AB100" s="18">
        <f t="shared" si="77"/>
        <v>0</v>
      </c>
      <c r="AC100" s="19">
        <f t="shared" si="78"/>
        <v>0</v>
      </c>
    </row>
    <row r="101" spans="1:29" ht="15" hidden="1" customHeight="1">
      <c r="A101" s="12" t="s">
        <v>70</v>
      </c>
      <c r="B101" s="20">
        <f t="shared" ref="B101:C101" si="83">B99-B100</f>
        <v>29886</v>
      </c>
      <c r="C101" s="21">
        <f t="shared" si="83"/>
        <v>151732</v>
      </c>
      <c r="D101" s="20">
        <f t="shared" ref="D101:G101" si="84">D99-D100</f>
        <v>42212</v>
      </c>
      <c r="E101" s="21">
        <f t="shared" si="84"/>
        <v>628748</v>
      </c>
      <c r="F101" s="20">
        <f t="shared" si="84"/>
        <v>741</v>
      </c>
      <c r="G101" s="21">
        <f t="shared" si="84"/>
        <v>311934</v>
      </c>
      <c r="H101" s="20">
        <f t="shared" ref="H101:Q101" si="85">H99-H100</f>
        <v>61191</v>
      </c>
      <c r="I101" s="21">
        <f t="shared" si="85"/>
        <v>566785</v>
      </c>
      <c r="J101" s="20">
        <f>J99-J100</f>
        <v>7167</v>
      </c>
      <c r="K101" s="21">
        <f>K99-K100</f>
        <v>96771</v>
      </c>
      <c r="L101" s="20"/>
      <c r="M101" s="21"/>
      <c r="N101" s="20">
        <f t="shared" si="85"/>
        <v>80806</v>
      </c>
      <c r="O101" s="21">
        <f t="shared" si="85"/>
        <v>852977</v>
      </c>
      <c r="P101" s="20">
        <f t="shared" si="85"/>
        <v>21212</v>
      </c>
      <c r="Q101" s="21">
        <f t="shared" si="85"/>
        <v>331369</v>
      </c>
      <c r="R101" s="20">
        <f t="shared" ref="R101:AA101" si="86">R99-R100</f>
        <v>20680.000000000007</v>
      </c>
      <c r="S101" s="21">
        <f t="shared" si="86"/>
        <v>48715</v>
      </c>
      <c r="T101" s="20">
        <f t="shared" si="86"/>
        <v>916</v>
      </c>
      <c r="U101" s="21">
        <f t="shared" si="86"/>
        <v>-53939</v>
      </c>
      <c r="V101" s="20">
        <f t="shared" si="86"/>
        <v>5246</v>
      </c>
      <c r="W101" s="21">
        <f t="shared" si="86"/>
        <v>61001</v>
      </c>
      <c r="X101" s="20">
        <f t="shared" si="86"/>
        <v>0</v>
      </c>
      <c r="Y101" s="21">
        <f t="shared" si="86"/>
        <v>0</v>
      </c>
      <c r="Z101" s="20">
        <f t="shared" si="86"/>
        <v>10346</v>
      </c>
      <c r="AA101" s="21">
        <f t="shared" si="86"/>
        <v>17714</v>
      </c>
      <c r="AB101" s="20">
        <f t="shared" si="77"/>
        <v>270057</v>
      </c>
      <c r="AC101" s="21">
        <f t="shared" si="78"/>
        <v>2996093</v>
      </c>
    </row>
    <row r="102" spans="1:29">
      <c r="AB102">
        <f t="shared" si="77"/>
        <v>0</v>
      </c>
      <c r="AC102">
        <f t="shared" si="78"/>
        <v>0</v>
      </c>
    </row>
    <row r="103" spans="1:29">
      <c r="AB103">
        <f t="shared" si="77"/>
        <v>0</v>
      </c>
      <c r="AC103">
        <f t="shared" si="78"/>
        <v>0</v>
      </c>
    </row>
    <row r="104" spans="1:29">
      <c r="AB104">
        <f t="shared" si="77"/>
        <v>0</v>
      </c>
      <c r="AC104">
        <f t="shared" si="78"/>
        <v>0</v>
      </c>
    </row>
    <row r="105" spans="1:29">
      <c r="AB105">
        <f t="shared" si="77"/>
        <v>0</v>
      </c>
      <c r="AC105">
        <f t="shared" si="78"/>
        <v>0</v>
      </c>
    </row>
    <row r="106" spans="1:29">
      <c r="AB106">
        <f t="shared" si="77"/>
        <v>0</v>
      </c>
      <c r="AC106">
        <f t="shared" si="78"/>
        <v>0</v>
      </c>
    </row>
    <row r="107" spans="1:29">
      <c r="AB107">
        <f t="shared" si="77"/>
        <v>0</v>
      </c>
      <c r="AC107">
        <f t="shared" si="78"/>
        <v>0</v>
      </c>
    </row>
    <row r="108" spans="1:29">
      <c r="AB108">
        <f t="shared" si="77"/>
        <v>0</v>
      </c>
      <c r="AC108">
        <f t="shared" si="78"/>
        <v>0</v>
      </c>
    </row>
    <row r="109" spans="1:29">
      <c r="AB109">
        <f t="shared" si="77"/>
        <v>0</v>
      </c>
      <c r="AC109">
        <f t="shared" si="78"/>
        <v>0</v>
      </c>
    </row>
    <row r="110" spans="1:29">
      <c r="AB110">
        <f t="shared" si="77"/>
        <v>0</v>
      </c>
      <c r="AC110">
        <f t="shared" si="78"/>
        <v>0</v>
      </c>
    </row>
    <row r="111" spans="1:29">
      <c r="AB111">
        <f t="shared" si="77"/>
        <v>0</v>
      </c>
      <c r="AC111">
        <f t="shared" si="78"/>
        <v>0</v>
      </c>
    </row>
    <row r="112" spans="1:29">
      <c r="AB112">
        <f t="shared" si="77"/>
        <v>0</v>
      </c>
      <c r="AC112">
        <f t="shared" si="78"/>
        <v>0</v>
      </c>
    </row>
    <row r="113" spans="28:29">
      <c r="AB113">
        <f t="shared" si="77"/>
        <v>0</v>
      </c>
      <c r="AC113">
        <f t="shared" si="78"/>
        <v>0</v>
      </c>
    </row>
    <row r="114" spans="28:29">
      <c r="AB114">
        <f t="shared" si="77"/>
        <v>0</v>
      </c>
      <c r="AC114">
        <f t="shared" si="78"/>
        <v>0</v>
      </c>
    </row>
    <row r="115" spans="28:29">
      <c r="AB115">
        <f t="shared" si="77"/>
        <v>0</v>
      </c>
      <c r="AC115">
        <f t="shared" si="78"/>
        <v>0</v>
      </c>
    </row>
    <row r="116" spans="28:29">
      <c r="AB116">
        <f t="shared" si="77"/>
        <v>0</v>
      </c>
      <c r="AC116">
        <f t="shared" si="78"/>
        <v>0</v>
      </c>
    </row>
    <row r="117" spans="28:29">
      <c r="AB117">
        <f t="shared" si="77"/>
        <v>0</v>
      </c>
      <c r="AC117">
        <f t="shared" si="78"/>
        <v>0</v>
      </c>
    </row>
    <row r="118" spans="28:29">
      <c r="AB118">
        <f t="shared" si="77"/>
        <v>0</v>
      </c>
      <c r="AC118">
        <f t="shared" si="78"/>
        <v>0</v>
      </c>
    </row>
    <row r="119" spans="28:29">
      <c r="AB119">
        <f t="shared" si="77"/>
        <v>0</v>
      </c>
      <c r="AC119">
        <f t="shared" si="78"/>
        <v>0</v>
      </c>
    </row>
    <row r="120" spans="28:29">
      <c r="AB120">
        <f t="shared" si="77"/>
        <v>0</v>
      </c>
      <c r="AC120">
        <f t="shared" si="78"/>
        <v>0</v>
      </c>
    </row>
    <row r="121" spans="28:29">
      <c r="AB121">
        <f t="shared" si="77"/>
        <v>0</v>
      </c>
      <c r="AC121">
        <f t="shared" si="78"/>
        <v>0</v>
      </c>
    </row>
    <row r="122" spans="28:29">
      <c r="AB122">
        <f t="shared" si="77"/>
        <v>0</v>
      </c>
      <c r="AC122">
        <f t="shared" si="78"/>
        <v>0</v>
      </c>
    </row>
    <row r="123" spans="28:29">
      <c r="AB123">
        <f t="shared" si="77"/>
        <v>0</v>
      </c>
      <c r="AC123">
        <f t="shared" si="78"/>
        <v>0</v>
      </c>
    </row>
    <row r="124" spans="28:29">
      <c r="AB124">
        <f t="shared" si="77"/>
        <v>0</v>
      </c>
      <c r="AC124">
        <f t="shared" si="78"/>
        <v>0</v>
      </c>
    </row>
    <row r="125" spans="28:29">
      <c r="AB125">
        <f t="shared" si="77"/>
        <v>0</v>
      </c>
      <c r="AC125">
        <f t="shared" si="78"/>
        <v>0</v>
      </c>
    </row>
  </sheetData>
  <sheetProtection sheet="1" objects="1" scenarios="1"/>
  <mergeCells count="16">
    <mergeCell ref="A21:A22"/>
    <mergeCell ref="P4:Q4"/>
    <mergeCell ref="B4:C4"/>
    <mergeCell ref="F4:G4"/>
    <mergeCell ref="H4:I4"/>
    <mergeCell ref="J4:K4"/>
    <mergeCell ref="L4:M4"/>
    <mergeCell ref="N4:O4"/>
    <mergeCell ref="D4:E4"/>
    <mergeCell ref="V4:W4"/>
    <mergeCell ref="AB4:AC4"/>
    <mergeCell ref="R4:S4"/>
    <mergeCell ref="T4:U4"/>
    <mergeCell ref="A18:A19"/>
    <mergeCell ref="X4:Y4"/>
    <mergeCell ref="Z4:AA4"/>
  </mergeCells>
  <printOptions horizontalCentered="1"/>
  <pageMargins left="0" right="0" top="0" bottom="0" header="0" footer="0"/>
  <pageSetup scale="10" fitToWidth="0" orientation="portrait" r:id="rId1"/>
  <rowBreaks count="2" manualBreakCount="2">
    <brk id="18" max="26" man="1"/>
    <brk id="48" max="26" man="1"/>
  </rowBreaks>
  <colBreaks count="2" manualBreakCount="2">
    <brk id="7" max="98" man="1"/>
    <brk id="17" max="98"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A1:U24"/>
  <sheetViews>
    <sheetView workbookViewId="0"/>
  </sheetViews>
  <sheetFormatPr defaultColWidth="9.140625" defaultRowHeight="15"/>
  <cols>
    <col min="1" max="1" width="52.5703125" bestFit="1" customWidth="1"/>
    <col min="2" max="3" width="12.5703125" hidden="1" customWidth="1"/>
    <col min="4" max="5" width="12.5703125" customWidth="1"/>
    <col min="6" max="17" width="12.5703125" hidden="1" customWidth="1"/>
    <col min="18" max="21" width="12.5703125" customWidth="1"/>
  </cols>
  <sheetData>
    <row r="1" spans="1:21">
      <c r="A1" t="s">
        <v>280</v>
      </c>
    </row>
    <row r="2" spans="1:21" s="1" customFormat="1">
      <c r="A2" s="2">
        <f>'Dealership Totals'!A2</f>
        <v>42705</v>
      </c>
      <c r="B2" s="2"/>
      <c r="D2" s="2"/>
      <c r="F2" s="2"/>
      <c r="H2" s="2"/>
      <c r="J2" s="2"/>
      <c r="L2" s="2"/>
      <c r="N2" s="2"/>
      <c r="P2" s="2"/>
      <c r="R2" s="2"/>
      <c r="T2" s="2"/>
    </row>
    <row r="3" spans="1:21" s="1" customFormat="1">
      <c r="A3" s="3"/>
      <c r="B3" s="2"/>
      <c r="D3" s="2"/>
      <c r="F3" s="2"/>
      <c r="H3" s="2"/>
      <c r="J3" s="2"/>
      <c r="L3" s="2"/>
      <c r="N3" s="2"/>
      <c r="P3" s="125">
        <f>'[2]PAGE 2'!$BF$13</f>
        <v>16358</v>
      </c>
      <c r="Q3" s="126">
        <f>P3/'Dealership Totals'!AD3</f>
        <v>8.7567718036016359E-2</v>
      </c>
      <c r="R3" s="125">
        <f>[3]P2!$AQ$25+[3]P2!$BE$25</f>
        <v>39760</v>
      </c>
      <c r="S3" s="126">
        <f>R3/'Dealership Totals'!AH3</f>
        <v>0.20000100604127788</v>
      </c>
      <c r="T3" s="125">
        <f>[13]P2!$AQ$25+[13]P2!$BE$25</f>
        <v>10231</v>
      </c>
      <c r="U3" s="126">
        <f>T3/'Dealership Totals'!AJ3</f>
        <v>0.19998827162907074</v>
      </c>
    </row>
    <row r="4" spans="1:21" s="1" customFormat="1">
      <c r="A4" s="3"/>
      <c r="B4" s="309" t="s">
        <v>213</v>
      </c>
      <c r="C4" s="310"/>
      <c r="D4" s="309" t="s">
        <v>282</v>
      </c>
      <c r="E4" s="310"/>
      <c r="F4" s="309" t="s">
        <v>203</v>
      </c>
      <c r="G4" s="310"/>
      <c r="H4" s="309" t="s">
        <v>204</v>
      </c>
      <c r="I4" s="310"/>
      <c r="J4" s="309" t="s">
        <v>205</v>
      </c>
      <c r="K4" s="310"/>
      <c r="L4" s="309" t="s">
        <v>206</v>
      </c>
      <c r="M4" s="310"/>
      <c r="N4" s="309" t="s">
        <v>207</v>
      </c>
      <c r="O4" s="310"/>
      <c r="P4" s="309" t="s">
        <v>208</v>
      </c>
      <c r="Q4" s="310"/>
      <c r="R4" s="309" t="s">
        <v>278</v>
      </c>
      <c r="S4" s="310"/>
      <c r="T4" s="309" t="s">
        <v>279</v>
      </c>
      <c r="U4" s="310"/>
    </row>
    <row r="5" spans="1:21" s="1" customFormat="1">
      <c r="B5" s="14" t="s">
        <v>2</v>
      </c>
      <c r="C5" s="15" t="s">
        <v>3</v>
      </c>
      <c r="D5" s="14" t="s">
        <v>2</v>
      </c>
      <c r="E5" s="15" t="s">
        <v>3</v>
      </c>
      <c r="F5" s="14" t="s">
        <v>2</v>
      </c>
      <c r="G5" s="15" t="s">
        <v>3</v>
      </c>
      <c r="H5" s="14" t="s">
        <v>2</v>
      </c>
      <c r="I5" s="15" t="s">
        <v>3</v>
      </c>
      <c r="J5" s="14" t="s">
        <v>2</v>
      </c>
      <c r="K5" s="15" t="s">
        <v>3</v>
      </c>
      <c r="L5" s="14" t="s">
        <v>2</v>
      </c>
      <c r="M5" s="15" t="s">
        <v>3</v>
      </c>
      <c r="N5" s="14" t="s">
        <v>2</v>
      </c>
      <c r="O5" s="15" t="s">
        <v>3</v>
      </c>
      <c r="P5" s="14" t="s">
        <v>2</v>
      </c>
      <c r="Q5" s="15" t="s">
        <v>3</v>
      </c>
      <c r="R5" s="14" t="s">
        <v>2</v>
      </c>
      <c r="S5" s="15" t="s">
        <v>3</v>
      </c>
      <c r="T5" s="14" t="s">
        <v>2</v>
      </c>
      <c r="U5" s="15" t="s">
        <v>3</v>
      </c>
    </row>
    <row r="6" spans="1:21">
      <c r="A6" s="11" t="s">
        <v>281</v>
      </c>
      <c r="B6" s="16"/>
      <c r="C6" s="17"/>
      <c r="D6" s="16">
        <f>'[5]Page 3'!$BU$5</f>
        <v>45040</v>
      </c>
      <c r="E6" s="17">
        <f>'[5]Page 3'!$CF$5</f>
        <v>682091</v>
      </c>
      <c r="F6" s="16"/>
      <c r="G6" s="17"/>
      <c r="H6" s="16"/>
      <c r="I6" s="17"/>
      <c r="J6" s="16"/>
      <c r="K6" s="17"/>
      <c r="L6" s="16"/>
      <c r="M6" s="17"/>
      <c r="N6" s="16"/>
      <c r="O6" s="17"/>
      <c r="P6" s="16"/>
      <c r="Q6" s="17"/>
      <c r="R6" s="16">
        <f>[3]P2!$BE$9</f>
        <v>18846</v>
      </c>
      <c r="S6" s="17">
        <f>[3]P2!$BE$11</f>
        <v>240526</v>
      </c>
      <c r="T6" s="16">
        <f>[13]P2!$BE$9</f>
        <v>7763</v>
      </c>
      <c r="U6" s="17">
        <f>[13]P2!$BE$11</f>
        <v>106140</v>
      </c>
    </row>
    <row r="7" spans="1:21">
      <c r="A7" s="4"/>
      <c r="B7" s="22"/>
      <c r="C7" s="23"/>
      <c r="D7" s="22"/>
      <c r="E7" s="23"/>
      <c r="F7" s="22"/>
      <c r="G7" s="23"/>
      <c r="H7" s="22"/>
      <c r="I7" s="23"/>
      <c r="J7" s="22"/>
      <c r="K7" s="23"/>
      <c r="L7" s="22"/>
      <c r="M7" s="23"/>
      <c r="N7" s="22"/>
      <c r="O7" s="23"/>
      <c r="P7" s="22"/>
      <c r="Q7" s="23"/>
      <c r="R7" s="22"/>
      <c r="S7" s="23"/>
      <c r="T7" s="22"/>
      <c r="U7" s="23"/>
    </row>
    <row r="8" spans="1:21">
      <c r="A8" s="12" t="s">
        <v>1</v>
      </c>
      <c r="B8" s="20"/>
      <c r="C8" s="21"/>
      <c r="D8" s="20">
        <f>'[5]Page 3'!$BU$6</f>
        <v>21049</v>
      </c>
      <c r="E8" s="21">
        <f>'[5]Page 3'!$CF$6</f>
        <v>346985</v>
      </c>
      <c r="F8" s="20"/>
      <c r="G8" s="21"/>
      <c r="H8" s="20"/>
      <c r="I8" s="21"/>
      <c r="J8" s="20"/>
      <c r="K8" s="21"/>
      <c r="L8" s="20"/>
      <c r="M8" s="21"/>
      <c r="N8" s="20"/>
      <c r="O8" s="21"/>
      <c r="P8" s="20"/>
      <c r="Q8" s="21"/>
      <c r="R8" s="20">
        <f>[3]P2!$BE$13</f>
        <v>6183</v>
      </c>
      <c r="S8" s="21">
        <f>[3]P2!$BE$15</f>
        <v>92088</v>
      </c>
      <c r="T8" s="20">
        <f>[13]P2!$BE$13</f>
        <v>1581</v>
      </c>
      <c r="U8" s="21">
        <f>[13]P2!$BE$15</f>
        <v>31600</v>
      </c>
    </row>
    <row r="9" spans="1:21">
      <c r="B9" s="47"/>
      <c r="C9" s="13"/>
      <c r="D9" s="47"/>
      <c r="E9" s="13"/>
      <c r="F9" s="47"/>
      <c r="G9" s="13"/>
      <c r="H9" s="47"/>
      <c r="I9" s="13"/>
      <c r="J9" s="47"/>
      <c r="K9" s="13"/>
      <c r="L9" s="47"/>
      <c r="M9" s="13"/>
      <c r="N9" s="47"/>
      <c r="O9" s="13"/>
      <c r="P9" s="47"/>
      <c r="Q9" s="13"/>
      <c r="R9" s="47"/>
      <c r="S9" s="13"/>
      <c r="T9" s="47"/>
      <c r="U9" s="13"/>
    </row>
    <row r="10" spans="1:21">
      <c r="A10" s="11" t="s">
        <v>283</v>
      </c>
      <c r="B10" s="16"/>
      <c r="C10" s="17"/>
      <c r="D10" s="16">
        <f>'[5]Page 3'!$BU$18</f>
        <v>138</v>
      </c>
      <c r="E10" s="17">
        <f>'[5]Page 3'!$CF$18</f>
        <v>37848</v>
      </c>
      <c r="F10" s="16"/>
      <c r="G10" s="17"/>
      <c r="H10" s="16"/>
      <c r="I10" s="17"/>
      <c r="J10" s="16"/>
      <c r="K10" s="17"/>
      <c r="L10" s="16"/>
      <c r="M10" s="17"/>
      <c r="N10" s="16"/>
      <c r="O10" s="17"/>
      <c r="P10" s="16"/>
      <c r="Q10" s="17"/>
      <c r="R10" s="16">
        <f>[3]P2!$BE$17</f>
        <v>-1440</v>
      </c>
      <c r="S10" s="17">
        <f>[3]P2!$BE$19</f>
        <v>-14571</v>
      </c>
      <c r="T10" s="16">
        <f>[13]P2!$BE$17</f>
        <v>-676</v>
      </c>
      <c r="U10" s="17">
        <f>[13]P2!$BE$19</f>
        <v>-5836</v>
      </c>
    </row>
    <row r="11" spans="1:21">
      <c r="B11" s="47"/>
      <c r="C11" s="13"/>
      <c r="D11" s="47"/>
      <c r="E11" s="13"/>
      <c r="F11" s="47"/>
      <c r="G11" s="13"/>
      <c r="H11" s="47"/>
      <c r="I11" s="13"/>
      <c r="J11" s="47"/>
      <c r="K11" s="13"/>
      <c r="L11" s="47"/>
      <c r="M11" s="13"/>
      <c r="N11" s="47"/>
      <c r="O11" s="13"/>
      <c r="P11" s="47"/>
      <c r="Q11" s="13"/>
      <c r="R11" s="47"/>
      <c r="S11" s="13"/>
      <c r="T11" s="47"/>
      <c r="U11" s="13"/>
    </row>
    <row r="12" spans="1:21">
      <c r="A12" s="11" t="s">
        <v>284</v>
      </c>
      <c r="B12" s="16"/>
      <c r="C12" s="17"/>
      <c r="D12" s="16">
        <f>'[5]Page 3'!$BU$56</f>
        <v>42377</v>
      </c>
      <c r="E12" s="17">
        <f>'[5]Page 3'!$CF$56</f>
        <v>452999</v>
      </c>
      <c r="F12" s="16"/>
      <c r="G12" s="17"/>
      <c r="H12" s="16"/>
      <c r="I12" s="17"/>
      <c r="J12" s="16"/>
      <c r="K12" s="17"/>
      <c r="L12" s="16"/>
      <c r="M12" s="17"/>
      <c r="N12" s="16"/>
      <c r="O12" s="17"/>
      <c r="P12" s="16"/>
      <c r="Q12" s="17"/>
      <c r="R12" s="16">
        <f>[3]P2!$BE$25</f>
        <v>7952</v>
      </c>
      <c r="S12" s="17">
        <f>[3]P2!$BE$27</f>
        <v>102534</v>
      </c>
      <c r="T12" s="16">
        <f>[13]P2!$BE$25</f>
        <v>2046</v>
      </c>
      <c r="U12" s="17">
        <f>[13]P2!$BE$27</f>
        <v>36760</v>
      </c>
    </row>
    <row r="13" spans="1:21">
      <c r="B13" s="47"/>
      <c r="C13" s="13"/>
      <c r="D13" s="47"/>
      <c r="E13" s="13"/>
      <c r="F13" s="47"/>
      <c r="G13" s="13"/>
      <c r="H13" s="47"/>
      <c r="I13" s="13"/>
      <c r="J13" s="47"/>
      <c r="K13" s="13"/>
      <c r="L13" s="47"/>
      <c r="M13" s="13"/>
      <c r="N13" s="47"/>
      <c r="O13" s="13"/>
      <c r="P13" s="47"/>
      <c r="Q13" s="13"/>
      <c r="R13" s="47"/>
      <c r="S13" s="13"/>
      <c r="T13" s="47"/>
      <c r="U13" s="13"/>
    </row>
    <row r="14" spans="1:21">
      <c r="A14" s="11" t="s">
        <v>285</v>
      </c>
      <c r="B14" s="16"/>
      <c r="C14" s="17"/>
      <c r="D14" s="16">
        <f>'[5]Page 3'!$BU$19</f>
        <v>450</v>
      </c>
      <c r="E14" s="17">
        <f>'[5]Page 3'!$CF$19</f>
        <v>4191</v>
      </c>
      <c r="F14" s="16"/>
      <c r="G14" s="17"/>
      <c r="H14" s="16"/>
      <c r="I14" s="17"/>
      <c r="J14" s="16"/>
      <c r="K14" s="17"/>
      <c r="L14" s="16"/>
      <c r="M14" s="17"/>
      <c r="N14" s="16"/>
      <c r="O14" s="17"/>
      <c r="P14" s="16"/>
      <c r="Q14" s="17"/>
      <c r="R14" s="16">
        <f>[3]P2!$BE$29</f>
        <v>998</v>
      </c>
      <c r="S14" s="17">
        <f>[3]P2!$BE$31</f>
        <v>13104</v>
      </c>
      <c r="T14" s="16">
        <f>[13]P2!$BE$29</f>
        <v>488</v>
      </c>
      <c r="U14" s="17">
        <f>[13]P2!$BE$31</f>
        <v>7128</v>
      </c>
    </row>
    <row r="15" spans="1:21">
      <c r="B15" s="47"/>
      <c r="C15" s="13"/>
      <c r="D15" s="47"/>
      <c r="E15" s="13"/>
      <c r="F15" s="47"/>
      <c r="G15" s="13"/>
      <c r="H15" s="47"/>
      <c r="I15" s="13"/>
      <c r="J15" s="47"/>
      <c r="K15" s="13"/>
      <c r="L15" s="47"/>
      <c r="M15" s="13"/>
      <c r="N15" s="47"/>
      <c r="O15" s="13"/>
      <c r="P15" s="47"/>
      <c r="Q15" s="13"/>
      <c r="R15" s="47"/>
      <c r="S15" s="13"/>
      <c r="T15" s="47"/>
      <c r="U15" s="13"/>
    </row>
    <row r="16" spans="1:21">
      <c r="A16" s="12" t="s">
        <v>60</v>
      </c>
      <c r="B16" s="20"/>
      <c r="C16" s="21"/>
      <c r="D16" s="20">
        <f>D12+D10</f>
        <v>42515</v>
      </c>
      <c r="E16" s="20">
        <f>E12+E10</f>
        <v>490847</v>
      </c>
      <c r="F16" s="20"/>
      <c r="G16" s="21"/>
      <c r="H16" s="20"/>
      <c r="I16" s="21"/>
      <c r="J16" s="20"/>
      <c r="K16" s="21"/>
      <c r="L16" s="20"/>
      <c r="M16" s="21"/>
      <c r="N16" s="20"/>
      <c r="O16" s="21"/>
      <c r="P16" s="20"/>
      <c r="Q16" s="21"/>
      <c r="R16" s="20">
        <f>R10+R12+R14</f>
        <v>7510</v>
      </c>
      <c r="S16" s="21">
        <f>S10+S12+S14</f>
        <v>101067</v>
      </c>
      <c r="T16" s="20">
        <f>T10+T12+T14</f>
        <v>1858</v>
      </c>
      <c r="U16" s="21">
        <f>U10+U12+U14</f>
        <v>38052</v>
      </c>
    </row>
    <row r="17" spans="1:21">
      <c r="A17" s="4"/>
      <c r="B17" s="22"/>
      <c r="C17" s="23"/>
      <c r="D17" s="22"/>
      <c r="E17" s="23"/>
      <c r="F17" s="22"/>
      <c r="G17" s="23"/>
      <c r="H17" s="22"/>
      <c r="I17" s="23"/>
      <c r="J17" s="22"/>
      <c r="K17" s="23"/>
      <c r="L17" s="22"/>
      <c r="M17" s="23"/>
      <c r="N17" s="22"/>
      <c r="O17" s="23"/>
      <c r="P17" s="22"/>
      <c r="Q17" s="23"/>
      <c r="R17" s="22"/>
      <c r="S17" s="23"/>
      <c r="T17" s="22"/>
      <c r="U17" s="23"/>
    </row>
    <row r="18" spans="1:21">
      <c r="A18" s="4" t="s">
        <v>62</v>
      </c>
      <c r="B18" s="24">
        <f>B8-B16</f>
        <v>0</v>
      </c>
      <c r="C18" s="25">
        <f>C8-C16</f>
        <v>0</v>
      </c>
      <c r="D18" s="24">
        <f>D8-D16</f>
        <v>-21466</v>
      </c>
      <c r="E18" s="25">
        <f>E8-E16</f>
        <v>-143862</v>
      </c>
      <c r="F18" s="24">
        <f t="shared" ref="F18:U18" si="0">F8-F16</f>
        <v>0</v>
      </c>
      <c r="G18" s="25">
        <f t="shared" si="0"/>
        <v>0</v>
      </c>
      <c r="H18" s="24">
        <f t="shared" si="0"/>
        <v>0</v>
      </c>
      <c r="I18" s="25">
        <f t="shared" si="0"/>
        <v>0</v>
      </c>
      <c r="J18" s="24">
        <f t="shared" si="0"/>
        <v>0</v>
      </c>
      <c r="K18" s="25">
        <f t="shared" si="0"/>
        <v>0</v>
      </c>
      <c r="L18" s="24">
        <f t="shared" si="0"/>
        <v>0</v>
      </c>
      <c r="M18" s="25">
        <f t="shared" si="0"/>
        <v>0</v>
      </c>
      <c r="N18" s="24">
        <f t="shared" si="0"/>
        <v>0</v>
      </c>
      <c r="O18" s="25">
        <f t="shared" si="0"/>
        <v>0</v>
      </c>
      <c r="P18" s="24">
        <f t="shared" si="0"/>
        <v>0</v>
      </c>
      <c r="Q18" s="25">
        <f t="shared" si="0"/>
        <v>0</v>
      </c>
      <c r="R18" s="24">
        <f t="shared" si="0"/>
        <v>-1327</v>
      </c>
      <c r="S18" s="25">
        <f t="shared" si="0"/>
        <v>-8979</v>
      </c>
      <c r="T18" s="24">
        <f t="shared" si="0"/>
        <v>-277</v>
      </c>
      <c r="U18" s="25">
        <f t="shared" si="0"/>
        <v>-6452</v>
      </c>
    </row>
    <row r="19" spans="1:21">
      <c r="A19" s="9" t="s">
        <v>242</v>
      </c>
      <c r="B19" s="47"/>
      <c r="C19" s="13"/>
      <c r="D19" s="47"/>
      <c r="E19" s="13"/>
      <c r="F19" s="47"/>
      <c r="G19" s="13"/>
      <c r="H19" s="47"/>
      <c r="I19" s="13"/>
      <c r="J19" s="47"/>
      <c r="K19" s="13"/>
      <c r="L19" s="47"/>
      <c r="M19" s="13"/>
      <c r="N19" s="47"/>
      <c r="O19" s="13"/>
      <c r="P19" s="47"/>
      <c r="Q19" s="13"/>
      <c r="R19" s="47"/>
      <c r="S19" s="13"/>
      <c r="T19" s="47"/>
      <c r="U19" s="13"/>
    </row>
    <row r="20" spans="1:21">
      <c r="A20" s="4" t="s">
        <v>63</v>
      </c>
      <c r="B20" s="24">
        <f t="shared" ref="B20:K20" si="1">SUM(B18:B19)</f>
        <v>0</v>
      </c>
      <c r="C20" s="25">
        <f t="shared" si="1"/>
        <v>0</v>
      </c>
      <c r="D20" s="24">
        <f t="shared" ref="D20:E20" si="2">SUM(D18:D19)</f>
        <v>-21466</v>
      </c>
      <c r="E20" s="25">
        <f t="shared" si="2"/>
        <v>-143862</v>
      </c>
      <c r="F20" s="24">
        <f t="shared" si="1"/>
        <v>0</v>
      </c>
      <c r="G20" s="25">
        <f t="shared" si="1"/>
        <v>0</v>
      </c>
      <c r="H20" s="24">
        <f t="shared" si="1"/>
        <v>0</v>
      </c>
      <c r="I20" s="25">
        <f t="shared" si="1"/>
        <v>0</v>
      </c>
      <c r="J20" s="24">
        <f t="shared" si="1"/>
        <v>0</v>
      </c>
      <c r="K20" s="25">
        <f t="shared" si="1"/>
        <v>0</v>
      </c>
      <c r="L20" s="24">
        <f t="shared" ref="L20:Q20" si="3">SUM(L18:L19)</f>
        <v>0</v>
      </c>
      <c r="M20" s="25">
        <f t="shared" si="3"/>
        <v>0</v>
      </c>
      <c r="N20" s="24">
        <f>SUM(N18:N19)</f>
        <v>0</v>
      </c>
      <c r="O20" s="25">
        <f>SUM(O18:O19)</f>
        <v>0</v>
      </c>
      <c r="P20" s="24">
        <f t="shared" si="3"/>
        <v>0</v>
      </c>
      <c r="Q20" s="25">
        <f t="shared" si="3"/>
        <v>0</v>
      </c>
      <c r="R20" s="24">
        <f>SUM(R18:R19)</f>
        <v>-1327</v>
      </c>
      <c r="S20" s="25">
        <f>SUM(S18:S19)</f>
        <v>-8979</v>
      </c>
      <c r="T20" s="24">
        <f>SUM(T18:T19)</f>
        <v>-277</v>
      </c>
      <c r="U20" s="25">
        <f>SUM(U18:U19)</f>
        <v>-6452</v>
      </c>
    </row>
    <row r="21" spans="1:21" ht="15" hidden="1" customHeight="1">
      <c r="A21" s="10" t="s">
        <v>50</v>
      </c>
      <c r="B21" s="18"/>
      <c r="C21" s="19"/>
      <c r="D21" s="18"/>
      <c r="E21" s="19"/>
      <c r="F21" s="18"/>
      <c r="G21" s="19"/>
      <c r="H21" s="18"/>
      <c r="I21" s="19"/>
      <c r="J21" s="18"/>
      <c r="K21" s="19"/>
      <c r="L21" s="18"/>
      <c r="M21" s="19"/>
      <c r="N21" s="18"/>
      <c r="O21" s="19"/>
      <c r="P21" s="18"/>
      <c r="Q21" s="19"/>
      <c r="R21" s="18"/>
      <c r="S21" s="19"/>
      <c r="T21" s="18"/>
      <c r="U21" s="19"/>
    </row>
    <row r="22" spans="1:21" ht="15" hidden="1" customHeight="1">
      <c r="A22" s="4" t="s">
        <v>69</v>
      </c>
      <c r="B22" s="24">
        <f>B20-B21</f>
        <v>0</v>
      </c>
      <c r="C22" s="25">
        <f>C20-C21</f>
        <v>0</v>
      </c>
      <c r="D22" s="24">
        <f>D20-D21</f>
        <v>-21466</v>
      </c>
      <c r="E22" s="25">
        <f>E20-E21</f>
        <v>-143862</v>
      </c>
      <c r="F22" s="24">
        <f t="shared" ref="F22:Q22" si="4">F20-F21</f>
        <v>0</v>
      </c>
      <c r="G22" s="25">
        <f t="shared" si="4"/>
        <v>0</v>
      </c>
      <c r="H22" s="24">
        <f t="shared" si="4"/>
        <v>0</v>
      </c>
      <c r="I22" s="25">
        <f t="shared" si="4"/>
        <v>0</v>
      </c>
      <c r="J22" s="24">
        <f>J20-J21</f>
        <v>0</v>
      </c>
      <c r="K22" s="25">
        <f>K20-K21</f>
        <v>0</v>
      </c>
      <c r="L22" s="24">
        <f t="shared" si="4"/>
        <v>0</v>
      </c>
      <c r="M22" s="25">
        <f t="shared" si="4"/>
        <v>0</v>
      </c>
      <c r="N22" s="24">
        <f t="shared" si="4"/>
        <v>0</v>
      </c>
      <c r="O22" s="25">
        <f t="shared" si="4"/>
        <v>0</v>
      </c>
      <c r="P22" s="24">
        <f t="shared" si="4"/>
        <v>0</v>
      </c>
      <c r="Q22" s="25">
        <f t="shared" si="4"/>
        <v>0</v>
      </c>
      <c r="R22" s="24">
        <f>R20-R21</f>
        <v>-1327</v>
      </c>
      <c r="S22" s="25">
        <f>S20-S21</f>
        <v>-8979</v>
      </c>
      <c r="T22" s="24">
        <f>T20-T21</f>
        <v>-277</v>
      </c>
      <c r="U22" s="25">
        <f>U20-U21</f>
        <v>-6452</v>
      </c>
    </row>
    <row r="23" spans="1:21" ht="15" hidden="1" customHeight="1">
      <c r="A23" s="10" t="s">
        <v>51</v>
      </c>
      <c r="B23" s="18"/>
      <c r="C23" s="19"/>
      <c r="D23" s="18"/>
      <c r="E23" s="19"/>
      <c r="F23" s="18"/>
      <c r="G23" s="19"/>
      <c r="H23" s="18"/>
      <c r="I23" s="19"/>
      <c r="J23" s="18"/>
      <c r="K23" s="19"/>
      <c r="L23" s="18"/>
      <c r="M23" s="19"/>
      <c r="N23" s="18"/>
      <c r="O23" s="19"/>
      <c r="P23" s="18"/>
      <c r="Q23" s="19"/>
      <c r="R23" s="18"/>
      <c r="S23" s="19"/>
      <c r="T23" s="18"/>
      <c r="U23" s="19"/>
    </row>
    <row r="24" spans="1:21" ht="15" hidden="1" customHeight="1">
      <c r="A24" s="12" t="s">
        <v>70</v>
      </c>
      <c r="B24" s="20">
        <f>B22-B23</f>
        <v>0</v>
      </c>
      <c r="C24" s="21">
        <f>C22-C23</f>
        <v>0</v>
      </c>
      <c r="D24" s="20">
        <f>D22-D23</f>
        <v>-21466</v>
      </c>
      <c r="E24" s="21">
        <f>E22-E23</f>
        <v>-143862</v>
      </c>
      <c r="F24" s="20">
        <f t="shared" ref="F24:Q24" si="5">F22-F23</f>
        <v>0</v>
      </c>
      <c r="G24" s="21">
        <f t="shared" si="5"/>
        <v>0</v>
      </c>
      <c r="H24" s="20">
        <f t="shared" si="5"/>
        <v>0</v>
      </c>
      <c r="I24" s="21">
        <f t="shared" si="5"/>
        <v>0</v>
      </c>
      <c r="J24" s="20">
        <f>J22-J23</f>
        <v>0</v>
      </c>
      <c r="K24" s="21">
        <f>K22-K23</f>
        <v>0</v>
      </c>
      <c r="L24" s="20">
        <f t="shared" si="5"/>
        <v>0</v>
      </c>
      <c r="M24" s="21">
        <f t="shared" si="5"/>
        <v>0</v>
      </c>
      <c r="N24" s="20">
        <f t="shared" si="5"/>
        <v>0</v>
      </c>
      <c r="O24" s="21">
        <f t="shared" si="5"/>
        <v>0</v>
      </c>
      <c r="P24" s="20">
        <f t="shared" si="5"/>
        <v>0</v>
      </c>
      <c r="Q24" s="21">
        <f t="shared" si="5"/>
        <v>0</v>
      </c>
      <c r="R24" s="20">
        <f>R22-R23</f>
        <v>-1327</v>
      </c>
      <c r="S24" s="21">
        <f>S22-S23</f>
        <v>-8979</v>
      </c>
      <c r="T24" s="20">
        <f>T22-T23</f>
        <v>-277</v>
      </c>
      <c r="U24" s="21">
        <f>U22-U23</f>
        <v>-6452</v>
      </c>
    </row>
  </sheetData>
  <sheetProtection sheet="1" objects="1" scenarios="1"/>
  <mergeCells count="10">
    <mergeCell ref="P4:Q4"/>
    <mergeCell ref="R4:S4"/>
    <mergeCell ref="T4:U4"/>
    <mergeCell ref="B4:C4"/>
    <mergeCell ref="F4:G4"/>
    <mergeCell ref="H4:I4"/>
    <mergeCell ref="J4:K4"/>
    <mergeCell ref="L4:M4"/>
    <mergeCell ref="N4:O4"/>
    <mergeCell ref="D4:E4"/>
  </mergeCells>
  <pageMargins left="0.7" right="0.7" top="0.75" bottom="0.75" header="0.3" footer="0.3"/>
  <pageSetup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346CA-9ACA-4F6C-8A61-81A388B76900}">
  <dimension ref="A1:P30"/>
  <sheetViews>
    <sheetView tabSelected="1" zoomScale="120" zoomScaleNormal="120" workbookViewId="0">
      <selection activeCell="I10" sqref="I10"/>
    </sheetView>
  </sheetViews>
  <sheetFormatPr defaultRowHeight="15"/>
  <cols>
    <col min="2" max="2" width="11.7109375" customWidth="1"/>
    <col min="16" max="16" width="10.28515625" customWidth="1"/>
  </cols>
  <sheetData>
    <row r="1" spans="1:16" ht="15.75" thickBot="1"/>
    <row r="2" spans="1:16">
      <c r="B2" s="311" t="s">
        <v>560</v>
      </c>
      <c r="C2" s="312"/>
      <c r="D2" s="312"/>
      <c r="E2" s="312"/>
      <c r="F2" s="312"/>
      <c r="G2" s="312"/>
      <c r="H2" s="312"/>
      <c r="I2" s="312"/>
      <c r="J2" s="312"/>
      <c r="K2" s="312"/>
      <c r="L2" s="312"/>
      <c r="M2" s="312"/>
      <c r="N2" s="312"/>
      <c r="O2" s="312"/>
      <c r="P2" s="313"/>
    </row>
    <row r="3" spans="1:16" ht="12" customHeight="1">
      <c r="B3" s="314"/>
      <c r="C3" s="315"/>
      <c r="D3" s="315"/>
      <c r="E3" s="315"/>
      <c r="F3" s="315"/>
      <c r="G3" s="315"/>
      <c r="H3" s="315"/>
      <c r="I3" s="315"/>
      <c r="J3" s="315"/>
      <c r="K3" s="315"/>
      <c r="L3" s="315"/>
      <c r="M3" s="315"/>
      <c r="N3" s="315"/>
      <c r="O3" s="315"/>
      <c r="P3" s="316"/>
    </row>
    <row r="4" spans="1:16" ht="18.75" customHeight="1" thickBot="1">
      <c r="B4" s="317"/>
      <c r="C4" s="318"/>
      <c r="D4" s="318"/>
      <c r="E4" s="318"/>
      <c r="F4" s="318"/>
      <c r="G4" s="318"/>
      <c r="H4" s="318"/>
      <c r="I4" s="318"/>
      <c r="J4" s="318"/>
      <c r="K4" s="318"/>
      <c r="L4" s="318"/>
      <c r="M4" s="318"/>
      <c r="N4" s="318"/>
      <c r="O4" s="318"/>
      <c r="P4" s="319"/>
    </row>
    <row r="5" spans="1:16" ht="15.75" thickBot="1">
      <c r="A5" s="174"/>
      <c r="B5" s="174"/>
      <c r="C5" s="174"/>
      <c r="D5" s="174"/>
      <c r="E5" s="174"/>
      <c r="F5" s="174"/>
      <c r="G5" s="174"/>
      <c r="H5" s="174"/>
      <c r="I5" s="174"/>
      <c r="J5" s="174"/>
      <c r="K5" s="174"/>
    </row>
    <row r="6" spans="1:16">
      <c r="A6" s="174"/>
      <c r="B6" s="308" t="s">
        <v>553</v>
      </c>
      <c r="C6" s="300"/>
      <c r="D6" s="300"/>
      <c r="E6" s="300"/>
      <c r="F6" s="300"/>
      <c r="G6" s="300"/>
      <c r="H6" s="300"/>
      <c r="I6" s="300"/>
      <c r="J6" s="300"/>
      <c r="K6" s="300"/>
      <c r="L6" s="300"/>
      <c r="M6" s="300"/>
      <c r="N6" s="300"/>
      <c r="O6" s="300"/>
      <c r="P6" s="306"/>
    </row>
    <row r="7" spans="1:16">
      <c r="B7" s="301" t="s">
        <v>561</v>
      </c>
      <c r="C7" s="307"/>
      <c r="D7" s="307"/>
      <c r="E7" s="307"/>
      <c r="F7" s="307"/>
      <c r="G7" s="307"/>
      <c r="H7" s="307"/>
      <c r="I7" s="307"/>
      <c r="J7" s="307"/>
      <c r="K7" s="307"/>
      <c r="L7" s="307"/>
      <c r="M7" s="307"/>
      <c r="N7" s="307"/>
      <c r="O7" s="307"/>
      <c r="P7" s="302"/>
    </row>
    <row r="8" spans="1:16">
      <c r="B8" s="301"/>
      <c r="C8" s="307" t="s">
        <v>562</v>
      </c>
      <c r="D8" s="307"/>
      <c r="E8" s="307"/>
      <c r="F8" s="307"/>
      <c r="G8" s="307"/>
      <c r="H8" s="307"/>
      <c r="I8" s="307"/>
      <c r="J8" s="307"/>
      <c r="K8" s="307"/>
      <c r="L8" s="307"/>
      <c r="M8" s="307"/>
      <c r="N8" s="307"/>
      <c r="O8" s="307"/>
      <c r="P8" s="302"/>
    </row>
    <row r="9" spans="1:16">
      <c r="B9" s="301"/>
      <c r="C9" s="307" t="s">
        <v>554</v>
      </c>
      <c r="D9" s="307"/>
      <c r="E9" s="307"/>
      <c r="F9" s="307"/>
      <c r="G9" s="307"/>
      <c r="H9" s="307"/>
      <c r="I9" s="307"/>
      <c r="J9" s="307"/>
      <c r="K9" s="307"/>
      <c r="L9" s="307"/>
      <c r="M9" s="307"/>
      <c r="N9" s="307"/>
      <c r="O9" s="307"/>
      <c r="P9" s="302"/>
    </row>
    <row r="10" spans="1:16">
      <c r="B10" s="301"/>
      <c r="C10" s="307" t="s">
        <v>550</v>
      </c>
      <c r="D10" s="307"/>
      <c r="E10" s="307"/>
      <c r="F10" s="307"/>
      <c r="G10" s="307"/>
      <c r="H10" s="307"/>
      <c r="I10" s="307"/>
      <c r="J10" s="307"/>
      <c r="K10" s="307"/>
      <c r="L10" s="307"/>
      <c r="M10" s="307"/>
      <c r="N10" s="307"/>
      <c r="O10" s="307"/>
      <c r="P10" s="302"/>
    </row>
    <row r="11" spans="1:16">
      <c r="B11" s="301"/>
      <c r="C11" s="307"/>
      <c r="D11" s="307" t="s">
        <v>563</v>
      </c>
      <c r="E11" s="307"/>
      <c r="F11" s="307"/>
      <c r="G11" s="307"/>
      <c r="H11" s="307"/>
      <c r="I11" s="307"/>
      <c r="J11" s="307"/>
      <c r="K11" s="307"/>
      <c r="L11" s="307"/>
      <c r="M11" s="307"/>
      <c r="N11" s="307"/>
      <c r="O11" s="307"/>
      <c r="P11" s="302"/>
    </row>
    <row r="12" spans="1:16">
      <c r="B12" s="301"/>
      <c r="C12" s="307"/>
      <c r="D12" t="s">
        <v>552</v>
      </c>
      <c r="E12" s="307"/>
      <c r="F12" s="307"/>
      <c r="G12" s="307"/>
      <c r="H12" s="307"/>
      <c r="I12" s="307"/>
      <c r="J12" s="307"/>
      <c r="K12" s="307"/>
      <c r="L12" s="307"/>
      <c r="M12" s="307"/>
      <c r="N12" s="307"/>
      <c r="O12" s="307"/>
      <c r="P12" s="302"/>
    </row>
    <row r="13" spans="1:16">
      <c r="B13" s="301"/>
      <c r="C13" s="307" t="s">
        <v>555</v>
      </c>
      <c r="D13" s="307"/>
      <c r="E13" s="307"/>
      <c r="F13" s="307"/>
      <c r="G13" s="307"/>
      <c r="H13" s="307"/>
      <c r="I13" s="307"/>
      <c r="J13" s="307"/>
      <c r="K13" s="307"/>
      <c r="L13" s="307"/>
      <c r="M13" s="307"/>
      <c r="N13" s="307"/>
      <c r="O13" s="307"/>
      <c r="P13" s="302"/>
    </row>
    <row r="14" spans="1:16">
      <c r="B14" s="301"/>
      <c r="C14" s="307" t="s">
        <v>547</v>
      </c>
      <c r="D14" s="307"/>
      <c r="E14" s="307"/>
      <c r="F14" s="307"/>
      <c r="G14" s="307"/>
      <c r="H14" s="307"/>
      <c r="I14" s="307"/>
      <c r="J14" s="307"/>
      <c r="K14" s="307"/>
      <c r="L14" s="307"/>
      <c r="M14" s="307"/>
      <c r="N14" s="307"/>
      <c r="O14" s="307"/>
      <c r="P14" s="302"/>
    </row>
    <row r="15" spans="1:16">
      <c r="B15" s="301"/>
      <c r="C15" s="307"/>
      <c r="D15" s="307"/>
      <c r="E15" s="307"/>
      <c r="F15" s="307"/>
      <c r="G15" s="307"/>
      <c r="H15" s="307"/>
      <c r="I15" s="307"/>
      <c r="J15" s="307"/>
      <c r="K15" s="307"/>
      <c r="L15" s="307"/>
      <c r="M15" s="307"/>
      <c r="N15" s="307"/>
      <c r="O15" s="307"/>
      <c r="P15" s="302"/>
    </row>
    <row r="16" spans="1:16">
      <c r="B16" s="301" t="s">
        <v>551</v>
      </c>
      <c r="C16" s="307"/>
      <c r="D16" s="307"/>
      <c r="E16" s="307"/>
      <c r="F16" s="307"/>
      <c r="G16" s="307"/>
      <c r="H16" s="307"/>
      <c r="I16" s="307"/>
      <c r="J16" s="307"/>
      <c r="K16" s="307"/>
      <c r="L16" s="307"/>
      <c r="M16" s="307"/>
      <c r="N16" s="307"/>
      <c r="O16" s="307"/>
      <c r="P16" s="302"/>
    </row>
    <row r="17" spans="2:16">
      <c r="B17" s="301"/>
      <c r="C17" s="307"/>
      <c r="D17" s="307" t="s">
        <v>565</v>
      </c>
      <c r="E17" s="307"/>
      <c r="F17" s="307"/>
      <c r="G17" s="307"/>
      <c r="H17" s="307"/>
      <c r="I17" s="307"/>
      <c r="J17" s="307"/>
      <c r="K17" s="307"/>
      <c r="L17" s="307"/>
      <c r="M17" s="307"/>
      <c r="N17" s="307"/>
      <c r="O17" s="307"/>
      <c r="P17" s="302"/>
    </row>
    <row r="18" spans="2:16">
      <c r="B18" s="301"/>
      <c r="C18" s="307"/>
      <c r="D18" s="307"/>
      <c r="E18" s="307"/>
      <c r="F18" s="307"/>
      <c r="G18" s="307"/>
      <c r="H18" s="307"/>
      <c r="I18" s="307"/>
      <c r="J18" s="307"/>
      <c r="K18" s="307"/>
      <c r="L18" s="307"/>
      <c r="M18" s="307"/>
      <c r="N18" s="307"/>
      <c r="O18" s="307"/>
      <c r="P18" s="302"/>
    </row>
    <row r="19" spans="2:16">
      <c r="B19" s="301" t="s">
        <v>559</v>
      </c>
      <c r="C19" s="307"/>
      <c r="D19" s="307"/>
      <c r="E19" s="307"/>
      <c r="F19" s="307"/>
      <c r="G19" s="307"/>
      <c r="H19" s="307"/>
      <c r="I19" s="307"/>
      <c r="J19" s="307"/>
      <c r="K19" s="307"/>
      <c r="L19" s="307"/>
      <c r="M19" s="307"/>
      <c r="N19" s="307"/>
      <c r="O19" s="307"/>
      <c r="P19" s="302"/>
    </row>
    <row r="20" spans="2:16">
      <c r="B20" s="301"/>
      <c r="C20" s="307"/>
      <c r="D20" s="307" t="s">
        <v>558</v>
      </c>
      <c r="E20" s="307"/>
      <c r="F20" s="307"/>
      <c r="G20" s="307"/>
      <c r="H20" s="307"/>
      <c r="I20" s="307"/>
      <c r="J20" s="307"/>
      <c r="L20" s="307"/>
      <c r="M20" s="307"/>
      <c r="N20" s="307"/>
      <c r="O20" s="307"/>
      <c r="P20" s="302"/>
    </row>
    <row r="21" spans="2:16">
      <c r="B21" s="301"/>
      <c r="C21" s="307"/>
      <c r="D21" s="307" t="s">
        <v>564</v>
      </c>
      <c r="E21" s="307"/>
      <c r="F21" s="307"/>
      <c r="G21" s="307"/>
      <c r="H21" s="307"/>
      <c r="I21" s="307"/>
      <c r="J21" s="307"/>
      <c r="K21" s="307"/>
      <c r="L21" s="307"/>
      <c r="M21" s="307"/>
      <c r="N21" s="307"/>
      <c r="O21" s="307"/>
      <c r="P21" s="302"/>
    </row>
    <row r="22" spans="2:16">
      <c r="B22" s="301"/>
      <c r="C22" s="307"/>
      <c r="D22" s="307" t="s">
        <v>556</v>
      </c>
      <c r="E22" s="307"/>
      <c r="F22" s="307"/>
      <c r="G22" s="307"/>
      <c r="H22" s="307"/>
      <c r="I22" s="307"/>
      <c r="J22" s="307"/>
      <c r="K22" s="307"/>
      <c r="L22" s="307"/>
      <c r="M22" s="307"/>
      <c r="N22" s="307"/>
      <c r="O22" s="307"/>
      <c r="P22" s="302"/>
    </row>
    <row r="23" spans="2:16">
      <c r="B23" s="301"/>
      <c r="C23" s="307"/>
      <c r="D23" s="307" t="s">
        <v>557</v>
      </c>
      <c r="E23" s="307"/>
      <c r="F23" s="307"/>
      <c r="G23" s="307"/>
      <c r="H23" s="307"/>
      <c r="I23" s="307"/>
      <c r="J23" s="307"/>
      <c r="K23" s="307"/>
      <c r="L23" s="307"/>
      <c r="M23" s="307"/>
      <c r="N23" s="307"/>
      <c r="O23" s="307"/>
      <c r="P23" s="302"/>
    </row>
    <row r="24" spans="2:16">
      <c r="B24" s="301"/>
      <c r="C24" s="307"/>
      <c r="E24" s="307"/>
      <c r="F24" s="307"/>
      <c r="G24" s="307"/>
      <c r="H24" s="307"/>
      <c r="I24" s="307"/>
      <c r="J24" s="307"/>
      <c r="K24" s="307"/>
      <c r="L24" s="307"/>
      <c r="M24" s="307"/>
      <c r="N24" s="307"/>
      <c r="O24" s="307"/>
      <c r="P24" s="302"/>
    </row>
    <row r="25" spans="2:16" ht="15.75" thickBot="1">
      <c r="B25" s="303"/>
      <c r="C25" s="304"/>
      <c r="D25" s="304"/>
      <c r="E25" s="304"/>
      <c r="F25" s="304"/>
      <c r="G25" s="304"/>
      <c r="H25" s="304"/>
      <c r="I25" s="304"/>
      <c r="J25" s="304"/>
      <c r="K25" s="304"/>
      <c r="L25" s="304"/>
      <c r="M25" s="304"/>
      <c r="N25" s="304"/>
      <c r="O25" s="304"/>
      <c r="P25" s="305"/>
    </row>
    <row r="28" spans="2:16">
      <c r="D28" s="123"/>
    </row>
    <row r="29" spans="2:16">
      <c r="D29" s="123"/>
    </row>
    <row r="30" spans="2:16">
      <c r="D30" s="123"/>
    </row>
  </sheetData>
  <mergeCells count="1">
    <mergeCell ref="B2:P4"/>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7">
    <pageSetUpPr fitToPage="1"/>
  </sheetPr>
  <dimension ref="A1:AS87"/>
  <sheetViews>
    <sheetView workbookViewId="0"/>
  </sheetViews>
  <sheetFormatPr defaultColWidth="9.140625" defaultRowHeight="15"/>
  <cols>
    <col min="1" max="1" width="44.28515625" bestFit="1" customWidth="1"/>
    <col min="2" max="2" width="9.85546875" bestFit="1" customWidth="1"/>
    <col min="3" max="3" width="10.85546875" bestFit="1" customWidth="1"/>
    <col min="4" max="5" width="4.7109375" style="71" hidden="1" customWidth="1"/>
    <col min="6" max="6" width="9.85546875" bestFit="1" customWidth="1"/>
    <col min="7" max="7" width="10.85546875" bestFit="1" customWidth="1"/>
    <col min="8" max="9" width="4.7109375" style="71" hidden="1" customWidth="1"/>
    <col min="10" max="10" width="9.85546875" bestFit="1" customWidth="1"/>
    <col min="11" max="11" width="10.85546875" bestFit="1" customWidth="1"/>
    <col min="12" max="13" width="5.7109375" style="71" hidden="1" customWidth="1"/>
    <col min="14" max="14" width="9.85546875" bestFit="1" customWidth="1"/>
    <col min="15" max="15" width="10.85546875" bestFit="1" customWidth="1"/>
    <col min="16" max="17" width="5.7109375" style="71" hidden="1" customWidth="1"/>
    <col min="18" max="18" width="9.85546875" bestFit="1" customWidth="1"/>
    <col min="19" max="19" width="10.85546875" bestFit="1" customWidth="1"/>
    <col min="20" max="21" width="5.7109375" hidden="1" customWidth="1"/>
    <col min="22" max="22" width="9.85546875" hidden="1" customWidth="1"/>
    <col min="23" max="23" width="10.85546875" hidden="1" customWidth="1"/>
    <col min="24" max="25" width="5.7109375" hidden="1" customWidth="1"/>
    <col min="26" max="26" width="9.85546875" bestFit="1" customWidth="1"/>
    <col min="27" max="27" width="10.85546875" bestFit="1" customWidth="1"/>
    <col min="28" max="28" width="5.7109375" style="71" hidden="1" customWidth="1"/>
    <col min="29" max="29" width="5" style="71" hidden="1" customWidth="1"/>
    <col min="30" max="30" width="9.85546875" bestFit="1" customWidth="1"/>
    <col min="31" max="31" width="10.85546875" bestFit="1" customWidth="1"/>
    <col min="32" max="32" width="5.7109375" hidden="1" customWidth="1"/>
    <col min="33" max="33" width="5" hidden="1" customWidth="1"/>
    <col min="34" max="34" width="9.85546875" bestFit="1" customWidth="1"/>
    <col min="35" max="35" width="10.85546875" bestFit="1" customWidth="1"/>
    <col min="36" max="36" width="9.85546875" bestFit="1" customWidth="1"/>
    <col min="37" max="37" width="10.85546875" bestFit="1" customWidth="1"/>
    <col min="38" max="38" width="9.85546875" bestFit="1" customWidth="1"/>
    <col min="39" max="39" width="10.85546875" bestFit="1" customWidth="1"/>
    <col min="40" max="40" width="9.85546875" bestFit="1" customWidth="1"/>
    <col min="41" max="41" width="10.85546875" bestFit="1" customWidth="1"/>
    <col min="42" max="42" width="9.85546875" bestFit="1" customWidth="1"/>
    <col min="43" max="44" width="10.85546875" bestFit="1" customWidth="1"/>
    <col min="45" max="45" width="11.85546875" bestFit="1" customWidth="1"/>
  </cols>
  <sheetData>
    <row r="1" spans="1:45">
      <c r="A1" t="s">
        <v>249</v>
      </c>
    </row>
    <row r="2" spans="1:45" s="1" customFormat="1">
      <c r="A2" s="2">
        <v>42705</v>
      </c>
      <c r="B2" s="2"/>
      <c r="D2" s="72"/>
      <c r="E2" s="72"/>
      <c r="F2" s="2"/>
      <c r="H2" s="72"/>
      <c r="I2" s="72"/>
      <c r="J2" s="2"/>
      <c r="L2" s="72"/>
      <c r="M2" s="72"/>
      <c r="N2" s="2"/>
      <c r="P2" s="72"/>
      <c r="Q2" s="72"/>
      <c r="R2" s="2"/>
      <c r="V2" s="2"/>
      <c r="Z2" s="2"/>
      <c r="AB2" s="72"/>
      <c r="AC2" s="72"/>
      <c r="AD2" s="2"/>
      <c r="AH2" s="2"/>
      <c r="AJ2" s="2"/>
      <c r="AL2" s="2"/>
      <c r="AN2" s="2"/>
      <c r="AP2" s="2"/>
      <c r="AR2" s="2"/>
    </row>
    <row r="3" spans="1:45" s="74" customFormat="1">
      <c r="A3" s="73"/>
      <c r="B3" s="73"/>
      <c r="C3" s="74">
        <v>8</v>
      </c>
      <c r="D3" s="75"/>
      <c r="E3" s="75"/>
      <c r="F3" s="73"/>
      <c r="G3" s="74">
        <v>8</v>
      </c>
      <c r="H3" s="75"/>
      <c r="I3" s="75"/>
      <c r="J3" s="73"/>
      <c r="K3" s="74">
        <v>8</v>
      </c>
      <c r="L3" s="75"/>
      <c r="M3" s="75"/>
      <c r="N3" s="73"/>
      <c r="O3" s="74">
        <v>8</v>
      </c>
      <c r="P3" s="75"/>
      <c r="Q3" s="75"/>
      <c r="R3" s="73"/>
      <c r="S3" s="74">
        <v>8</v>
      </c>
      <c r="V3" s="73"/>
      <c r="Z3" s="73"/>
      <c r="AA3" s="74">
        <v>2</v>
      </c>
      <c r="AB3" s="75"/>
      <c r="AC3" s="75"/>
      <c r="AD3" s="73">
        <f>'[2]PAGE 2'!$L$13</f>
        <v>186804</v>
      </c>
      <c r="AH3" s="73">
        <f>[3]P2!$J$25</f>
        <v>198799</v>
      </c>
      <c r="AJ3" s="73">
        <f>[13]P2!$J$25</f>
        <v>51158</v>
      </c>
      <c r="AL3" s="73">
        <f>[13]P2!$J$25</f>
        <v>51158</v>
      </c>
      <c r="AN3" s="73"/>
      <c r="AO3" s="74">
        <v>2</v>
      </c>
      <c r="AP3" s="73"/>
      <c r="AQ3" s="74">
        <v>2</v>
      </c>
      <c r="AR3" s="73"/>
    </row>
    <row r="4" spans="1:45" s="1" customFormat="1">
      <c r="A4" s="3"/>
      <c r="B4" s="309" t="s">
        <v>213</v>
      </c>
      <c r="C4" s="310"/>
      <c r="D4" s="76"/>
      <c r="E4" s="76"/>
      <c r="F4" s="309" t="s">
        <v>282</v>
      </c>
      <c r="G4" s="310"/>
      <c r="H4" s="76"/>
      <c r="I4" s="76"/>
      <c r="J4" s="309" t="s">
        <v>203</v>
      </c>
      <c r="K4" s="310"/>
      <c r="L4" s="76"/>
      <c r="M4" s="76"/>
      <c r="N4" s="309" t="s">
        <v>204</v>
      </c>
      <c r="O4" s="310"/>
      <c r="P4" s="76"/>
      <c r="Q4" s="76"/>
      <c r="R4" s="309" t="s">
        <v>205</v>
      </c>
      <c r="S4" s="310"/>
      <c r="T4" s="77"/>
      <c r="U4" s="77"/>
      <c r="V4" s="309"/>
      <c r="W4" s="310"/>
      <c r="X4" s="77"/>
      <c r="Y4" s="77"/>
      <c r="Z4" s="309" t="s">
        <v>207</v>
      </c>
      <c r="AA4" s="310"/>
      <c r="AB4" s="76"/>
      <c r="AC4" s="76"/>
      <c r="AD4" s="309" t="s">
        <v>208</v>
      </c>
      <c r="AE4" s="310"/>
      <c r="AF4" s="78"/>
      <c r="AG4" s="79"/>
      <c r="AH4" s="309" t="s">
        <v>278</v>
      </c>
      <c r="AI4" s="310"/>
      <c r="AJ4" s="309" t="s">
        <v>279</v>
      </c>
      <c r="AK4" s="310"/>
      <c r="AL4" s="309" t="s">
        <v>287</v>
      </c>
      <c r="AM4" s="310"/>
      <c r="AN4" s="309" t="s">
        <v>292</v>
      </c>
      <c r="AO4" s="310"/>
      <c r="AP4" s="309" t="s">
        <v>293</v>
      </c>
      <c r="AQ4" s="310"/>
      <c r="AR4" s="309" t="s">
        <v>64</v>
      </c>
      <c r="AS4" s="310"/>
    </row>
    <row r="5" spans="1:45" s="1" customFormat="1">
      <c r="A5" s="3"/>
      <c r="B5" s="14" t="s">
        <v>2</v>
      </c>
      <c r="C5" s="15" t="s">
        <v>3</v>
      </c>
      <c r="D5" s="80"/>
      <c r="E5" s="80"/>
      <c r="F5" s="14" t="s">
        <v>2</v>
      </c>
      <c r="G5" s="15" t="s">
        <v>3</v>
      </c>
      <c r="H5" s="80"/>
      <c r="I5" s="80"/>
      <c r="J5" s="14" t="s">
        <v>2</v>
      </c>
      <c r="K5" s="15" t="s">
        <v>3</v>
      </c>
      <c r="L5" s="80"/>
      <c r="M5" s="80"/>
      <c r="N5" s="14" t="s">
        <v>2</v>
      </c>
      <c r="O5" s="15" t="s">
        <v>3</v>
      </c>
      <c r="P5" s="80"/>
      <c r="Q5" s="80"/>
      <c r="R5" s="14" t="s">
        <v>2</v>
      </c>
      <c r="S5" s="15" t="s">
        <v>3</v>
      </c>
      <c r="T5" s="81"/>
      <c r="U5" s="81"/>
      <c r="V5" s="14"/>
      <c r="W5" s="15"/>
      <c r="X5" s="81"/>
      <c r="Y5" s="81"/>
      <c r="Z5" s="14" t="s">
        <v>2</v>
      </c>
      <c r="AA5" s="15" t="s">
        <v>3</v>
      </c>
      <c r="AB5" s="80"/>
      <c r="AC5" s="80"/>
      <c r="AD5" s="14" t="s">
        <v>2</v>
      </c>
      <c r="AE5" s="15" t="s">
        <v>3</v>
      </c>
      <c r="AF5" s="14"/>
      <c r="AG5" s="15"/>
      <c r="AH5" s="14" t="s">
        <v>2</v>
      </c>
      <c r="AI5" s="15" t="s">
        <v>3</v>
      </c>
      <c r="AJ5" s="14" t="s">
        <v>2</v>
      </c>
      <c r="AK5" s="15" t="s">
        <v>3</v>
      </c>
      <c r="AL5" s="14" t="s">
        <v>2</v>
      </c>
      <c r="AM5" s="15" t="s">
        <v>3</v>
      </c>
      <c r="AN5" s="14" t="s">
        <v>2</v>
      </c>
      <c r="AO5" s="15" t="s">
        <v>3</v>
      </c>
      <c r="AP5" s="14" t="s">
        <v>2</v>
      </c>
      <c r="AQ5" s="15" t="s">
        <v>3</v>
      </c>
      <c r="AR5" s="14" t="s">
        <v>2</v>
      </c>
      <c r="AS5" s="15" t="s">
        <v>3</v>
      </c>
    </row>
    <row r="6" spans="1:45">
      <c r="A6" s="11" t="s">
        <v>0</v>
      </c>
      <c r="B6" s="16">
        <f>INDEX('[4]Page 2'!$B:$DP,MATCH("Total Sales",'[4]Page 2'!$D:$D,0),13)</f>
        <v>8001923</v>
      </c>
      <c r="C6" s="17">
        <f>INDEX('[4]Page 2'!$B:$DP,MATCH("Total Sales",'[4]Page 2'!$D:$D,0),24)</f>
        <v>86346129</v>
      </c>
      <c r="D6" s="82"/>
      <c r="E6" s="82"/>
      <c r="F6" s="16">
        <f>INDEX('[5]Page 2'!$B:$DP,MATCH("Total Sales",'[5]Page 2'!$D:$D,0),13)</f>
        <v>7206938</v>
      </c>
      <c r="G6" s="17">
        <f>INDEX('[5]Page 2'!$B:$DP,MATCH("Total Sales",'[5]Page 2'!$D:$D,0),24)</f>
        <v>73883052</v>
      </c>
      <c r="H6" s="82"/>
      <c r="I6" s="82"/>
      <c r="J6" s="16">
        <f>INDEX('[6]Page 2'!$B:$DP,MATCH("Total Sales",'[6]Page 2'!$D:$D,0),13)</f>
        <v>9840134</v>
      </c>
      <c r="K6" s="17">
        <f>INDEX('[6]Page 2'!$B:$DP,MATCH("Total Sales",'[6]Page 2'!$D:$D,0),24)</f>
        <v>94308023</v>
      </c>
      <c r="L6" s="82"/>
      <c r="M6" s="82"/>
      <c r="N6" s="16">
        <f>VLOOKUP("Sales",'[7]PAGE 2'!$B:$O,4,FALSE)</f>
        <v>4587233</v>
      </c>
      <c r="O6" s="17">
        <f>VLOOKUP("Sales",'[7]PAGE 2'!$B:$O,5,FALSE)</f>
        <v>55081312</v>
      </c>
      <c r="P6" s="82"/>
      <c r="Q6" s="82"/>
      <c r="R6" s="16">
        <f>VLOOKUP("Sales",'[8]PAGE 2'!$B:$O,4,FALSE)</f>
        <v>3802071</v>
      </c>
      <c r="S6" s="17">
        <f>VLOOKUP("Sales",'[8]PAGE 2'!$B:$O,5,FALSE)</f>
        <v>40298829</v>
      </c>
      <c r="T6" s="83"/>
      <c r="U6" s="83"/>
      <c r="V6" s="16"/>
      <c r="W6" s="17"/>
      <c r="X6" s="83"/>
      <c r="Y6" s="83"/>
      <c r="Z6" s="16">
        <f>VLOOKUP("Total Sales",'[9]PAGE 2'!$B:$S,4,FALSE)</f>
        <v>10959442</v>
      </c>
      <c r="AA6" s="17">
        <f>VLOOKUP("Total Sales",'[9]PAGE 2'!$B:$S,7,FALSE)</f>
        <v>98304466</v>
      </c>
      <c r="AB6" s="82"/>
      <c r="AC6" s="82"/>
      <c r="AD6" s="16">
        <f>'[2]PAGE 2'!$L$5</f>
        <v>5920842</v>
      </c>
      <c r="AE6" s="17">
        <f>'[2]PAGE 2'!$V$5</f>
        <v>66346649</v>
      </c>
      <c r="AF6" s="16"/>
      <c r="AG6" s="17"/>
      <c r="AH6" s="16">
        <f>[3]P2!$J$9</f>
        <v>4527776</v>
      </c>
      <c r="AI6" s="17">
        <f>[3]P2!$R$9</f>
        <v>56990215</v>
      </c>
      <c r="AJ6" s="16">
        <f>[13]P2!$J$9</f>
        <v>985319</v>
      </c>
      <c r="AK6" s="17">
        <f>[13]P2!$R$9</f>
        <v>15527669</v>
      </c>
      <c r="AL6" s="16">
        <f>SUM('[10]PAGE 2'!$H$4:$I$4)</f>
        <v>2120138</v>
      </c>
      <c r="AM6" s="17">
        <f>SUM('[10]PAGE 2'!$L$4:$M$4)</f>
        <v>13822701</v>
      </c>
      <c r="AN6" s="16">
        <f>VLOOKUP("Total Sales",'[11]PAGE 2'!$B:$S,4,FALSE)</f>
        <v>1876199</v>
      </c>
      <c r="AO6" s="17">
        <f>VLOOKUP("Total Sales",'[11]PAGE 2'!$B:$S,7,FALSE)</f>
        <v>10745024</v>
      </c>
      <c r="AP6" s="16">
        <f>VLOOKUP("Total Sales",'[12]PAGE 2'!$B:$S,4,FALSE)</f>
        <v>2846820</v>
      </c>
      <c r="AQ6" s="17">
        <f>VLOOKUP("Total Sales",'[12]PAGE 2'!$B:$S,7,FALSE)</f>
        <v>11866954</v>
      </c>
      <c r="AR6" s="16">
        <f>IFERROR(SUMIF($A$5:$AQ$5,"Month",$A6:$AQ6),"")</f>
        <v>62674835</v>
      </c>
      <c r="AS6" s="16">
        <f>IFERROR(SUMIF($A$5:$AQ$5,"YTD",$A6:$AQ6),"")</f>
        <v>623521023</v>
      </c>
    </row>
    <row r="7" spans="1:45">
      <c r="B7" s="18"/>
      <c r="C7" s="19"/>
      <c r="F7" s="18"/>
      <c r="G7" s="19"/>
      <c r="J7" s="18"/>
      <c r="K7" s="19"/>
      <c r="N7" s="18"/>
      <c r="O7" s="19"/>
      <c r="R7" s="18"/>
      <c r="S7" s="19"/>
      <c r="V7" s="18"/>
      <c r="W7" s="19"/>
      <c r="Z7" s="18"/>
      <c r="AA7" s="19"/>
      <c r="AD7" s="18"/>
      <c r="AE7" s="19"/>
      <c r="AF7" s="18"/>
      <c r="AG7" s="19"/>
      <c r="AH7" s="18"/>
      <c r="AI7" s="19"/>
      <c r="AJ7" s="18"/>
      <c r="AK7" s="19"/>
      <c r="AL7" s="18"/>
      <c r="AM7" s="19"/>
      <c r="AN7" s="18"/>
      <c r="AO7" s="19"/>
      <c r="AP7" s="18"/>
      <c r="AQ7" s="19"/>
      <c r="AR7" s="18">
        <f t="shared" ref="AR7:AR70" si="0">IFERROR(SUMIF($A$5:$AQ$5,"Month",$A7:$AQ7),"")</f>
        <v>0</v>
      </c>
      <c r="AS7" s="19">
        <f t="shared" ref="AS7:AS70" si="1">IFERROR(SUMIF($A$5:$AQ$5,"YTD",$A7:$AQ7),"")</f>
        <v>0</v>
      </c>
    </row>
    <row r="8" spans="1:45">
      <c r="A8" s="4" t="s">
        <v>251</v>
      </c>
      <c r="B8" s="24">
        <f>+INDEX('[4]Page 2'!$B:$DP,MATCH("8075",'[4]Page 2'!$M:$M,0),13)+INDEX('[4]Page 2'!$B:$DP,MATCH("8077",'[4]Page 2'!$M:$M,0),13)+INDEX('[4]Page 2'!$B:$DP,MATCH("8070",'[4]Page 2'!$M:$M,0),13)</f>
        <v>289350</v>
      </c>
      <c r="C8" s="25">
        <f>+INDEX('[4]Page 2'!$B:$DP,MATCH("8075",'[4]Page 2'!$M:$M,0),24)+INDEX('[4]Page 2'!$B:$DP,MATCH("8077",'[4]Page 2'!$M:$M,0),24)+INDEX('[4]Page 2'!$B:$DP,MATCH("8070",'[4]Page 2'!$M:$M,0),24)</f>
        <v>3326502</v>
      </c>
      <c r="D8" s="337" t="s">
        <v>258</v>
      </c>
      <c r="E8" s="338"/>
      <c r="F8" s="24">
        <f>+INDEX('[5]Page 2'!$B:$DP,MATCH("8075",'[5]Page 2'!$M:$M,0),13)+INDEX('[5]Page 2'!$B:$DP,MATCH("8077",'[5]Page 2'!$M:$M,0),13)+INDEX('[5]Page 2'!$B:$DP,MATCH("8070",'[5]Page 2'!$M:$M,0),13)</f>
        <v>211825</v>
      </c>
      <c r="G8" s="25">
        <f>+INDEX('[5]Page 2'!$B:$DP,MATCH("8075",'[5]Page 2'!$M:$M,0),24)+INDEX('[5]Page 2'!$B:$DP,MATCH("8077",'[5]Page 2'!$M:$M,0),24)+INDEX('[5]Page 2'!$B:$DP,MATCH("8070",'[5]Page 2'!$M:$M,0),24)</f>
        <v>1455637</v>
      </c>
      <c r="H8" s="337" t="s">
        <v>258</v>
      </c>
      <c r="I8" s="338"/>
      <c r="J8" s="24">
        <f>+INDEX('[6]Page 2'!$B:$DP,MATCH("8075",'[6]Page 2'!$M:$M,0),13)+INDEX('[6]Page 2'!$B:$DP,MATCH("8077",'[6]Page 2'!$M:$M,0),13)+INDEX('[6]Page 2'!$B:$DP,MATCH("8070",'[6]Page 2'!$M:$M,0),13)</f>
        <v>361760</v>
      </c>
      <c r="K8" s="25">
        <f>+INDEX('[6]Page 2'!$B:$DP,MATCH("8075",'[6]Page 2'!$M:$M,0),24)+INDEX('[6]Page 2'!$B:$DP,MATCH("8077",'[6]Page 2'!$M:$M,0),24)+INDEX('[6]Page 2'!$B:$DP,MATCH("8070",'[6]Page 2'!$M:$M,0),24)</f>
        <v>2829726</v>
      </c>
      <c r="L8" s="337" t="s">
        <v>258</v>
      </c>
      <c r="M8" s="338"/>
      <c r="N8" s="24">
        <f>VLOOKUP("Dealer Marketing Allowance",'[7]PAGE 2'!$B:$O,4,FALSE)+VLOOKUP("Honda Transfer Balance",'[7]PAGE 2'!$B:$O,4,FALSE)+VLOOKUP("FINANCE AND INSURANCE"&amp;"*",'[7]PAGE 2'!$B:$O,4,FALSE)</f>
        <v>200604</v>
      </c>
      <c r="O8" s="25">
        <f>VLOOKUP("Dealer Marketing Allowance",'[7]PAGE 2'!$B:$O,5,FALSE)+VLOOKUP("Honda Transfer Balance",'[7]PAGE 2'!$B:$O,5,FALSE)+VLOOKUP("FINANCE AND INSURANCE"&amp;"*",'[7]PAGE 2'!$B:$O,5,FALSE)</f>
        <v>2792753</v>
      </c>
      <c r="P8" s="337" t="s">
        <v>258</v>
      </c>
      <c r="Q8" s="338"/>
      <c r="R8" s="24">
        <f>VLOOKUP("Dealer Marketing Allowance",'[8]PAGE 2'!$B:$O,4,FALSE)+VLOOKUP("Honda Transfer Balance",'[8]PAGE 2'!$B:$O,4,FALSE)+VLOOKUP("FINANCE AND INSURANCE"&amp;"*",'[8]PAGE 2'!$B:$O,4,FALSE)</f>
        <v>203069</v>
      </c>
      <c r="S8" s="25">
        <f>VLOOKUP("Dealer Marketing Allowance",'[8]PAGE 2'!$B:$O,5,FALSE)+VLOOKUP("Honda Transfer Balance",'[8]PAGE 2'!$B:$O,5,FALSE)+VLOOKUP("FINANCE AND INSURANCE"&amp;"*",'[8]PAGE 2'!$B:$O,5,FALSE)</f>
        <v>2250281</v>
      </c>
      <c r="T8" s="333" t="s">
        <v>258</v>
      </c>
      <c r="U8" s="334"/>
      <c r="V8" s="24"/>
      <c r="W8" s="25"/>
      <c r="X8" s="333" t="s">
        <v>258</v>
      </c>
      <c r="Y8" s="334"/>
      <c r="Z8" s="24">
        <f>'[9]PAGE 2'!$E$74</f>
        <v>92484</v>
      </c>
      <c r="AA8" s="25">
        <f>'[9]PAGE 2'!$G$74</f>
        <v>708513</v>
      </c>
      <c r="AB8" s="337" t="s">
        <v>258</v>
      </c>
      <c r="AC8" s="338"/>
      <c r="AD8" s="24">
        <f>'[2]PAGE 2'!$L$25</f>
        <v>21233</v>
      </c>
      <c r="AE8" s="25">
        <f>'[2]PAGE 2'!$X$25</f>
        <v>78772</v>
      </c>
      <c r="AF8" s="333" t="s">
        <v>258</v>
      </c>
      <c r="AG8" s="334"/>
      <c r="AH8" s="24"/>
      <c r="AI8" s="25"/>
      <c r="AJ8" s="24"/>
      <c r="AK8" s="25"/>
      <c r="AL8" s="24"/>
      <c r="AM8" s="25"/>
      <c r="AN8" s="24">
        <f>'[11]PAGE 2'!$E$74</f>
        <v>0</v>
      </c>
      <c r="AO8" s="25">
        <f>'[11]PAGE 2'!$G$74</f>
        <v>0</v>
      </c>
      <c r="AP8" s="24">
        <f>'[12]PAGE 2'!$E$74</f>
        <v>0</v>
      </c>
      <c r="AQ8" s="25">
        <f>'[12]PAGE 2'!$G$74</f>
        <v>0</v>
      </c>
      <c r="AR8" s="24">
        <f t="shared" si="0"/>
        <v>1380325</v>
      </c>
      <c r="AS8" s="25">
        <f t="shared" si="1"/>
        <v>13442184</v>
      </c>
    </row>
    <row r="9" spans="1:45">
      <c r="A9" s="12" t="s">
        <v>1</v>
      </c>
      <c r="B9" s="20">
        <f>INDEX('[4]Page 2'!$B:$DP,MATCH("Total Gross Profit",'[4]Page 2'!$D:$D,0),13)+B8</f>
        <v>948172</v>
      </c>
      <c r="C9" s="21">
        <f>INDEX('[4]Page 2'!$B:$DP,MATCH("Total Gross Profit",'[4]Page 2'!$D:$D,0),24)+C8</f>
        <v>11062260</v>
      </c>
      <c r="D9" s="84">
        <f>B9/B6</f>
        <v>0.1184930172409807</v>
      </c>
      <c r="E9" s="84">
        <f>C9/C6</f>
        <v>0.12811529744431277</v>
      </c>
      <c r="F9" s="20">
        <f>INDEX('[5]Page 2'!$B:$DP,MATCH("Total Gross Profit",'[5]Page 2'!$D:$D,0),13)+F8</f>
        <v>683654</v>
      </c>
      <c r="G9" s="21">
        <f>INDEX('[5]Page 2'!$B:$DP,MATCH("Total Gross Profit",'[5]Page 2'!$D:$D,0),24)+G8</f>
        <v>8274837</v>
      </c>
      <c r="H9" s="84">
        <f>F9/F6</f>
        <v>9.4860535778162655E-2</v>
      </c>
      <c r="I9" s="84">
        <f>G9/G6</f>
        <v>0.11199912261339719</v>
      </c>
      <c r="J9" s="20">
        <f>INDEX('[6]Page 2'!$B:$DP,MATCH("Total Gross Profit",'[6]Page 2'!$D:$D,0),13)+J8</f>
        <v>946624</v>
      </c>
      <c r="K9" s="21">
        <f>INDEX('[6]Page 2'!$B:$DP,MATCH("Total Gross Profit",'[6]Page 2'!$D:$D,0),24)+K8</f>
        <v>10639601</v>
      </c>
      <c r="L9" s="84">
        <f>J9/J6</f>
        <v>9.6200315971306891E-2</v>
      </c>
      <c r="M9" s="84">
        <f>K9/K6</f>
        <v>0.11281755954103714</v>
      </c>
      <c r="N9" s="20">
        <f>VLOOKUP("Gross",'[7]PAGE 2'!$B:$O,4,FALSE)+N8</f>
        <v>606192</v>
      </c>
      <c r="O9" s="21">
        <f>VLOOKUP("Gross",'[7]PAGE 2'!$B:$O,5,FALSE)+O8</f>
        <v>6959353</v>
      </c>
      <c r="P9" s="84">
        <f>N9/N6</f>
        <v>0.13214763671258906</v>
      </c>
      <c r="Q9" s="84">
        <f>O9/O6</f>
        <v>0.12634689965264445</v>
      </c>
      <c r="R9" s="20">
        <f>VLOOKUP("Gross",'[8]PAGE 2'!$B:$O,4,FALSE)+R8</f>
        <v>448342</v>
      </c>
      <c r="S9" s="21">
        <f>VLOOKUP("Gross",'[8]PAGE 2'!$B:$O,5,FALSE)+S8</f>
        <v>5076817</v>
      </c>
      <c r="T9" s="85">
        <f>R9/R6</f>
        <v>0.11792047018585397</v>
      </c>
      <c r="U9" s="85">
        <f>S9/S6</f>
        <v>0.12597926852911781</v>
      </c>
      <c r="V9" s="20"/>
      <c r="W9" s="21"/>
      <c r="X9" s="85" t="e">
        <f>V9/V6</f>
        <v>#DIV/0!</v>
      </c>
      <c r="Y9" s="85" t="e">
        <f>W9/W6</f>
        <v>#DIV/0!</v>
      </c>
      <c r="Z9" s="20">
        <f>VLOOKUP("Total Gross Profit",'[9]PAGE 2'!$B:$S,4,FALSE)+Z8</f>
        <v>927929</v>
      </c>
      <c r="AA9" s="21">
        <f>VLOOKUP("Total Gross Profit",'[9]PAGE 2'!$B:$S,7,FALSE)+AA8</f>
        <v>9792887</v>
      </c>
      <c r="AB9" s="84">
        <f>Z9/Z6</f>
        <v>8.466936546586952E-2</v>
      </c>
      <c r="AC9" s="84">
        <f>AA9/AA6</f>
        <v>9.9617925802068852E-2</v>
      </c>
      <c r="AD9" s="20">
        <f>'[2]PAGE 2'!$L$7+AD8</f>
        <v>634474</v>
      </c>
      <c r="AE9" s="21">
        <f>'[2]PAGE 2'!$V$7+AE8</f>
        <v>7446105</v>
      </c>
      <c r="AF9" s="86">
        <f>AD9/AD6</f>
        <v>0.1071594209066886</v>
      </c>
      <c r="AG9" s="87">
        <f>AE9/AE6</f>
        <v>0.11223031023013687</v>
      </c>
      <c r="AH9" s="20">
        <f>[3]P2!$J$13+AH8</f>
        <v>595947</v>
      </c>
      <c r="AI9" s="21">
        <f>[3]P2!$R$13+AI8</f>
        <v>6737426</v>
      </c>
      <c r="AJ9" s="20">
        <f>[13]P2!$J$13</f>
        <v>119062</v>
      </c>
      <c r="AK9" s="21">
        <f>[13]P2!$R$13</f>
        <v>1829634</v>
      </c>
      <c r="AL9" s="20">
        <f>SUM('[10]PAGE 2'!$H$5:$I$5)</f>
        <v>209259</v>
      </c>
      <c r="AM9" s="21">
        <f>SUM('[10]PAGE 2'!$L$5:$M$5)</f>
        <v>1539282</v>
      </c>
      <c r="AN9" s="20">
        <f>VLOOKUP("Total Gross Profit",'[11]PAGE 2'!$B:$S,4,FALSE)+AN8</f>
        <v>176366</v>
      </c>
      <c r="AO9" s="21">
        <f>VLOOKUP("Total Gross Profit",'[11]PAGE 2'!$B:$S,7,FALSE)+AO8</f>
        <v>1120300</v>
      </c>
      <c r="AP9" s="20">
        <f>VLOOKUP("Total Gross Profit",'[12]PAGE 2'!$B:$S,4,FALSE)+AP8</f>
        <v>339580</v>
      </c>
      <c r="AQ9" s="21">
        <f>VLOOKUP("Total Gross Profit",'[12]PAGE 2'!$B:$S,7,FALSE)+AQ8</f>
        <v>1487199</v>
      </c>
      <c r="AR9" s="20">
        <f t="shared" si="0"/>
        <v>6635601</v>
      </c>
      <c r="AS9" s="21">
        <f t="shared" si="1"/>
        <v>71965701</v>
      </c>
    </row>
    <row r="10" spans="1:45">
      <c r="B10" s="18"/>
      <c r="C10" s="19"/>
      <c r="D10" s="339" t="s">
        <v>257</v>
      </c>
      <c r="E10" s="340"/>
      <c r="F10" s="18"/>
      <c r="G10" s="19"/>
      <c r="H10" s="339" t="s">
        <v>257</v>
      </c>
      <c r="I10" s="340"/>
      <c r="J10" s="18"/>
      <c r="K10" s="19"/>
      <c r="L10" s="339" t="s">
        <v>257</v>
      </c>
      <c r="M10" s="340"/>
      <c r="N10" s="18"/>
      <c r="O10" s="19"/>
      <c r="P10" s="339" t="s">
        <v>257</v>
      </c>
      <c r="Q10" s="340"/>
      <c r="R10" s="18"/>
      <c r="S10" s="19"/>
      <c r="T10" s="335" t="s">
        <v>257</v>
      </c>
      <c r="U10" s="336"/>
      <c r="V10" s="18"/>
      <c r="W10" s="19"/>
      <c r="X10" s="335" t="s">
        <v>257</v>
      </c>
      <c r="Y10" s="336"/>
      <c r="Z10" s="18"/>
      <c r="AA10" s="19"/>
      <c r="AB10" s="339" t="s">
        <v>257</v>
      </c>
      <c r="AC10" s="340"/>
      <c r="AD10" s="18"/>
      <c r="AE10" s="19"/>
      <c r="AF10" s="335" t="s">
        <v>257</v>
      </c>
      <c r="AG10" s="336"/>
      <c r="AH10" s="18"/>
      <c r="AI10" s="19"/>
      <c r="AJ10" s="18"/>
      <c r="AK10" s="19"/>
      <c r="AL10" s="18"/>
      <c r="AM10" s="19"/>
      <c r="AN10" s="18"/>
      <c r="AO10" s="19"/>
      <c r="AP10" s="18"/>
      <c r="AQ10" s="19"/>
      <c r="AR10" s="18">
        <f t="shared" si="0"/>
        <v>0</v>
      </c>
      <c r="AS10" s="19">
        <f t="shared" si="1"/>
        <v>0</v>
      </c>
    </row>
    <row r="11" spans="1:45">
      <c r="A11" s="88" t="s">
        <v>4</v>
      </c>
      <c r="B11" s="47">
        <f>INDEX('[4]Page 2'!$B:$DP,MATCH("0100",'[4]Page 2'!$M:$M,0),13)</f>
        <v>135934</v>
      </c>
      <c r="C11" s="13">
        <f>INDEX('[4]Page 2'!$B:$DP,MATCH("0100",'[4]Page 2'!$M:$M,0),24)</f>
        <v>1633332</v>
      </c>
      <c r="D11" s="89">
        <f>B11/$B$9</f>
        <v>0.14336428411722768</v>
      </c>
      <c r="E11" s="89">
        <f>C11/$C$9</f>
        <v>0.14764903374174898</v>
      </c>
      <c r="F11" s="47">
        <f>INDEX('[5]Page 2'!$B:$DP,MATCH("0100",'[5]Page 2'!$M:$M,0),13)</f>
        <v>112021</v>
      </c>
      <c r="G11" s="13">
        <f>INDEX('[5]Page 2'!$B:$DP,MATCH("0100",'[5]Page 2'!$M:$M,0),24)</f>
        <v>1279884</v>
      </c>
      <c r="H11" s="89">
        <f>F11/$B$9</f>
        <v>0.11814417637306311</v>
      </c>
      <c r="I11" s="89">
        <f>G11/$C$9</f>
        <v>0.11569823887704682</v>
      </c>
      <c r="J11" s="47">
        <f>INDEX('[6]Page 2'!$B:$DP,MATCH("0100",'[6]Page 2'!$M:$M,0),13)</f>
        <v>189504</v>
      </c>
      <c r="K11" s="13">
        <f>INDEX('[6]Page 2'!$B:$DP,MATCH("0100",'[6]Page 2'!$M:$M,0),24)</f>
        <v>1810531</v>
      </c>
      <c r="L11" s="89">
        <f t="shared" ref="L11:L23" si="2">J11/$J$9</f>
        <v>0.20018930430667298</v>
      </c>
      <c r="M11" s="89">
        <f t="shared" ref="M11:M23" si="3">K11/$K$9</f>
        <v>0.17016906931002393</v>
      </c>
      <c r="N11" s="47">
        <f>IFERROR(VLOOKUP("Salespeople Compensation",'[7]PAGE 2'!$B:$W,4,FALSE),0)</f>
        <v>61822</v>
      </c>
      <c r="O11" s="13">
        <f>IFERROR(VLOOKUP("Salespeople Compensation",'[7]PAGE 2'!$B:$W,5,FALSE),0)</f>
        <v>639532</v>
      </c>
      <c r="P11" s="89">
        <f t="shared" ref="P11:P23" si="4">N11/$N$9</f>
        <v>0.10198418982764537</v>
      </c>
      <c r="Q11" s="89">
        <f t="shared" ref="Q11:Q22" si="5">O11/$O$9</f>
        <v>9.1895324177405577E-2</v>
      </c>
      <c r="R11" s="47">
        <f>IFERROR(VLOOKUP("Salespeople Compensation",'[8]PAGE 2'!$B:$W,4,FALSE),0)</f>
        <v>51430</v>
      </c>
      <c r="S11" s="13">
        <f>IFERROR(VLOOKUP("Salespeople Compensation",'[8]PAGE 2'!$B:$W,5,FALSE),0)</f>
        <v>514359</v>
      </c>
      <c r="T11" s="90">
        <f t="shared" ref="T11:T23" si="6">R11/$R$9</f>
        <v>0.11471153717474607</v>
      </c>
      <c r="U11" s="90">
        <f t="shared" ref="U11:U23" si="7">S11/$S$9</f>
        <v>0.10131525323839721</v>
      </c>
      <c r="V11" s="47"/>
      <c r="W11" s="13"/>
      <c r="X11" s="90" t="e">
        <f t="shared" ref="X11:X23" si="8">V11/$V$9</f>
        <v>#DIV/0!</v>
      </c>
      <c r="Y11" s="90" t="e">
        <f t="shared" ref="Y11:Y23" si="9">W11/$W$9</f>
        <v>#DIV/0!</v>
      </c>
      <c r="Z11" s="47">
        <f>IFERROR(VLOOKUP("Sales Compensation",'[9]PAGE 2'!$B:$S,4,FALSE),0)+VLOOKUP("Sales Compensation - Scion only",'[9]PAGE 2'!$B:$S,4,FALSE)</f>
        <v>148111</v>
      </c>
      <c r="AA11" s="13">
        <f>IFERROR(VLOOKUP("Sales Compensation",'[9]PAGE 2'!$B:$S,7,FALSE),0)+VLOOKUP("Sales Compensation - Scion only",'[9]PAGE 2'!$B:$S,7,FALSE)</f>
        <v>1477585</v>
      </c>
      <c r="AB11" s="89">
        <f t="shared" ref="AB11:AB23" si="10">Z11/$Z$9</f>
        <v>0.15961458258121042</v>
      </c>
      <c r="AC11" s="89">
        <f t="shared" ref="AC11:AC23" si="11">AA11/$AA$9</f>
        <v>0.15088349329467399</v>
      </c>
      <c r="AD11" s="47">
        <f>'New Vehicle'!P23+'Used Vehicle'!P30+Service!P33+'Parts &amp; Accessories'!P36</f>
        <v>73382</v>
      </c>
      <c r="AE11" s="13">
        <f>'New Vehicle'!Q23+'Used Vehicle'!Q30+Service!Q33+'Parts &amp; Accessories'!Q36</f>
        <v>874328</v>
      </c>
      <c r="AF11" s="91">
        <f t="shared" ref="AF11:AF23" si="12">AD11/$AD$9</f>
        <v>0.11565800962687202</v>
      </c>
      <c r="AG11" s="92">
        <f t="shared" ref="AG11:AG23" si="13">AE11/$AE$9</f>
        <v>0.11742085291571902</v>
      </c>
      <c r="AH11" s="47">
        <f>'New Vehicle'!R23+'Used Vehicle'!R30+Service!R33+'Parts &amp; Accessories'!R36</f>
        <v>70766</v>
      </c>
      <c r="AI11" s="13">
        <f>'New Vehicle'!S23+'Used Vehicle'!S30+Service!S33+'Parts &amp; Accessories'!S36</f>
        <v>946973</v>
      </c>
      <c r="AJ11" s="47">
        <f>IFERROR('Used Vehicle'!T30+Service!T33+'Parts &amp; Accessories'!T36,0)</f>
        <v>35042</v>
      </c>
      <c r="AK11" s="13">
        <f>IFERROR('Used Vehicle'!U30+Service!U33+'Parts &amp; Accessories'!U36,0)</f>
        <v>526154</v>
      </c>
      <c r="AL11" s="47">
        <f>INDEX('[10]PAGE 2'!$1:$1048576,MATCH("Salespeople: Compensation and Incentive",'[10]PAGE 2'!$B:$B,0),8)</f>
        <v>41312</v>
      </c>
      <c r="AM11" s="13">
        <f>INDEX('[10]PAGE 2'!$1:$1048576,MATCH("Salespeople: Compensation and Incentive",'[10]PAGE 2'!$B:$B,0),12)</f>
        <v>234748</v>
      </c>
      <c r="AN11" s="47">
        <f>IFERROR(VLOOKUP("Sales Compensation",'[11]PAGE 2'!$B:$S,4,FALSE),0)+VLOOKUP("Sales Compensation - Scion only",'[11]PAGE 2'!$B:$S,4,FALSE)</f>
        <v>21275</v>
      </c>
      <c r="AO11" s="13">
        <f>IFERROR(VLOOKUP("Sales Compensation",'[11]PAGE 2'!$B:$S,7,FALSE),0)+VLOOKUP("Sales Compensation - Scion only",'[11]PAGE 2'!$B:$S,7,FALSE)</f>
        <v>133771</v>
      </c>
      <c r="AP11" s="47">
        <f>IFERROR(VLOOKUP("Sales Compensation",'[12]PAGE 2'!$B:$S,4,FALSE),0)+VLOOKUP("Sales Compensation - Scion only",'[12]PAGE 2'!$B:$S,4,FALSE)</f>
        <v>21320</v>
      </c>
      <c r="AQ11" s="13">
        <f>IFERROR(VLOOKUP("Sales Compensation",'[12]PAGE 2'!$B:$S,7,FALSE),0)+VLOOKUP("Sales Compensation - Scion only",'[12]PAGE 2'!$B:$S,7,FALSE)</f>
        <v>218787</v>
      </c>
      <c r="AR11" s="47">
        <f t="shared" si="0"/>
        <v>961919</v>
      </c>
      <c r="AS11" s="13">
        <f t="shared" si="1"/>
        <v>10289984</v>
      </c>
    </row>
    <row r="12" spans="1:45">
      <c r="A12" s="88" t="s">
        <v>5</v>
      </c>
      <c r="B12" s="47">
        <f>INDEX('[4]Page 2'!$B:$DP,MATCH("0280",'[4]Page 2'!$M:$M,0),13)</f>
        <v>0</v>
      </c>
      <c r="C12" s="13">
        <f>INDEX('[4]Page 2'!$B:$DP,MATCH("0280",'[4]Page 2'!$M:$M,0),24)</f>
        <v>0</v>
      </c>
      <c r="D12" s="89">
        <f t="shared" ref="D12:D22" si="14">B12/$B$9</f>
        <v>0</v>
      </c>
      <c r="E12" s="89">
        <f t="shared" ref="E12:E22" si="15">C12/$C$9</f>
        <v>0</v>
      </c>
      <c r="F12" s="47">
        <f>INDEX('[5]Page 2'!$B:$DP,MATCH("0280",'[5]Page 2'!$M:$M,0),13)</f>
        <v>0</v>
      </c>
      <c r="G12" s="13">
        <f>INDEX('[5]Page 2'!$B:$DP,MATCH("0280",'[5]Page 2'!$M:$M,0),24)</f>
        <v>0</v>
      </c>
      <c r="H12" s="89">
        <f t="shared" ref="H12:H22" si="16">F12/$B$9</f>
        <v>0</v>
      </c>
      <c r="I12" s="89">
        <f t="shared" ref="I12:I22" si="17">G12/$C$9</f>
        <v>0</v>
      </c>
      <c r="J12" s="47">
        <f>INDEX('[6]Page 2'!$B:$DP,MATCH("0280",'[6]Page 2'!$M:$M,0),13)</f>
        <v>0</v>
      </c>
      <c r="K12" s="13">
        <f>INDEX('[6]Page 2'!$B:$DP,MATCH("0280",'[6]Page 2'!$M:$M,0),24)</f>
        <v>0</v>
      </c>
      <c r="L12" s="89">
        <f t="shared" si="2"/>
        <v>0</v>
      </c>
      <c r="M12" s="89">
        <f t="shared" si="3"/>
        <v>0</v>
      </c>
      <c r="N12" s="47">
        <f>IFERROR(VLOOKUP(0,'[7]PAGE 2'!$B:$W,4,FALSE),0)</f>
        <v>0</v>
      </c>
      <c r="O12" s="13">
        <f>IFERROR(VLOOKUP(0,'[7]PAGE 2'!$B:$W,5,FALSE),0)</f>
        <v>0</v>
      </c>
      <c r="P12" s="89">
        <f t="shared" si="4"/>
        <v>0</v>
      </c>
      <c r="Q12" s="89">
        <f t="shared" si="5"/>
        <v>0</v>
      </c>
      <c r="R12" s="47">
        <f>IFERROR(VLOOKUP(0,'[8]PAGE 2'!$B:$W,4,FALSE),0)</f>
        <v>0</v>
      </c>
      <c r="S12" s="13">
        <f>IFERROR(VLOOKUP(0,'[8]PAGE 2'!$B:$W,5,FALSE),0)</f>
        <v>0</v>
      </c>
      <c r="T12" s="90">
        <f t="shared" si="6"/>
        <v>0</v>
      </c>
      <c r="U12" s="90">
        <f t="shared" si="7"/>
        <v>0</v>
      </c>
      <c r="V12" s="47"/>
      <c r="W12" s="13"/>
      <c r="X12" s="90" t="e">
        <f t="shared" si="8"/>
        <v>#DIV/0!</v>
      </c>
      <c r="Y12" s="90" t="e">
        <f t="shared" si="9"/>
        <v>#DIV/0!</v>
      </c>
      <c r="Z12" s="47">
        <f>IFERROR(VLOOKUP(0,'[9]PAGE 2'!$B:$S,4,FALSE),0)</f>
        <v>0</v>
      </c>
      <c r="AA12" s="13">
        <f>IFERROR(VLOOKUP(0,'[9]PAGE 2'!$B:$S,7,FALSE),0)</f>
        <v>0</v>
      </c>
      <c r="AB12" s="89">
        <f t="shared" si="10"/>
        <v>0</v>
      </c>
      <c r="AC12" s="89">
        <f t="shared" si="11"/>
        <v>0</v>
      </c>
      <c r="AD12" s="47">
        <f>'New Vehicle'!P24+'Used Vehicle'!P31+Service!P34+'Parts &amp; Accessories'!P37</f>
        <v>0</v>
      </c>
      <c r="AE12" s="13">
        <f>'New Vehicle'!Q24+'Used Vehicle'!Q31+Service!Q34+'Parts &amp; Accessories'!Q37</f>
        <v>0</v>
      </c>
      <c r="AF12" s="91">
        <f t="shared" si="12"/>
        <v>0</v>
      </c>
      <c r="AG12" s="92">
        <f t="shared" si="13"/>
        <v>0</v>
      </c>
      <c r="AH12" s="47">
        <f>IFERROR('New Vehicle'!R24+'Used Vehicle'!R31+Service!R34+'Parts &amp; Accessories'!R37,0)</f>
        <v>0</v>
      </c>
      <c r="AI12" s="13">
        <f>IFERROR('New Vehicle'!S24+'Used Vehicle'!S31+Service!S34+'Parts &amp; Accessories'!S37,0)</f>
        <v>0</v>
      </c>
      <c r="AJ12" s="47">
        <f>IFERROR('Used Vehicle'!T31+Service!T34+'Parts &amp; Accessories'!T37,0)</f>
        <v>0</v>
      </c>
      <c r="AK12" s="13">
        <f>IFERROR('Used Vehicle'!U31+Service!U34+'Parts &amp; Accessories'!U37,0)</f>
        <v>0</v>
      </c>
      <c r="AL12" s="47"/>
      <c r="AM12" s="13"/>
      <c r="AN12" s="47">
        <f>IFERROR(VLOOKUP(0,'[11]PAGE 2'!$B:$S,4,FALSE),0)</f>
        <v>0</v>
      </c>
      <c r="AO12" s="13">
        <f>IFERROR(VLOOKUP(0,'[11]PAGE 2'!$B:$S,7,FALSE),0)</f>
        <v>0</v>
      </c>
      <c r="AP12" s="47">
        <f>IFERROR(VLOOKUP(0,'[12]PAGE 2'!$B:$S,4,FALSE),0)</f>
        <v>0</v>
      </c>
      <c r="AQ12" s="13">
        <f>IFERROR(VLOOKUP(0,'[12]PAGE 2'!$B:$S,7,FALSE),0)</f>
        <v>0</v>
      </c>
      <c r="AR12" s="47">
        <f t="shared" si="0"/>
        <v>0</v>
      </c>
      <c r="AS12" s="13">
        <f t="shared" si="1"/>
        <v>0</v>
      </c>
    </row>
    <row r="13" spans="1:45">
      <c r="A13" s="88" t="s">
        <v>6</v>
      </c>
      <c r="B13" s="47">
        <f>INDEX('[4]Page 2'!$B:$DP,MATCH("0090",'[4]Page 2'!$M:$M,0),13)</f>
        <v>67892</v>
      </c>
      <c r="C13" s="13">
        <f>INDEX('[4]Page 2'!$B:$DP,MATCH("0090",'[4]Page 2'!$M:$M,0),24)</f>
        <v>813092</v>
      </c>
      <c r="D13" s="89">
        <f t="shared" si="14"/>
        <v>7.1603042485962456E-2</v>
      </c>
      <c r="E13" s="89">
        <f t="shared" si="15"/>
        <v>7.3501436415343693E-2</v>
      </c>
      <c r="F13" s="47">
        <f>INDEX('[5]Page 2'!$B:$DP,MATCH("0090",'[5]Page 2'!$M:$M,0),13)</f>
        <v>50404</v>
      </c>
      <c r="G13" s="13">
        <f>INDEX('[5]Page 2'!$B:$DP,MATCH("0090",'[5]Page 2'!$M:$M,0),24)</f>
        <v>479298</v>
      </c>
      <c r="H13" s="89">
        <f t="shared" si="16"/>
        <v>5.3159131465599072E-2</v>
      </c>
      <c r="I13" s="89">
        <f t="shared" si="17"/>
        <v>4.3327312863736707E-2</v>
      </c>
      <c r="J13" s="47">
        <f>INDEX('[6]Page 2'!$B:$DP,MATCH("0090",'[6]Page 2'!$M:$M,0),13)</f>
        <v>80486</v>
      </c>
      <c r="K13" s="13">
        <f>INDEX('[6]Page 2'!$B:$DP,MATCH("0090",'[6]Page 2'!$M:$M,0),24)</f>
        <v>706971</v>
      </c>
      <c r="L13" s="89">
        <f t="shared" si="2"/>
        <v>8.5024254614292472E-2</v>
      </c>
      <c r="M13" s="89">
        <f t="shared" si="3"/>
        <v>6.644713462469129E-2</v>
      </c>
      <c r="N13" s="47">
        <f>IFERROR(VLOOKUP("Compensation F &amp; I / Service Contracts",'[7]PAGE 2'!$B:$W,4,FALSE),0)</f>
        <v>29468</v>
      </c>
      <c r="O13" s="13">
        <f>IFERROR(VLOOKUP("Compensation F &amp; I / Service Contracts",'[7]PAGE 2'!$B:$W,5,FALSE),0)</f>
        <v>335832</v>
      </c>
      <c r="P13" s="89">
        <f t="shared" si="4"/>
        <v>4.8611660991896954E-2</v>
      </c>
      <c r="Q13" s="89">
        <f t="shared" si="5"/>
        <v>4.8256210024121497E-2</v>
      </c>
      <c r="R13" s="47">
        <f>IFERROR(VLOOKUP("Compensation F &amp; I / Service Contracts",'[8]PAGE 2'!$B:$W,4,FALSE),0)</f>
        <v>19732</v>
      </c>
      <c r="S13" s="13">
        <f>IFERROR(VLOOKUP("Compensation F &amp; I / Service Contracts",'[8]PAGE 2'!$B:$W,5,FALSE),0)</f>
        <v>245306</v>
      </c>
      <c r="T13" s="90">
        <f t="shared" si="6"/>
        <v>4.4011045139647861E-2</v>
      </c>
      <c r="U13" s="90">
        <f t="shared" si="7"/>
        <v>4.8318858056140293E-2</v>
      </c>
      <c r="V13" s="47"/>
      <c r="W13" s="13"/>
      <c r="X13" s="90" t="e">
        <f t="shared" si="8"/>
        <v>#DIV/0!</v>
      </c>
      <c r="Y13" s="90" t="e">
        <f t="shared" si="9"/>
        <v>#DIV/0!</v>
      </c>
      <c r="Z13" s="47">
        <f>IFERROR(VLOOKUP("Finance, Ins., &amp; Svc. Ctr. Commissions",'[9]PAGE 2'!$B:$S,4,FALSE)+VLOOKUP("Finc, Ins., &amp; Svc.Ctr.Com. - Scion only",'[9]PAGE 2'!$B:$S,4,FALSE),0)</f>
        <v>53780</v>
      </c>
      <c r="AA13" s="13">
        <f>IFERROR(VLOOKUP("Finance, Ins., &amp; Svc. Ctr. Commissions",'[9]PAGE 2'!$B:$S,7,FALSE)+VLOOKUP("Finc, Ins., &amp; Svc.Ctr.Com. - Scion only",'[9]PAGE 2'!$B:$S,7,FALSE),0)</f>
        <v>520952</v>
      </c>
      <c r="AB13" s="89">
        <f t="shared" si="10"/>
        <v>5.7957020418588058E-2</v>
      </c>
      <c r="AC13" s="89">
        <f t="shared" si="11"/>
        <v>5.3196978582516062E-2</v>
      </c>
      <c r="AD13" s="47">
        <f>'New Vehicle'!P25+'Used Vehicle'!P32+Service!P35+'Parts &amp; Accessories'!P38</f>
        <v>12850</v>
      </c>
      <c r="AE13" s="13">
        <f>'New Vehicle'!Q25+'Used Vehicle'!Q32+Service!Q35+'Parts &amp; Accessories'!Q38</f>
        <v>278990</v>
      </c>
      <c r="AF13" s="91">
        <f t="shared" si="12"/>
        <v>2.0252996970719053E-2</v>
      </c>
      <c r="AG13" s="92">
        <f t="shared" si="13"/>
        <v>3.7467911075656335E-2</v>
      </c>
      <c r="AH13" s="47">
        <f>'New Vehicle'!R25+'Used Vehicle'!R32+Service!R35+'Parts &amp; Accessories'!R38</f>
        <v>27432</v>
      </c>
      <c r="AI13" s="13">
        <f>'New Vehicle'!S25+'Used Vehicle'!S32+Service!S35+'Parts &amp; Accessories'!S38</f>
        <v>298938</v>
      </c>
      <c r="AJ13" s="47">
        <f>IFERROR('Used Vehicle'!T32+Service!T35+'Parts &amp; Accessories'!T38,0)</f>
        <v>8640</v>
      </c>
      <c r="AK13" s="13">
        <f>IFERROR('Used Vehicle'!U32+Service!U35+'Parts &amp; Accessories'!U38,0)</f>
        <v>89868</v>
      </c>
      <c r="AL13" s="47">
        <f>+INDEX('[10]PAGE 2'!$1:$1048576,MATCH("F &amp;I MAnagers: Compensation and Incentive",'[10]PAGE 2'!$B:$B,0),8)</f>
        <v>13828</v>
      </c>
      <c r="AM13" s="13">
        <f>+INDEX('[10]PAGE 2'!$1:$1048576,MATCH("F &amp;I MAnagers: Compensation and Incentive",'[10]PAGE 2'!$B:$B,0),12)</f>
        <v>61801</v>
      </c>
      <c r="AN13" s="47">
        <f>IFERROR(VLOOKUP("Finance, Ins., &amp; Svc. Ctr. Commissions",'[11]PAGE 2'!$B:$S,4,FALSE)+VLOOKUP("Finc, Ins., &amp; Svc.Ctr.Com. - Scion only",'[11]PAGE 2'!$B:$S,4,FALSE),0)</f>
        <v>20000</v>
      </c>
      <c r="AO13" s="13">
        <f>IFERROR(VLOOKUP("Finance, Ins., &amp; Svc. Ctr. Commissions",'[11]PAGE 2'!$B:$S,7,FALSE)+VLOOKUP("Finc, Ins., &amp; Svc.Ctr.Com. - Scion only",'[11]PAGE 2'!$B:$S,7,FALSE),0)</f>
        <v>149208</v>
      </c>
      <c r="AP13" s="47">
        <f>IFERROR(VLOOKUP("Finance, Ins., &amp; Svc. Ctr. Commissions",'[12]PAGE 2'!$B:$S,4,FALSE)+VLOOKUP("Finc, Ins., &amp; Svc.Ctr.Com. - Scion only",'[12]PAGE 2'!$B:$S,4,FALSE),0)</f>
        <v>19528</v>
      </c>
      <c r="AQ13" s="13">
        <f>IFERROR(VLOOKUP("Finance, Ins., &amp; Svc. Ctr. Commissions",'[12]PAGE 2'!$B:$S,7,FALSE)+VLOOKUP("Finc, Ins., &amp; Svc.Ctr.Com. - Scion only",'[12]PAGE 2'!$B:$S,7,FALSE),0)</f>
        <v>89422</v>
      </c>
      <c r="AR13" s="47">
        <f t="shared" si="0"/>
        <v>404040</v>
      </c>
      <c r="AS13" s="13">
        <f t="shared" si="1"/>
        <v>4069678</v>
      </c>
    </row>
    <row r="14" spans="1:45">
      <c r="A14" s="88" t="s">
        <v>7</v>
      </c>
      <c r="B14" s="47">
        <f>INDEX('[4]Page 2'!$B:$DP,MATCH("0110",'[4]Page 2'!$M:$M,0),13)</f>
        <v>-7298</v>
      </c>
      <c r="C14" s="13">
        <f>INDEX('[4]Page 2'!$B:$DP,MATCH("0110",'[4]Page 2'!$M:$M,0),24)</f>
        <v>-14995</v>
      </c>
      <c r="D14" s="89">
        <f t="shared" si="14"/>
        <v>-7.6969157494631776E-3</v>
      </c>
      <c r="E14" s="89">
        <f t="shared" si="15"/>
        <v>-1.3555096336553289E-3</v>
      </c>
      <c r="F14" s="47">
        <f>INDEX('[5]Page 2'!$B:$DP,MATCH("0110",'[5]Page 2'!$M:$M,0),13)</f>
        <v>444</v>
      </c>
      <c r="G14" s="13">
        <f>INDEX('[5]Page 2'!$B:$DP,MATCH("0110",'[5]Page 2'!$M:$M,0),24)</f>
        <v>36141</v>
      </c>
      <c r="H14" s="89">
        <f t="shared" si="16"/>
        <v>4.6826947009614289E-4</v>
      </c>
      <c r="I14" s="89">
        <f t="shared" si="17"/>
        <v>3.267053929305585E-3</v>
      </c>
      <c r="J14" s="47">
        <f>INDEX('[6]Page 2'!$B:$DP,MATCH("0110",'[6]Page 2'!$M:$M,0),13)</f>
        <v>-602</v>
      </c>
      <c r="K14" s="13">
        <f>INDEX('[6]Page 2'!$B:$DP,MATCH("0110",'[6]Page 2'!$M:$M,0),24)</f>
        <v>3950</v>
      </c>
      <c r="L14" s="89">
        <f t="shared" si="2"/>
        <v>-6.3594415522953143E-4</v>
      </c>
      <c r="M14" s="89">
        <f t="shared" si="3"/>
        <v>3.7125452354839247E-4</v>
      </c>
      <c r="N14" s="47">
        <f>IFERROR(VLOOKUP("Delivery Expense",'[7]PAGE 2'!$B:$W,4,FALSE),0)</f>
        <v>-608</v>
      </c>
      <c r="O14" s="13">
        <f>IFERROR(VLOOKUP("Delivery Expense",'[7]PAGE 2'!$B:$W,5,FALSE),0)</f>
        <v>-78392</v>
      </c>
      <c r="P14" s="89">
        <f t="shared" si="4"/>
        <v>-1.0029825533824266E-3</v>
      </c>
      <c r="Q14" s="89">
        <f t="shared" si="5"/>
        <v>-1.1264265514337323E-2</v>
      </c>
      <c r="R14" s="47">
        <f>IFERROR(VLOOKUP("Delivery Expense",'[8]PAGE 2'!$B:$W,4,FALSE),0)</f>
        <v>-5489</v>
      </c>
      <c r="S14" s="13">
        <f>IFERROR(VLOOKUP("Delivery Expense",'[8]PAGE 2'!$B:$W,5,FALSE),0)</f>
        <v>-82899</v>
      </c>
      <c r="T14" s="90">
        <f t="shared" si="6"/>
        <v>-1.2242886011125435E-2</v>
      </c>
      <c r="U14" s="90">
        <f t="shared" si="7"/>
        <v>-1.6328932084808259E-2</v>
      </c>
      <c r="V14" s="47"/>
      <c r="W14" s="13"/>
      <c r="X14" s="90" t="e">
        <f t="shared" si="8"/>
        <v>#DIV/0!</v>
      </c>
      <c r="Y14" s="90" t="e">
        <f t="shared" si="9"/>
        <v>#DIV/0!</v>
      </c>
      <c r="Z14" s="47">
        <f>IFERROR(VLOOKUP("Delivery Expenses",'[9]PAGE 2'!$B:$S,4,FALSE),0)</f>
        <v>-2285</v>
      </c>
      <c r="AA14" s="13">
        <f>IFERROR(VLOOKUP("Delivery Expenses",'[9]PAGE 2'!$B:$S,7,FALSE),0)</f>
        <v>-15211</v>
      </c>
      <c r="AB14" s="89">
        <f t="shared" si="10"/>
        <v>-2.4624728831623972E-3</v>
      </c>
      <c r="AC14" s="89">
        <f t="shared" si="11"/>
        <v>-1.5532702460469522E-3</v>
      </c>
      <c r="AD14" s="47">
        <f>'New Vehicle'!P26+'Used Vehicle'!P33+Service!P36+'Parts &amp; Accessories'!P39</f>
        <v>188</v>
      </c>
      <c r="AE14" s="13">
        <f>'New Vehicle'!Q26+'Used Vehicle'!Q33+Service!Q36+'Parts &amp; Accessories'!Q39</f>
        <v>3520</v>
      </c>
      <c r="AF14" s="91">
        <f t="shared" si="12"/>
        <v>2.9630843817083128E-4</v>
      </c>
      <c r="AG14" s="92">
        <f t="shared" si="13"/>
        <v>4.7273037379945621E-4</v>
      </c>
      <c r="AH14" s="47">
        <f>'New Vehicle'!R26+'Used Vehicle'!R33+Service!R36+'Parts &amp; Accessories'!R39</f>
        <v>3772</v>
      </c>
      <c r="AI14" s="13">
        <f>'New Vehicle'!S26+'Used Vehicle'!S33+Service!S36+'Parts &amp; Accessories'!S39</f>
        <v>37000</v>
      </c>
      <c r="AJ14" s="47">
        <f>IFERROR('Used Vehicle'!T33+Service!T36+'Parts &amp; Accessories'!T39,0)</f>
        <v>0</v>
      </c>
      <c r="AK14" s="13">
        <f>IFERROR('Used Vehicle'!U33+Service!U36+'Parts &amp; Accessories'!U39,0)</f>
        <v>0</v>
      </c>
      <c r="AL14" s="47">
        <f>+INDEX('[10]PAGE 2'!$1:$1048576,MATCH("Delivery Expense",'[10]PAGE 2'!$B:$B,0),8)</f>
        <v>2855</v>
      </c>
      <c r="AM14" s="13">
        <f>+INDEX('[10]PAGE 2'!$1:$1048576,MATCH("Delivery Expense",'[10]PAGE 2'!$B:$B,0),12)</f>
        <v>37445</v>
      </c>
      <c r="AN14" s="47">
        <f>IFERROR(VLOOKUP("Delivery Expenses",'[11]PAGE 2'!$B:$S,4,FALSE),0)</f>
        <v>1383</v>
      </c>
      <c r="AO14" s="13">
        <f>IFERROR(VLOOKUP("Delivery Expenses",'[11]PAGE 2'!$B:$S,7,FALSE),0)</f>
        <v>8315</v>
      </c>
      <c r="AP14" s="47">
        <f>IFERROR(VLOOKUP("Delivery Expenses",'[12]PAGE 2'!$B:$S,4,FALSE),0)</f>
        <v>-1792</v>
      </c>
      <c r="AQ14" s="13">
        <f>IFERROR(VLOOKUP("Delivery Expenses",'[12]PAGE 2'!$B:$S,7,FALSE),0)</f>
        <v>-6250</v>
      </c>
      <c r="AR14" s="47">
        <f t="shared" si="0"/>
        <v>-9432</v>
      </c>
      <c r="AS14" s="13">
        <f t="shared" si="1"/>
        <v>-71376</v>
      </c>
    </row>
    <row r="15" spans="1:45">
      <c r="A15" s="88" t="s">
        <v>8</v>
      </c>
      <c r="B15" s="47">
        <f>INDEX('[4]Page 2'!$B:$DP,MATCH("0130",'[4]Page 2'!$M:$M,0),13)</f>
        <v>4098</v>
      </c>
      <c r="C15" s="13">
        <f>INDEX('[4]Page 2'!$B:$DP,MATCH("0130",'[4]Page 2'!$M:$M,0),24)</f>
        <v>48274</v>
      </c>
      <c r="D15" s="89">
        <f t="shared" si="14"/>
        <v>4.3220006496711566E-3</v>
      </c>
      <c r="E15" s="89">
        <f t="shared" si="15"/>
        <v>4.3638460857003906E-3</v>
      </c>
      <c r="F15" s="47">
        <f>INDEX('[5]Page 2'!$B:$DP,MATCH("0130",'[5]Page 2'!$M:$M,0),13)</f>
        <v>10111</v>
      </c>
      <c r="G15" s="13">
        <f>INDEX('[5]Page 2'!$B:$DP,MATCH("0130",'[5]Page 2'!$M:$M,0),24)</f>
        <v>134366</v>
      </c>
      <c r="H15" s="89">
        <f t="shared" si="16"/>
        <v>1.0663677054374101E-2</v>
      </c>
      <c r="I15" s="89">
        <f t="shared" si="17"/>
        <v>1.2146342609918769E-2</v>
      </c>
      <c r="J15" s="47">
        <f>INDEX('[6]Page 2'!$B:$DP,MATCH("0130",'[6]Page 2'!$M:$M,0),13)</f>
        <v>2924</v>
      </c>
      <c r="K15" s="13">
        <f>INDEX('[6]Page 2'!$B:$DP,MATCH("0130",'[6]Page 2'!$M:$M,0),24)</f>
        <v>57224</v>
      </c>
      <c r="L15" s="89">
        <f t="shared" si="2"/>
        <v>3.088871611114867E-3</v>
      </c>
      <c r="M15" s="89">
        <f t="shared" si="3"/>
        <v>5.3783971786160022E-3</v>
      </c>
      <c r="N15" s="47">
        <f>IFERROR(VLOOKUP("Policy Expense - Serv, Body, P &amp; A",'[7]PAGE 2'!$B:$W,4,FALSE)+VLOOKUP("Policy Expense - New &amp; Used",'[7]PAGE 2'!$B:$W,4,FALSE),0)</f>
        <v>9956</v>
      </c>
      <c r="O15" s="13">
        <f>IFERROR(VLOOKUP("Policy Expense - Serv, Body, P &amp; A",'[7]PAGE 2'!$B:$W,5,FALSE)+VLOOKUP("Policy Expense - New &amp; Used",'[7]PAGE 2'!$B:$W,5,FALSE),0)</f>
        <v>83234</v>
      </c>
      <c r="P15" s="89">
        <f t="shared" si="4"/>
        <v>1.6423839311637236E-2</v>
      </c>
      <c r="Q15" s="89">
        <f t="shared" si="5"/>
        <v>1.1960019846672528E-2</v>
      </c>
      <c r="R15" s="47">
        <f>IFERROR(VLOOKUP("Policy Expense - Serv, Body, P &amp; A",'[8]PAGE 2'!$B:$W,4,FALSE)+VLOOKUP("Policy Expense - New &amp; Used",'[8]PAGE 2'!$B:$W,4,FALSE),0)</f>
        <v>1274</v>
      </c>
      <c r="S15" s="13">
        <f>IFERROR(VLOOKUP("Policy Expense - Serv, Body, P &amp; A",'[8]PAGE 2'!$B:$W,5,FALSE)+VLOOKUP("Policy Expense - New &amp; Used",'[8]PAGE 2'!$B:$W,5,FALSE),0)</f>
        <v>33576</v>
      </c>
      <c r="T15" s="90">
        <f t="shared" si="6"/>
        <v>2.8415807575466944E-3</v>
      </c>
      <c r="U15" s="90">
        <f t="shared" si="7"/>
        <v>6.6135927294602107E-3</v>
      </c>
      <c r="V15" s="47"/>
      <c r="W15" s="13"/>
      <c r="X15" s="90" t="e">
        <f t="shared" si="8"/>
        <v>#DIV/0!</v>
      </c>
      <c r="Y15" s="90" t="e">
        <f t="shared" si="9"/>
        <v>#DIV/0!</v>
      </c>
      <c r="Z15" s="47">
        <f>IFERROR(VLOOKUP("Policy &amp; Claims Adjustments  ",'[9]PAGE 2'!$B:$S,4,FALSE),0)</f>
        <v>3689</v>
      </c>
      <c r="AA15" s="13">
        <f>IFERROR(VLOOKUP("Policy &amp; Claims Adjustments  ",'[9]PAGE 2'!$B:$S,7,FALSE),0)</f>
        <v>87165</v>
      </c>
      <c r="AB15" s="89">
        <f t="shared" si="10"/>
        <v>3.9755196787685269E-3</v>
      </c>
      <c r="AC15" s="89">
        <f t="shared" si="11"/>
        <v>8.9008481359991194E-3</v>
      </c>
      <c r="AD15" s="47">
        <f>'New Vehicle'!P27+'Used Vehicle'!P34+Service!P37+'Parts &amp; Accessories'!P40</f>
        <v>13288</v>
      </c>
      <c r="AE15" s="13">
        <f>'New Vehicle'!Q27+'Used Vehicle'!Q34+Service!Q37+'Parts &amp; Accessories'!Q40</f>
        <v>154478</v>
      </c>
      <c r="AF15" s="91">
        <f t="shared" si="12"/>
        <v>2.0943332587308541E-2</v>
      </c>
      <c r="AG15" s="92">
        <f t="shared" si="13"/>
        <v>2.0746148489713751E-2</v>
      </c>
      <c r="AH15" s="47">
        <f>'New Vehicle'!R27+'Used Vehicle'!R34+Service!R37+'Parts &amp; Accessories'!R40</f>
        <v>6988</v>
      </c>
      <c r="AI15" s="13">
        <f>IFERROR('New Vehicle'!S27+'Used Vehicle'!S34+Service!S37+'Parts &amp; Accessories'!S40,0)</f>
        <v>72130</v>
      </c>
      <c r="AJ15" s="47">
        <f>IFERROR(IF('Used Vehicle'!T34&lt;&gt;"",'Used Vehicle'!T34)+IF(Service!T37&lt;&gt;"",Service!T37)+IF('Parts &amp; Accessories'!T40&lt;&gt;"",'Parts &amp; Accessories'!T40),0)</f>
        <v>866</v>
      </c>
      <c r="AK15" s="13">
        <f>IFERROR(IF('Used Vehicle'!U34&lt;&gt;"",'Used Vehicle'!U34)+IF(Service!U37&lt;&gt;"",Service!U37)+IF('Parts &amp; Accessories'!U40&lt;&gt;"",'Parts &amp; Accessories'!U40),0)</f>
        <v>31957</v>
      </c>
      <c r="AL15" s="47">
        <f>+INDEX('[10]PAGE 2'!$1:$1048576,MATCH("Policy Work - Vehicles",'[10]PAGE 2'!$B:$B,0),8)+INDEX('[10]PAGE 2'!$1:$1048576,MATCH("Policy Work - service, parts &amp; body shop depts.",'[10]PAGE 2'!$B:$B,0),8)</f>
        <v>4071</v>
      </c>
      <c r="AM15" s="13">
        <f>+INDEX('[10]PAGE 2'!$1:$1048576,MATCH("Policy Work - Vehicles",'[10]PAGE 2'!$B:$B,0),12)+INDEX('[10]PAGE 2'!$1:$1048576,MATCH("Policy Work - service, parts &amp; body shop depts.",'[10]PAGE 2'!$B:$B,0),12)</f>
        <v>33944</v>
      </c>
      <c r="AN15" s="47">
        <f>IFERROR(VLOOKUP("Policy &amp; Claims Adjustments  ",'[11]PAGE 2'!$B:$S,4,FALSE),0)</f>
        <v>0</v>
      </c>
      <c r="AO15" s="13">
        <f>IFERROR(VLOOKUP("Policy &amp; Claims Adjustments  ",'[11]PAGE 2'!$B:$S,7,FALSE),0)</f>
        <v>0</v>
      </c>
      <c r="AP15" s="47">
        <f>IFERROR(VLOOKUP("Policy &amp; Claims Adjustments  ",'[12]PAGE 2'!$B:$S,4,FALSE),0)</f>
        <v>3118</v>
      </c>
      <c r="AQ15" s="13">
        <f>IFERROR(VLOOKUP("Policy &amp; Claims Adjustments  ",'[12]PAGE 2'!$B:$S,7,FALSE),0)</f>
        <v>6756</v>
      </c>
      <c r="AR15" s="47">
        <f t="shared" si="0"/>
        <v>60383</v>
      </c>
      <c r="AS15" s="13">
        <f t="shared" si="1"/>
        <v>743104</v>
      </c>
    </row>
    <row r="16" spans="1:45">
      <c r="A16" s="88" t="s">
        <v>9</v>
      </c>
      <c r="B16" s="47"/>
      <c r="C16" s="13"/>
      <c r="D16" s="89">
        <f t="shared" si="14"/>
        <v>0</v>
      </c>
      <c r="E16" s="89">
        <f t="shared" si="15"/>
        <v>0</v>
      </c>
      <c r="F16" s="47"/>
      <c r="G16" s="13"/>
      <c r="H16" s="89">
        <f t="shared" si="16"/>
        <v>0</v>
      </c>
      <c r="I16" s="89">
        <f t="shared" si="17"/>
        <v>0</v>
      </c>
      <c r="J16" s="47"/>
      <c r="K16" s="13"/>
      <c r="L16" s="89">
        <f t="shared" si="2"/>
        <v>0</v>
      </c>
      <c r="M16" s="89">
        <f t="shared" si="3"/>
        <v>0</v>
      </c>
      <c r="N16" s="47"/>
      <c r="O16" s="13"/>
      <c r="P16" s="89"/>
      <c r="Q16" s="89"/>
      <c r="R16" s="47"/>
      <c r="S16" s="13"/>
      <c r="T16" s="90">
        <f t="shared" si="6"/>
        <v>0</v>
      </c>
      <c r="U16" s="90">
        <f t="shared" si="7"/>
        <v>0</v>
      </c>
      <c r="V16" s="47"/>
      <c r="W16" s="13"/>
      <c r="X16" s="90" t="e">
        <f t="shared" si="8"/>
        <v>#DIV/0!</v>
      </c>
      <c r="Y16" s="90" t="e">
        <f t="shared" si="9"/>
        <v>#DIV/0!</v>
      </c>
      <c r="Z16" s="47">
        <f>IFERROR(VLOOKUP(0,'[9]PAGE 2'!$B:$S,4,FALSE),0)</f>
        <v>0</v>
      </c>
      <c r="AA16" s="13">
        <f>IFERROR(VLOOKUP(0,'[9]PAGE 2'!$B:$S,7,FALSE),0)</f>
        <v>0</v>
      </c>
      <c r="AB16" s="89">
        <f t="shared" si="10"/>
        <v>0</v>
      </c>
      <c r="AC16" s="89">
        <f t="shared" si="11"/>
        <v>0</v>
      </c>
      <c r="AD16" s="47">
        <f>'New Vehicle'!P28+'Used Vehicle'!P35+Service!P38+'Parts &amp; Accessories'!P41</f>
        <v>-1810</v>
      </c>
      <c r="AE16" s="13">
        <f>'New Vehicle'!Q28+'Used Vehicle'!Q35+Service!Q38+'Parts &amp; Accessories'!Q41</f>
        <v>-9728</v>
      </c>
      <c r="AF16" s="91">
        <f t="shared" si="12"/>
        <v>-2.8527567717510885E-3</v>
      </c>
      <c r="AG16" s="92">
        <f t="shared" si="13"/>
        <v>-1.3064548512275881E-3</v>
      </c>
      <c r="AH16" s="47">
        <f>'New Vehicle'!R28+'Used Vehicle'!R35+Service!R38+'Parts &amp; Accessories'!R41</f>
        <v>684</v>
      </c>
      <c r="AI16" s="13">
        <f>'New Vehicle'!S28+'Used Vehicle'!S35+Service!S38+'Parts &amp; Accessories'!S41</f>
        <v>3816</v>
      </c>
      <c r="AJ16" s="47">
        <f>IFERROR('Used Vehicle'!T35+Service!T38+'Parts &amp; Accessories'!T41,0)</f>
        <v>0</v>
      </c>
      <c r="AK16" s="13">
        <f>IFERROR('Used Vehicle'!U35+Service!U38+'Parts &amp; Accessories'!U41,0)</f>
        <v>860</v>
      </c>
      <c r="AL16" s="47">
        <f>+INDEX('[10]PAGE 2'!$1:$1048576,MATCH("Demonstrator Expense",'[10]PAGE 2'!$B:$B,0),8)</f>
        <v>0</v>
      </c>
      <c r="AM16" s="13">
        <f>+INDEX('[10]PAGE 2'!$1:$1048576,MATCH("Demonstrator Expense",'[10]PAGE 2'!$B:$B,0),12)</f>
        <v>0</v>
      </c>
      <c r="AN16" s="47">
        <f>IFERROR(VLOOKUP(0,'[11]PAGE 2'!$B:$S,4,FALSE),0)</f>
        <v>0</v>
      </c>
      <c r="AO16" s="13">
        <f>IFERROR(VLOOKUP(0,'[11]PAGE 2'!$B:$S,7,FALSE),0)</f>
        <v>0</v>
      </c>
      <c r="AP16" s="47">
        <f>IFERROR(VLOOKUP(0,'[12]PAGE 2'!$B:$S,4,FALSE),0)</f>
        <v>0</v>
      </c>
      <c r="AQ16" s="13">
        <f>IFERROR(VLOOKUP(0,'[12]PAGE 2'!$B:$S,7,FALSE),0)</f>
        <v>0</v>
      </c>
      <c r="AR16" s="47">
        <f t="shared" si="0"/>
        <v>-1126</v>
      </c>
      <c r="AS16" s="13">
        <f t="shared" si="1"/>
        <v>-5052</v>
      </c>
    </row>
    <row r="17" spans="1:45">
      <c r="A17" s="88" t="s">
        <v>214</v>
      </c>
      <c r="B17" s="47">
        <f>INDEX('[4]Page 2'!$B:$DP,MATCH("0140",'[4]Page 2'!$M:$M,0),13)</f>
        <v>39515</v>
      </c>
      <c r="C17" s="13">
        <f>INDEX('[4]Page 2'!$B:$DP,MATCH("0140",'[4]Page 2'!$M:$M,0),24)</f>
        <v>410020</v>
      </c>
      <c r="D17" s="89">
        <f t="shared" si="14"/>
        <v>4.1674928177588035E-2</v>
      </c>
      <c r="E17" s="89">
        <f t="shared" si="15"/>
        <v>3.7064758919063558E-2</v>
      </c>
      <c r="F17" s="47">
        <f>INDEX('[5]Page 2'!$B:$DP,MATCH("0140",'[5]Page 2'!$M:$M,0),13)</f>
        <v>65124</v>
      </c>
      <c r="G17" s="13">
        <f>INDEX('[5]Page 2'!$B:$DP,MATCH("0140",'[5]Page 2'!$M:$M,0),24)</f>
        <v>690354</v>
      </c>
      <c r="H17" s="89">
        <f t="shared" si="16"/>
        <v>6.868374092464237E-2</v>
      </c>
      <c r="I17" s="89">
        <f t="shared" si="17"/>
        <v>6.2406235253917371E-2</v>
      </c>
      <c r="J17" s="47">
        <f>INDEX('[6]Page 2'!$B:$DP,MATCH("0140",'[6]Page 2'!$M:$M,0),13)</f>
        <v>34777</v>
      </c>
      <c r="K17" s="13">
        <f>INDEX('[6]Page 2'!$B:$DP,MATCH("0140",'[6]Page 2'!$M:$M,0),24)</f>
        <v>486535</v>
      </c>
      <c r="L17" s="89">
        <f t="shared" si="2"/>
        <v>3.6737923399364478E-2</v>
      </c>
      <c r="M17" s="89">
        <f t="shared" si="3"/>
        <v>4.5728688510029654E-2</v>
      </c>
      <c r="N17" s="47">
        <f>IFERROR(VLOOKUP("Demo Expense",'[7]PAGE 2'!$B:$W,4,FALSE),0)</f>
        <v>26221</v>
      </c>
      <c r="O17" s="13">
        <f>IFERROR(VLOOKUP("Demo Expense",'[7]PAGE 2'!$B:$W,5,FALSE),0)</f>
        <v>311219</v>
      </c>
      <c r="P17" s="89">
        <f>N17/$N$9</f>
        <v>4.3255272256974689E-2</v>
      </c>
      <c r="Q17" s="89">
        <f>O17/$O$9</f>
        <v>4.47195306805101E-2</v>
      </c>
      <c r="R17" s="47">
        <f>IFERROR(VLOOKUP("Demo Expense",'[8]PAGE 2'!$B:$W,4,FALSE),0)</f>
        <v>26959</v>
      </c>
      <c r="S17" s="13">
        <f>IFERROR(VLOOKUP("Demo Expense",'[8]PAGE 2'!$B:$W,5,FALSE),0)</f>
        <v>301495</v>
      </c>
      <c r="T17" s="90">
        <f t="shared" si="6"/>
        <v>6.0130436140267918E-2</v>
      </c>
      <c r="U17" s="90">
        <f t="shared" si="7"/>
        <v>5.9386619608309696E-2</v>
      </c>
      <c r="V17" s="47"/>
      <c r="W17" s="13"/>
      <c r="X17" s="90" t="e">
        <f t="shared" si="8"/>
        <v>#DIV/0!</v>
      </c>
      <c r="Y17" s="90" t="e">
        <f t="shared" si="9"/>
        <v>#DIV/0!</v>
      </c>
      <c r="Z17" s="47">
        <f>IFERROR(VLOOKUP("Advertising - General &amp; Institutional",'[9]PAGE 2'!$B:$S,4,FALSE),0)</f>
        <v>38715</v>
      </c>
      <c r="AA17" s="13">
        <f>IFERROR(VLOOKUP("Advertising - General &amp; Institutional",'[9]PAGE 2'!$B:$S,7,FALSE),0)</f>
        <v>455418</v>
      </c>
      <c r="AB17" s="89">
        <f t="shared" si="10"/>
        <v>4.1721942088241662E-2</v>
      </c>
      <c r="AC17" s="89">
        <f t="shared" si="11"/>
        <v>4.6504978562501541E-2</v>
      </c>
      <c r="AD17" s="47">
        <f>'New Vehicle'!P29+'Used Vehicle'!P36+Service!P39+'Parts &amp; Accessories'!P42</f>
        <v>32561</v>
      </c>
      <c r="AE17" s="13">
        <f>'New Vehicle'!Q29+'Used Vehicle'!Q36+Service!Q39+'Parts &amp; Accessories'!Q42</f>
        <v>377639</v>
      </c>
      <c r="AF17" s="91">
        <f t="shared" si="12"/>
        <v>5.1319675825959768E-2</v>
      </c>
      <c r="AG17" s="92">
        <f t="shared" si="13"/>
        <v>5.0716314099787739E-2</v>
      </c>
      <c r="AH17" s="47">
        <f>IFERROR('New Vehicle'!R29+'Used Vehicle'!R36+Service!R39+'Parts &amp; Accessories'!R42,0)</f>
        <v>0</v>
      </c>
      <c r="AI17" s="13">
        <f>IFERROR('New Vehicle'!S29+'Used Vehicle'!S36+Service!S39+'Parts &amp; Accessories'!S42,0)</f>
        <v>0</v>
      </c>
      <c r="AJ17" s="47">
        <f>IFERROR('Used Vehicle'!T36+Service!T39+'Parts &amp; Accessories'!T42,0)</f>
        <v>0</v>
      </c>
      <c r="AK17" s="13">
        <f>IFERROR('Used Vehicle'!U36+Service!U39+'Parts &amp; Accessories'!U42,0)</f>
        <v>0</v>
      </c>
      <c r="AL17" s="47">
        <f>+INDEX('[10]PAGE 2'!$1:$1048576,MATCH("advertising expense - hyundai internet only",'[10]PAGE 2'!$B:$B,0),8)</f>
        <v>26329</v>
      </c>
      <c r="AM17" s="13">
        <f>+INDEX('[10]PAGE 2'!$1:$1048576,MATCH("advertising expense - hyundai internet only",'[10]PAGE 2'!$B:$B,0),12)</f>
        <v>85913</v>
      </c>
      <c r="AN17" s="47">
        <f>IFERROR(VLOOKUP("Advertising - General &amp; Institutional",'[11]PAGE 2'!$B:$S,4,FALSE),0)</f>
        <v>0</v>
      </c>
      <c r="AO17" s="13">
        <f>IFERROR(VLOOKUP("Advertising - General &amp; Institutional",'[11]PAGE 2'!$B:$S,7,FALSE),0)</f>
        <v>0</v>
      </c>
      <c r="AP17" s="47">
        <f>IFERROR(VLOOKUP("Advertising - General &amp; Institutional",'[12]PAGE 2'!$B:$S,4,FALSE),0)</f>
        <v>-38371</v>
      </c>
      <c r="AQ17" s="13">
        <f>IFERROR(VLOOKUP("Advertising - General &amp; Institutional",'[12]PAGE 2'!$B:$S,7,FALSE),0)</f>
        <v>-36671</v>
      </c>
      <c r="AR17" s="47">
        <f t="shared" si="0"/>
        <v>251830</v>
      </c>
      <c r="AS17" s="13">
        <f t="shared" si="1"/>
        <v>3081922</v>
      </c>
    </row>
    <row r="18" spans="1:45">
      <c r="A18" s="88" t="s">
        <v>10</v>
      </c>
      <c r="B18" s="47">
        <f>INDEX('[4]Page 2'!$B:$DP,MATCH("0150",'[4]Page 2'!$M:$M,0),13)</f>
        <v>116771</v>
      </c>
      <c r="C18" s="13">
        <f>INDEX('[4]Page 2'!$B:$DP,MATCH("0150",'[4]Page 2'!$M:$M,0),24)</f>
        <v>1164427</v>
      </c>
      <c r="D18" s="89">
        <f t="shared" si="14"/>
        <v>0.12315381597431689</v>
      </c>
      <c r="E18" s="89">
        <f t="shared" si="15"/>
        <v>0.10526122148638704</v>
      </c>
      <c r="F18" s="47">
        <f>INDEX('[5]Page 2'!$B:$DP,MATCH("0150",'[5]Page 2'!$M:$M,0),13)</f>
        <v>15290</v>
      </c>
      <c r="G18" s="13">
        <f>INDEX('[5]Page 2'!$B:$DP,MATCH("0150",'[5]Page 2'!$M:$M,0),24)</f>
        <v>295765</v>
      </c>
      <c r="H18" s="89">
        <f t="shared" si="16"/>
        <v>1.612576621119375E-2</v>
      </c>
      <c r="I18" s="89">
        <f t="shared" si="17"/>
        <v>2.6736399252955543E-2</v>
      </c>
      <c r="J18" s="47">
        <f>INDEX('[6]Page 2'!$B:$DP,MATCH("0150",'[6]Page 2'!$M:$M,0),13)</f>
        <v>90695</v>
      </c>
      <c r="K18" s="13">
        <f>INDEX('[6]Page 2'!$B:$DP,MATCH("0150",'[6]Page 2'!$M:$M,0),24)</f>
        <v>850780</v>
      </c>
      <c r="L18" s="89">
        <f t="shared" si="2"/>
        <v>9.5808895612196604E-2</v>
      </c>
      <c r="M18" s="89">
        <f t="shared" si="3"/>
        <v>7.9963524947975026E-2</v>
      </c>
      <c r="N18" s="47">
        <f>IFERROR(VLOOKUP("Advertising - Association",'[7]PAGE 2'!$B:$W,4,FALSE)+VLOOKUP("Advertising - New &amp; Used",'[7]PAGE 2'!$B:$W,4,FALSE),0)</f>
        <v>27591</v>
      </c>
      <c r="O18" s="13">
        <f>IFERROR(VLOOKUP("Advertising - Association",'[7]PAGE 2'!$B:$W,5,FALSE)+VLOOKUP("Advertising - New &amp; Used",'[7]PAGE 2'!$B:$W,5,FALSE),0)</f>
        <v>297683</v>
      </c>
      <c r="P18" s="89">
        <f t="shared" si="4"/>
        <v>4.551528228680022E-2</v>
      </c>
      <c r="Q18" s="89">
        <f t="shared" si="5"/>
        <v>4.2774522286770048E-2</v>
      </c>
      <c r="R18" s="47">
        <f>IFERROR(VLOOKUP("Advertising - Association",'[8]PAGE 2'!$B:$W,4,FALSE)+VLOOKUP("Advertising - New &amp; Used",'[8]PAGE 2'!$B:$W,4,FALSE),0)</f>
        <v>11308</v>
      </c>
      <c r="S18" s="13">
        <f>IFERROR(VLOOKUP("Advertising - Association",'[8]PAGE 2'!$B:$W,5,FALSE)+VLOOKUP("Advertising - New &amp; Used",'[8]PAGE 2'!$B:$W,5,FALSE),0)</f>
        <v>139679</v>
      </c>
      <c r="T18" s="90">
        <f t="shared" si="6"/>
        <v>2.5221817273420738E-2</v>
      </c>
      <c r="U18" s="90">
        <f t="shared" si="7"/>
        <v>2.7513105160182058E-2</v>
      </c>
      <c r="V18" s="47"/>
      <c r="W18" s="13"/>
      <c r="X18" s="90" t="e">
        <f t="shared" si="8"/>
        <v>#DIV/0!</v>
      </c>
      <c r="Y18" s="90" t="e">
        <f t="shared" si="9"/>
        <v>#DIV/0!</v>
      </c>
      <c r="Z18" s="47">
        <f>IFERROR(VLOOKUP("Advertising - Departmental",'[9]PAGE 2'!$B:$S,4,FALSE),0)</f>
        <v>29363</v>
      </c>
      <c r="AA18" s="13">
        <f>IFERROR(VLOOKUP("Advertising - Departmental",'[9]PAGE 2'!$B:$S,7,FALSE),0)</f>
        <v>395169</v>
      </c>
      <c r="AB18" s="89">
        <f t="shared" si="10"/>
        <v>3.164358480013018E-2</v>
      </c>
      <c r="AC18" s="89">
        <f t="shared" si="11"/>
        <v>4.0352655963455927E-2</v>
      </c>
      <c r="AD18" s="47">
        <f>'New Vehicle'!P30+'Used Vehicle'!P37+Service!P40+'Parts &amp; Accessories'!P43</f>
        <v>30304</v>
      </c>
      <c r="AE18" s="13">
        <f>'New Vehicle'!Q30+'Used Vehicle'!Q37+Service!Q40+'Parts &amp; Accessories'!Q43</f>
        <v>372358</v>
      </c>
      <c r="AF18" s="91">
        <f t="shared" si="12"/>
        <v>4.7762398459196123E-2</v>
      </c>
      <c r="AG18" s="92">
        <f t="shared" si="13"/>
        <v>5.0007084240686908E-2</v>
      </c>
      <c r="AH18" s="47">
        <f>'New Vehicle'!R30+'Used Vehicle'!R37+Service!R40+'Parts &amp; Accessories'!R43</f>
        <v>67299</v>
      </c>
      <c r="AI18" s="13">
        <f>'New Vehicle'!S30+'Used Vehicle'!S37+Service!S40+'Parts &amp; Accessories'!S43</f>
        <v>733353</v>
      </c>
      <c r="AJ18" s="47">
        <f>IF('Used Vehicle'!T37&lt;&gt;"",'Used Vehicle'!T37)+IF(Service!T40&lt;&gt;"",Service!T40)+IF('Parts &amp; Accessories'!T43&lt;&gt;"",'Parts &amp; Accessories'!T43)</f>
        <v>19814</v>
      </c>
      <c r="AK18" s="13">
        <f>IF('Used Vehicle'!U37&lt;&gt;"",'Used Vehicle'!U37)+IF(Service!U40&lt;&gt;"",Service!U40)+IF('Parts &amp; Accessories'!U43&lt;&gt;"",'Parts &amp; Accessories'!U43)</f>
        <v>300612</v>
      </c>
      <c r="AL18" s="47">
        <f>+INDEX('[10]PAGE 2'!$1:$1048576,MATCH("advertising expense - hyundai print, tv, other",'[10]PAGE 2'!$B:$B,0),8)+INDEX('[10]PAGE 2'!$1:$1048576,MATCH("advertising - other franchise(s)",'[10]PAGE 2'!$B:$B,0),8)</f>
        <v>14034</v>
      </c>
      <c r="AM18" s="13">
        <f>+INDEX('[10]PAGE 2'!$1:$1048576,MATCH("advertising expense - hyundai print, tv, other",'[10]PAGE 2'!$B:$B,0),12)+INDEX('[10]PAGE 2'!$1:$1048576,MATCH("advertising - other franchise(s)",'[10]PAGE 2'!$B:$B,0),12)</f>
        <v>161817</v>
      </c>
      <c r="AN18" s="47">
        <f>IFERROR(VLOOKUP("Advertising - Departmental",'[11]PAGE 2'!$B:$S,4,FALSE),0)</f>
        <v>10105</v>
      </c>
      <c r="AO18" s="13">
        <f>IFERROR(VLOOKUP("Advertising - Departmental",'[11]PAGE 2'!$B:$S,7,FALSE),0)</f>
        <v>155855</v>
      </c>
      <c r="AP18" s="47">
        <f>IFERROR(VLOOKUP("Advertising - Departmental",'[12]PAGE 2'!$B:$S,4,FALSE),0)</f>
        <v>25919</v>
      </c>
      <c r="AQ18" s="13">
        <f>IFERROR(VLOOKUP("Advertising - Departmental",'[12]PAGE 2'!$B:$S,7,FALSE),0)</f>
        <v>165257</v>
      </c>
      <c r="AR18" s="47">
        <f t="shared" si="0"/>
        <v>458493</v>
      </c>
      <c r="AS18" s="13">
        <f t="shared" si="1"/>
        <v>5032755</v>
      </c>
    </row>
    <row r="19" spans="1:45">
      <c r="A19" s="93" t="s">
        <v>52</v>
      </c>
      <c r="B19" s="47">
        <f>-INDEX('[4]Page 2'!$B:$DP,MATCH("0170",'[4]Page 2'!$M:$M,0),13)</f>
        <v>-39875</v>
      </c>
      <c r="C19" s="13">
        <f>-INDEX('[4]Page 2'!$B:$DP,MATCH("0170",'[4]Page 2'!$M:$M,0),24)</f>
        <v>-468025</v>
      </c>
      <c r="D19" s="89">
        <f t="shared" si="14"/>
        <v>-4.2054606126314634E-2</v>
      </c>
      <c r="E19" s="89">
        <f t="shared" si="15"/>
        <v>-4.2308262506938005E-2</v>
      </c>
      <c r="F19" s="47">
        <f>-INDEX('[5]Page 2'!$B:$DP,MATCH("0170",'[5]Page 2'!$M:$M,0),13)</f>
        <v>-16650</v>
      </c>
      <c r="G19" s="13">
        <f>-INDEX('[5]Page 2'!$B:$DP,MATCH("0170",'[5]Page 2'!$M:$M,0),24)</f>
        <v>-200373</v>
      </c>
      <c r="H19" s="89">
        <f t="shared" si="16"/>
        <v>-1.7560105128605358E-2</v>
      </c>
      <c r="I19" s="89">
        <f t="shared" si="17"/>
        <v>-1.811320652380255E-2</v>
      </c>
      <c r="J19" s="47">
        <f>-INDEX('[6]Page 2'!$B:$DP,MATCH("0170",'[6]Page 2'!$M:$M,0),13)</f>
        <v>-23850</v>
      </c>
      <c r="K19" s="13">
        <f>-INDEX('[6]Page 2'!$B:$DP,MATCH("0170",'[6]Page 2'!$M:$M,0),24)</f>
        <v>-289920</v>
      </c>
      <c r="L19" s="89">
        <f t="shared" si="2"/>
        <v>-2.5194797512000541E-2</v>
      </c>
      <c r="M19" s="89">
        <f t="shared" si="3"/>
        <v>-2.7249142143582265E-2</v>
      </c>
      <c r="N19" s="47">
        <f>IFERROR(VLOOKUP(0,'[7]PAGE 2'!$B:$W,4,FALSE),0)</f>
        <v>0</v>
      </c>
      <c r="O19" s="13">
        <f>IFERROR(VLOOKUP(0,'[7]PAGE 2'!$B:$W,5,FALSE),0)</f>
        <v>0</v>
      </c>
      <c r="P19" s="89">
        <f t="shared" si="4"/>
        <v>0</v>
      </c>
      <c r="Q19" s="89">
        <f t="shared" si="5"/>
        <v>0</v>
      </c>
      <c r="R19" s="47">
        <f>IFERROR(VLOOKUP(0,'[8]PAGE 2'!$B:$W,4,FALSE),0)</f>
        <v>0</v>
      </c>
      <c r="S19" s="13">
        <f>IFERROR(VLOOKUP(0,'[8]PAGE 2'!$B:$W,5,FALSE),0)</f>
        <v>0</v>
      </c>
      <c r="T19" s="90">
        <f t="shared" si="6"/>
        <v>0</v>
      </c>
      <c r="U19" s="90">
        <f t="shared" si="7"/>
        <v>0</v>
      </c>
      <c r="V19" s="47"/>
      <c r="W19" s="13"/>
      <c r="X19" s="90" t="e">
        <f t="shared" si="8"/>
        <v>#DIV/0!</v>
      </c>
      <c r="Y19" s="90" t="e">
        <f t="shared" si="9"/>
        <v>#DIV/0!</v>
      </c>
      <c r="Z19" s="47">
        <f>IFERROR(VLOOKUP(0,'[9]PAGE 2'!$B:$S,4,FALSE),0)</f>
        <v>0</v>
      </c>
      <c r="AA19" s="13">
        <f>IFERROR(VLOOKUP(0,'[9]PAGE 2'!$B:$S,7,FALSE),0)</f>
        <v>0</v>
      </c>
      <c r="AB19" s="89">
        <f t="shared" si="10"/>
        <v>0</v>
      </c>
      <c r="AC19" s="89">
        <f t="shared" si="11"/>
        <v>0</v>
      </c>
      <c r="AD19" s="47">
        <f>'New Vehicle'!P31+'Used Vehicle'!P38+Service!P41+'Parts &amp; Accessories'!P44</f>
        <v>-16899</v>
      </c>
      <c r="AE19" s="13">
        <f>'New Vehicle'!Q31+'Used Vehicle'!Q38+Service!Q41+'Parts &amp; Accessories'!Q44</f>
        <v>-398513</v>
      </c>
      <c r="AF19" s="91">
        <f t="shared" si="12"/>
        <v>-2.6634661152387648E-2</v>
      </c>
      <c r="AG19" s="92">
        <f t="shared" si="13"/>
        <v>-5.3519658935779174E-2</v>
      </c>
      <c r="AH19" s="47">
        <f>'New Vehicle'!R31+'Used Vehicle'!R38+Service!R41+'Parts &amp; Accessories'!R44</f>
        <v>-21864</v>
      </c>
      <c r="AI19" s="13">
        <f>'New Vehicle'!S31+'Used Vehicle'!S38+Service!S41+'Parts &amp; Accessories'!S44</f>
        <v>-357845</v>
      </c>
      <c r="AJ19" s="47">
        <f>IFERROR(IF('Used Vehicle'!T38&lt;&gt;"",'Used Vehicle'!T38)+IF(Service!T41&lt;&gt;"",Service!T41)+IF('Parts &amp; Accessories'!T44&lt;&gt;"",'Parts &amp; Accessories'!T44),0)</f>
        <v>0</v>
      </c>
      <c r="AK19" s="13">
        <f>IFERROR('Used Vehicle'!U38+Service!U41+'Parts &amp; Accessories'!U44,0)</f>
        <v>0</v>
      </c>
      <c r="AL19" s="47">
        <f>+INDEX('[10]PAGE 2'!$1:$1048576,MATCH("less advertising support from hyundai",'[10]PAGE 2'!$B:$B,0),8)</f>
        <v>0</v>
      </c>
      <c r="AM19" s="13">
        <f>+INDEX('[10]PAGE 2'!$1:$1048576,MATCH("less advertising support from hyundai",'[10]PAGE 2'!$B:$B,0),12)</f>
        <v>0</v>
      </c>
      <c r="AN19" s="47">
        <f>IFERROR(VLOOKUP(0,'[11]PAGE 2'!$B:$S,4,FALSE),0)</f>
        <v>0</v>
      </c>
      <c r="AO19" s="13">
        <f>IFERROR(VLOOKUP(0,'[11]PAGE 2'!$B:$S,7,FALSE),0)</f>
        <v>0</v>
      </c>
      <c r="AP19" s="47">
        <f>IFERROR(VLOOKUP(0,'[12]PAGE 2'!$B:$S,4,FALSE),0)</f>
        <v>0</v>
      </c>
      <c r="AQ19" s="13">
        <f>IFERROR(VLOOKUP(0,'[12]PAGE 2'!$B:$S,7,FALSE),0)</f>
        <v>0</v>
      </c>
      <c r="AR19" s="47">
        <f t="shared" si="0"/>
        <v>-119138</v>
      </c>
      <c r="AS19" s="13">
        <f t="shared" si="1"/>
        <v>-1714676</v>
      </c>
    </row>
    <row r="20" spans="1:45">
      <c r="A20" s="94" t="s">
        <v>11</v>
      </c>
      <c r="B20" s="47">
        <f>INDEX('[4]Page 2'!$B:$DP,MATCH("0160",'[4]Page 2'!$M:$M,0),13)</f>
        <v>41980</v>
      </c>
      <c r="C20" s="13">
        <f>INDEX('[4]Page 2'!$B:$DP,MATCH("0160",'[4]Page 2'!$M:$M,0),24)</f>
        <v>408519</v>
      </c>
      <c r="D20" s="89">
        <f t="shared" si="14"/>
        <v>4.4274667465396572E-2</v>
      </c>
      <c r="E20" s="89">
        <f t="shared" si="15"/>
        <v>3.6929072359535936E-2</v>
      </c>
      <c r="F20" s="47">
        <f>INDEX('[5]Page 2'!$B:$DP,MATCH("0160",'[5]Page 2'!$M:$M,0),13)</f>
        <v>39942</v>
      </c>
      <c r="G20" s="13">
        <f>INDEX('[5]Page 2'!$B:$DP,MATCH("0160",'[5]Page 2'!$M:$M,0),24)</f>
        <v>364768</v>
      </c>
      <c r="H20" s="89">
        <f t="shared" si="16"/>
        <v>4.2125268411216533E-2</v>
      </c>
      <c r="I20" s="89">
        <f t="shared" si="17"/>
        <v>3.2974093901246219E-2</v>
      </c>
      <c r="J20" s="47">
        <f>INDEX('[6]Page 2'!$B:$DP,MATCH("0160",'[6]Page 2'!$M:$M,0),13)</f>
        <v>46741</v>
      </c>
      <c r="K20" s="13">
        <f>INDEX('[6]Page 2'!$B:$DP,MATCH("0160",'[6]Page 2'!$M:$M,0),24)</f>
        <v>408338</v>
      </c>
      <c r="L20" s="89">
        <f t="shared" si="2"/>
        <v>4.9376521195321481E-2</v>
      </c>
      <c r="M20" s="89">
        <f t="shared" si="3"/>
        <v>3.8379070794102146E-2</v>
      </c>
      <c r="N20" s="47">
        <f>IFERROR(VLOOKUP("Floor Plan Interest",'[7]PAGE 2'!$B:$W,4,FALSE),0)</f>
        <v>-1095</v>
      </c>
      <c r="O20" s="13">
        <f>IFERROR(VLOOKUP("Floor Plan Interest",'[7]PAGE 2'!$B:$W,5,FALSE),0)</f>
        <v>-52573</v>
      </c>
      <c r="P20" s="89">
        <f t="shared" si="4"/>
        <v>-1.8063583815028901E-3</v>
      </c>
      <c r="Q20" s="89">
        <f t="shared" si="5"/>
        <v>-7.5542941994751521E-3</v>
      </c>
      <c r="R20" s="47">
        <f>IFERROR(VLOOKUP("Floor Plan Interest",'[8]PAGE 2'!$B:$W,4,FALSE),0)</f>
        <v>880</v>
      </c>
      <c r="S20" s="13">
        <f>IFERROR(VLOOKUP("Floor Plan Interest",'[8]PAGE 2'!$B:$W,5,FALSE),0)</f>
        <v>-45578</v>
      </c>
      <c r="T20" s="90">
        <f t="shared" si="6"/>
        <v>1.9627873364529754E-3</v>
      </c>
      <c r="U20" s="90">
        <f t="shared" si="7"/>
        <v>-8.9776724274284458E-3</v>
      </c>
      <c r="V20" s="47"/>
      <c r="W20" s="13"/>
      <c r="X20" s="90" t="e">
        <f t="shared" si="8"/>
        <v>#DIV/0!</v>
      </c>
      <c r="Y20" s="90" t="e">
        <f t="shared" si="9"/>
        <v>#DIV/0!</v>
      </c>
      <c r="Z20" s="47">
        <f>IFERROR(VLOOKUP("Interest - Floor Plan",'[9]PAGE 2'!$B:$S,4,FALSE),0)</f>
        <v>-21934</v>
      </c>
      <c r="AA20" s="13">
        <f>IFERROR(VLOOKUP("Interest - Floor Plan",'[9]PAGE 2'!$B:$S,7,FALSE),0)</f>
        <v>-396692</v>
      </c>
      <c r="AB20" s="89">
        <f t="shared" si="10"/>
        <v>-2.3637584341043336E-2</v>
      </c>
      <c r="AC20" s="89">
        <f t="shared" si="11"/>
        <v>-4.0508177006433346E-2</v>
      </c>
      <c r="AD20" s="47">
        <f>'New Vehicle'!P32+'Used Vehicle'!P39+Service!P42+'Parts &amp; Accessories'!P45</f>
        <v>61315</v>
      </c>
      <c r="AE20" s="13">
        <f>'New Vehicle'!Q32+'Used Vehicle'!Q39+Service!Q42+'Parts &amp; Accessories'!Q45</f>
        <v>670039</v>
      </c>
      <c r="AF20" s="91">
        <f t="shared" si="12"/>
        <v>9.6639105778960205E-2</v>
      </c>
      <c r="AG20" s="92">
        <f t="shared" si="13"/>
        <v>8.9985166741538031E-2</v>
      </c>
      <c r="AH20" s="47">
        <f>'New Vehicle'!R32+'Used Vehicle'!R39+Service!R42+'Parts &amp; Accessories'!R45</f>
        <v>50867</v>
      </c>
      <c r="AI20" s="13">
        <f>'New Vehicle'!S32+'Used Vehicle'!S39+Service!S42+'Parts &amp; Accessories'!S45</f>
        <v>583122</v>
      </c>
      <c r="AJ20" s="47">
        <f>IFERROR('Used Vehicle'!T39+Service!T42+'Parts &amp; Accessories'!T45,0)</f>
        <v>4422</v>
      </c>
      <c r="AK20" s="13">
        <f>IFERROR('Used Vehicle'!U39+Service!U42+'Parts &amp; Accessories'!U45,0)</f>
        <v>45485</v>
      </c>
      <c r="AL20" s="47">
        <f>+INDEX('[10]PAGE 2'!$1:$1048576,MATCH("Interest - Floor Planning",'[10]PAGE 2'!$B:$B,0),8)</f>
        <v>4415</v>
      </c>
      <c r="AM20" s="13">
        <f>+INDEX('[10]PAGE 2'!$1:$1048576,MATCH("Interest - Floor Planning",'[10]PAGE 2'!$B:$B,0),12)</f>
        <v>5587</v>
      </c>
      <c r="AN20" s="47">
        <f>IFERROR(VLOOKUP("Interest - Floor Plan",'[11]PAGE 2'!$B:$S,4,FALSE),0)</f>
        <v>3774</v>
      </c>
      <c r="AO20" s="13">
        <f>IFERROR(VLOOKUP("Interest - Floor Plan",'[11]PAGE 2'!$B:$S,7,FALSE),0)</f>
        <v>36417</v>
      </c>
      <c r="AP20" s="47">
        <f>IFERROR(VLOOKUP("Interest - Floor Plan",'[12]PAGE 2'!$B:$S,4,FALSE),0)</f>
        <v>-7772</v>
      </c>
      <c r="AQ20" s="13">
        <f>IFERROR(VLOOKUP("Interest - Floor Plan",'[12]PAGE 2'!$B:$S,7,FALSE),0)</f>
        <v>-34076</v>
      </c>
      <c r="AR20" s="47">
        <f t="shared" si="0"/>
        <v>223535</v>
      </c>
      <c r="AS20" s="13">
        <f t="shared" si="1"/>
        <v>1993356</v>
      </c>
    </row>
    <row r="21" spans="1:45">
      <c r="A21" s="93" t="s">
        <v>53</v>
      </c>
      <c r="B21" s="47">
        <f>-INDEX('[4]Page 2'!$B:$DP,MATCH("0180",'[4]Page 2'!$M:$M,0),13)</f>
        <v>-72054</v>
      </c>
      <c r="C21" s="13">
        <f>-INDEX('[4]Page 2'!$B:$DP,MATCH("0180",'[4]Page 2'!$M:$M,0),24)</f>
        <v>-746298</v>
      </c>
      <c r="D21" s="89">
        <f t="shared" si="14"/>
        <v>-7.5992541437629457E-2</v>
      </c>
      <c r="E21" s="89">
        <f t="shared" si="15"/>
        <v>-6.7463429715085343E-2</v>
      </c>
      <c r="F21" s="47">
        <f>-INDEX('[5]Page 2'!$B:$DP,MATCH("0180",'[5]Page 2'!$M:$M,0),13)</f>
        <v>-53095</v>
      </c>
      <c r="G21" s="13">
        <f>-INDEX('[5]Page 2'!$B:$DP,MATCH("0180",'[5]Page 2'!$M:$M,0),24)</f>
        <v>-554607</v>
      </c>
      <c r="H21" s="89">
        <f t="shared" si="16"/>
        <v>-5.5997224132330423E-2</v>
      </c>
      <c r="I21" s="89">
        <f t="shared" si="17"/>
        <v>-5.0135053777437884E-2</v>
      </c>
      <c r="J21" s="47">
        <f>-INDEX('[6]Page 2'!$B:$DP,MATCH("0180",'[6]Page 2'!$M:$M,0),13)</f>
        <v>-140925</v>
      </c>
      <c r="K21" s="13">
        <f>-INDEX('[6]Page 2'!$B:$DP,MATCH("0180",'[6]Page 2'!$M:$M,0),24)</f>
        <v>-851188</v>
      </c>
      <c r="L21" s="89">
        <f t="shared" si="2"/>
        <v>-0.14887114630518558</v>
      </c>
      <c r="M21" s="89">
        <f t="shared" si="3"/>
        <v>-8.0001872250660522E-2</v>
      </c>
      <c r="N21" s="47">
        <f>IFERROR(VLOOKUP(0,'[7]PAGE 2'!$B:$W,4,FALSE),0)</f>
        <v>0</v>
      </c>
      <c r="O21" s="13">
        <f>IFERROR(VLOOKUP(0,'[7]PAGE 2'!$B:$W,5,FALSE),0)</f>
        <v>0</v>
      </c>
      <c r="P21" s="89">
        <f t="shared" si="4"/>
        <v>0</v>
      </c>
      <c r="Q21" s="89">
        <f t="shared" si="5"/>
        <v>0</v>
      </c>
      <c r="R21" s="47">
        <f>IFERROR(VLOOKUP(0,'[8]PAGE 2'!$B:$W,4,FALSE),0)</f>
        <v>0</v>
      </c>
      <c r="S21" s="13">
        <f>IFERROR(VLOOKUP(0,'[8]PAGE 2'!$B:$W,5,FALSE),0)</f>
        <v>0</v>
      </c>
      <c r="T21" s="90">
        <f t="shared" si="6"/>
        <v>0</v>
      </c>
      <c r="U21" s="90">
        <f t="shared" si="7"/>
        <v>0</v>
      </c>
      <c r="V21" s="47"/>
      <c r="W21" s="13"/>
      <c r="X21" s="90" t="e">
        <f t="shared" si="8"/>
        <v>#DIV/0!</v>
      </c>
      <c r="Y21" s="90" t="e">
        <f t="shared" si="9"/>
        <v>#DIV/0!</v>
      </c>
      <c r="Z21" s="47"/>
      <c r="AA21" s="13"/>
      <c r="AB21" s="89">
        <f t="shared" si="10"/>
        <v>0</v>
      </c>
      <c r="AC21" s="89">
        <f t="shared" si="11"/>
        <v>0</v>
      </c>
      <c r="AD21" s="47">
        <f>'New Vehicle'!P33+'Used Vehicle'!P40+Service!P43+'Parts &amp; Accessories'!P46</f>
        <v>-45468</v>
      </c>
      <c r="AE21" s="13">
        <f>'New Vehicle'!Q33+'Used Vehicle'!Q40+Service!Q43+'Parts &amp; Accessories'!Q46</f>
        <v>-653861</v>
      </c>
      <c r="AF21" s="91">
        <f t="shared" si="12"/>
        <v>-7.1662510993358283E-2</v>
      </c>
      <c r="AG21" s="92">
        <f t="shared" si="13"/>
        <v>-8.7812487199683598E-2</v>
      </c>
      <c r="AH21" s="47">
        <f>'New Vehicle'!R33+'Used Vehicle'!R40+Service!R43+'Parts &amp; Accessories'!R46</f>
        <v>-46369</v>
      </c>
      <c r="AI21" s="13">
        <f>'New Vehicle'!S33+'Used Vehicle'!S40+Service!S43+'Parts &amp; Accessories'!S46</f>
        <v>-517735</v>
      </c>
      <c r="AJ21" s="47">
        <f>IFERROR('Used Vehicle'!T40+Service!T43+'Parts &amp; Accessories'!T46,0)</f>
        <v>0</v>
      </c>
      <c r="AK21" s="13">
        <f>IFERROR('Used Vehicle'!U40+Service!U43+'Parts &amp; Accessories'!U46,0)</f>
        <v>0</v>
      </c>
      <c r="AL21" s="47"/>
      <c r="AM21" s="13"/>
      <c r="AN21" s="47"/>
      <c r="AO21" s="13"/>
      <c r="AP21" s="47"/>
      <c r="AQ21" s="13"/>
      <c r="AR21" s="47">
        <f t="shared" si="0"/>
        <v>-357911</v>
      </c>
      <c r="AS21" s="13">
        <f t="shared" si="1"/>
        <v>-3323689</v>
      </c>
    </row>
    <row r="22" spans="1:45">
      <c r="A22" s="88" t="s">
        <v>12</v>
      </c>
      <c r="B22" s="47">
        <f>INDEX('[4]Page 2'!$B:$DP,MATCH("0190",'[4]Page 2'!$M:$M,0),13)</f>
        <v>0</v>
      </c>
      <c r="C22" s="13">
        <f>INDEX('[4]Page 2'!$B:$DP,MATCH("0190",'[4]Page 2'!$M:$M,0),24)</f>
        <v>0</v>
      </c>
      <c r="D22" s="89">
        <f t="shared" si="14"/>
        <v>0</v>
      </c>
      <c r="E22" s="89">
        <f t="shared" si="15"/>
        <v>0</v>
      </c>
      <c r="F22" s="47">
        <f>-INDEX('[5]Page 2'!$B:$DP,MATCH("0190",'[5]Page 2'!$M:$M,0),13)</f>
        <v>0</v>
      </c>
      <c r="G22" s="13">
        <f>-INDEX('[5]Page 2'!$B:$DP,MATCH("0190",'[5]Page 2'!$M:$M,0),24)</f>
        <v>0</v>
      </c>
      <c r="H22" s="89">
        <f t="shared" si="16"/>
        <v>0</v>
      </c>
      <c r="I22" s="89">
        <f t="shared" si="17"/>
        <v>0</v>
      </c>
      <c r="J22" s="47">
        <f>-INDEX('[6]Page 2'!$B:$DP,MATCH("0190",'[6]Page 2'!$M:$M,0),13)</f>
        <v>0</v>
      </c>
      <c r="K22" s="13">
        <f>-INDEX('[6]Page 2'!$B:$DP,MATCH("0190",'[6]Page 2'!$M:$M,0),24)</f>
        <v>0</v>
      </c>
      <c r="L22" s="89">
        <f t="shared" si="2"/>
        <v>0</v>
      </c>
      <c r="M22" s="89">
        <f t="shared" si="3"/>
        <v>0</v>
      </c>
      <c r="N22" s="47">
        <f>IFERROR(VLOOKUP(0,'[7]PAGE 2'!$B:$W,4,FALSE),0)</f>
        <v>0</v>
      </c>
      <c r="O22" s="13">
        <f>IFERROR(VLOOKUP(0,'[7]PAGE 2'!$B:$W,5,FALSE),0)</f>
        <v>0</v>
      </c>
      <c r="P22" s="89">
        <f t="shared" si="4"/>
        <v>0</v>
      </c>
      <c r="Q22" s="89">
        <f t="shared" si="5"/>
        <v>0</v>
      </c>
      <c r="R22" s="47">
        <f>IFERROR(VLOOKUP(0,'[8]PAGE 2'!$B:$W,4,FALSE),0)</f>
        <v>0</v>
      </c>
      <c r="S22" s="13">
        <f>IFERROR(VLOOKUP(0,'[8]PAGE 2'!$B:$W,5,FALSE),0)</f>
        <v>0</v>
      </c>
      <c r="T22" s="90">
        <f t="shared" si="6"/>
        <v>0</v>
      </c>
      <c r="U22" s="90">
        <f t="shared" si="7"/>
        <v>0</v>
      </c>
      <c r="V22" s="47"/>
      <c r="W22" s="13"/>
      <c r="X22" s="90" t="e">
        <f t="shared" si="8"/>
        <v>#DIV/0!</v>
      </c>
      <c r="Y22" s="90" t="e">
        <f t="shared" si="9"/>
        <v>#DIV/0!</v>
      </c>
      <c r="Z22" s="47">
        <f>IFERROR(VLOOKUP("Inventory Maintenance",'[9]PAGE 2'!$B:$S,4,FALSE),0)</f>
        <v>0</v>
      </c>
      <c r="AA22" s="13">
        <f>IFERROR(VLOOKUP("Inventory Maintenance",'[9]PAGE 2'!$B:$S,7,FALSE),0)</f>
        <v>489</v>
      </c>
      <c r="AB22" s="89">
        <f t="shared" si="10"/>
        <v>0</v>
      </c>
      <c r="AC22" s="89">
        <f t="shared" si="11"/>
        <v>4.993420224291366E-5</v>
      </c>
      <c r="AD22" s="47">
        <f>'New Vehicle'!P34+'Used Vehicle'!P41+Service!P44+'Parts &amp; Accessories'!P47</f>
        <v>4335</v>
      </c>
      <c r="AE22" s="13">
        <f>'New Vehicle'!Q34+'Used Vehicle'!Q41+Service!Q44+'Parts &amp; Accessories'!Q47</f>
        <v>27318</v>
      </c>
      <c r="AF22" s="91">
        <f t="shared" si="12"/>
        <v>6.8324312737795406E-3</v>
      </c>
      <c r="AG22" s="92">
        <f t="shared" si="13"/>
        <v>3.6687637362083935E-3</v>
      </c>
      <c r="AH22" s="47">
        <f>'New Vehicle'!R34+'Used Vehicle'!R41+Service!R44+'Parts &amp; Accessories'!R47</f>
        <v>0</v>
      </c>
      <c r="AI22" s="13">
        <f>'New Vehicle'!S34+'Used Vehicle'!S41+Service!S44+'Parts &amp; Accessories'!S47</f>
        <v>0</v>
      </c>
      <c r="AJ22" s="47">
        <f>IFERROR('Used Vehicle'!T41+Service!T44+'Parts &amp; Accessories'!T47,0)</f>
        <v>0</v>
      </c>
      <c r="AK22" s="13">
        <f>IFERROR('Used Vehicle'!U41+Service!U44+'Parts &amp; Accessories'!U47,0)</f>
        <v>0</v>
      </c>
      <c r="AL22" s="47">
        <f>+INDEX('[10]PAGE 2'!$1:$1048576,MATCH("Used Vehicle Maintenance Expense",'[10]PAGE 2'!$B:$B,0),8)</f>
        <v>0</v>
      </c>
      <c r="AM22" s="13">
        <f>+INDEX('[10]PAGE 2'!$1:$1048576,MATCH("Used Vehicle Maintenance Expense",'[10]PAGE 2'!$B:$B,0),12)</f>
        <v>0</v>
      </c>
      <c r="AN22" s="47">
        <f>IFERROR(VLOOKUP("Inventory Maintenance",'[11]PAGE 2'!$B:$S,4,FALSE),0)</f>
        <v>0</v>
      </c>
      <c r="AO22" s="13">
        <f>IFERROR(VLOOKUP("Inventory Maintenance",'[11]PAGE 2'!$B:$S,7,FALSE),0)</f>
        <v>0</v>
      </c>
      <c r="AP22" s="47">
        <f>IFERROR(VLOOKUP("Inventory Maintenance",'[12]PAGE 2'!$B:$S,4,FALSE),0)</f>
        <v>0</v>
      </c>
      <c r="AQ22" s="13">
        <f>IFERROR(VLOOKUP("Inventory Maintenance",'[12]PAGE 2'!$B:$S,7,FALSE),0)</f>
        <v>0</v>
      </c>
      <c r="AR22" s="47">
        <f t="shared" si="0"/>
        <v>4335</v>
      </c>
      <c r="AS22" s="13">
        <f t="shared" si="1"/>
        <v>27807</v>
      </c>
    </row>
    <row r="23" spans="1:45">
      <c r="A23" s="11" t="s">
        <v>54</v>
      </c>
      <c r="B23" s="16">
        <f t="shared" ref="B23:C23" si="18">SUM(B11:B22)</f>
        <v>286963</v>
      </c>
      <c r="C23" s="17">
        <f t="shared" si="18"/>
        <v>3248346</v>
      </c>
      <c r="D23" s="84">
        <f>B23/$B$9</f>
        <v>0.30264867555675551</v>
      </c>
      <c r="E23" s="84">
        <f>C23/$C$9</f>
        <v>0.29364216715210095</v>
      </c>
      <c r="F23" s="16">
        <f t="shared" ref="F23:G23" si="19">SUM(F11:F22)</f>
        <v>223591</v>
      </c>
      <c r="G23" s="17">
        <f t="shared" si="19"/>
        <v>2525596</v>
      </c>
      <c r="H23" s="84">
        <f>F23/$B$9</f>
        <v>0.23581270064924928</v>
      </c>
      <c r="I23" s="84">
        <f>G23/$C$9</f>
        <v>0.22830741638688659</v>
      </c>
      <c r="J23" s="16">
        <f t="shared" ref="J23:K23" si="20">SUM(J11:J22)</f>
        <v>279750</v>
      </c>
      <c r="K23" s="17">
        <f t="shared" si="20"/>
        <v>3183221</v>
      </c>
      <c r="L23" s="84">
        <f t="shared" si="2"/>
        <v>0.29552388276654723</v>
      </c>
      <c r="M23" s="84">
        <f t="shared" si="3"/>
        <v>0.29918612549474366</v>
      </c>
      <c r="N23" s="16">
        <f>SUM(N11:N22)</f>
        <v>153355</v>
      </c>
      <c r="O23" s="17">
        <f>SUM(O11:O22)</f>
        <v>1536535</v>
      </c>
      <c r="P23" s="84">
        <f t="shared" si="4"/>
        <v>0.25298090374006915</v>
      </c>
      <c r="Q23" s="84">
        <f>O23/$O$9</f>
        <v>0.22078704730166726</v>
      </c>
      <c r="R23" s="16">
        <f>SUM(R11:R22)</f>
        <v>106094</v>
      </c>
      <c r="S23" s="17">
        <f>SUM(S11:S22)</f>
        <v>1105938</v>
      </c>
      <c r="T23" s="95">
        <f t="shared" si="6"/>
        <v>0.23663631781095681</v>
      </c>
      <c r="U23" s="95">
        <f t="shared" si="7"/>
        <v>0.21784082428025275</v>
      </c>
      <c r="V23" s="16"/>
      <c r="W23" s="17"/>
      <c r="X23" s="95" t="e">
        <f t="shared" si="8"/>
        <v>#DIV/0!</v>
      </c>
      <c r="Y23" s="95" t="e">
        <f t="shared" si="9"/>
        <v>#DIV/0!</v>
      </c>
      <c r="Z23" s="16">
        <f>SUM(Z11:Z22)</f>
        <v>249439</v>
      </c>
      <c r="AA23" s="17">
        <f t="shared" ref="AA23" si="21">SUM(AA11:AA22)</f>
        <v>2524875</v>
      </c>
      <c r="AB23" s="84">
        <f t="shared" si="10"/>
        <v>0.26881259234273314</v>
      </c>
      <c r="AC23" s="84">
        <f t="shared" si="11"/>
        <v>0.25782744148890924</v>
      </c>
      <c r="AD23" s="16">
        <f>SUM(AD11:AD22)</f>
        <v>164046</v>
      </c>
      <c r="AE23" s="17">
        <f>SUM(AE11:AE22)</f>
        <v>1696568</v>
      </c>
      <c r="AF23" s="96">
        <f t="shared" si="12"/>
        <v>0.25855433004346906</v>
      </c>
      <c r="AG23" s="97">
        <f t="shared" si="13"/>
        <v>0.22784637068641928</v>
      </c>
      <c r="AH23" s="16">
        <f>SUM(AH11:AH22)+'Body Shop'!R10</f>
        <v>158135</v>
      </c>
      <c r="AI23" s="17">
        <f>SUM(AI11:AI22)+'Body Shop'!S10</f>
        <v>1785181</v>
      </c>
      <c r="AJ23" s="16">
        <f>SUM(AJ11:AJ22)+'Body Shop'!T10</f>
        <v>68108</v>
      </c>
      <c r="AK23" s="17">
        <f>SUM(AK11:AK22)+'Body Shop'!U10</f>
        <v>989100</v>
      </c>
      <c r="AL23" s="16">
        <f t="shared" ref="AL23:AM23" si="22">SUM(AL10:AL22)</f>
        <v>106844</v>
      </c>
      <c r="AM23" s="17">
        <f t="shared" si="22"/>
        <v>621255</v>
      </c>
      <c r="AN23" s="16">
        <f>SUM(AN11:AN22)</f>
        <v>56537</v>
      </c>
      <c r="AO23" s="17">
        <f t="shared" ref="AO23" si="23">SUM(AO11:AO22)</f>
        <v>483566</v>
      </c>
      <c r="AP23" s="16">
        <f>SUM(AP11:AP22)</f>
        <v>21950</v>
      </c>
      <c r="AQ23" s="17">
        <f t="shared" ref="AQ23" si="24">SUM(AQ11:AQ22)</f>
        <v>403225</v>
      </c>
      <c r="AR23" s="16">
        <f t="shared" si="0"/>
        <v>1874812</v>
      </c>
      <c r="AS23" s="17">
        <f t="shared" si="1"/>
        <v>20103406</v>
      </c>
    </row>
    <row r="24" spans="1:45">
      <c r="A24" s="4"/>
      <c r="B24" s="22"/>
      <c r="C24" s="23"/>
      <c r="D24" s="98"/>
      <c r="E24" s="98"/>
      <c r="F24" s="22"/>
      <c r="G24" s="23"/>
      <c r="H24" s="98"/>
      <c r="I24" s="98"/>
      <c r="J24" s="22"/>
      <c r="K24" s="23"/>
      <c r="L24" s="98"/>
      <c r="M24" s="98"/>
      <c r="N24" s="22"/>
      <c r="O24" s="23"/>
      <c r="P24" s="98"/>
      <c r="Q24" s="98"/>
      <c r="R24" s="22"/>
      <c r="S24" s="23"/>
      <c r="T24" s="4"/>
      <c r="U24" s="4"/>
      <c r="V24" s="22"/>
      <c r="W24" s="23"/>
      <c r="X24" s="4"/>
      <c r="Y24" s="4"/>
      <c r="Z24" s="22"/>
      <c r="AA24" s="23"/>
      <c r="AB24" s="98"/>
      <c r="AC24" s="98"/>
      <c r="AD24" s="22"/>
      <c r="AE24" s="23"/>
      <c r="AF24" s="22"/>
      <c r="AG24" s="23"/>
      <c r="AH24" s="22"/>
      <c r="AI24" s="23"/>
      <c r="AJ24" s="22"/>
      <c r="AK24" s="23"/>
      <c r="AL24" s="22"/>
      <c r="AM24" s="23"/>
      <c r="AN24" s="22"/>
      <c r="AO24" s="23"/>
      <c r="AP24" s="22"/>
      <c r="AQ24" s="23"/>
      <c r="AR24" s="22">
        <f t="shared" si="0"/>
        <v>0</v>
      </c>
      <c r="AS24" s="23">
        <f t="shared" si="1"/>
        <v>0</v>
      </c>
    </row>
    <row r="25" spans="1:45">
      <c r="A25" s="88" t="s">
        <v>13</v>
      </c>
      <c r="B25" s="47">
        <f>INDEX('[4]Page 2'!$B:$DP,MATCH("0200",'[4]Page 2'!$M:$M,0),13)</f>
        <v>46251</v>
      </c>
      <c r="C25" s="13">
        <f>INDEX('[4]Page 2'!$B:$DP,MATCH("0200",'[4]Page 2'!$M:$M,0),24)</f>
        <v>536100</v>
      </c>
      <c r="D25" s="89">
        <f>B25/$B$9</f>
        <v>4.8779124462650238E-2</v>
      </c>
      <c r="E25" s="89">
        <f t="shared" ref="E25:E33" si="25">C25/$C$9</f>
        <v>4.8462068329617997E-2</v>
      </c>
      <c r="F25" s="47">
        <f>INDEX('[5]Page 2'!$B:$DP,MATCH("0200",'[5]Page 2'!$M:$M,0),13)</f>
        <v>36500</v>
      </c>
      <c r="G25" s="13">
        <f>INDEX('[5]Page 2'!$B:$DP,MATCH("0200",'[5]Page 2'!$M:$M,0),24)</f>
        <v>401010</v>
      </c>
      <c r="H25" s="89">
        <f>F25/$B$9</f>
        <v>3.8495125357002738E-2</v>
      </c>
      <c r="I25" s="89">
        <f t="shared" ref="I25:I46" si="26">G25/$C$9</f>
        <v>3.6250277972132275E-2</v>
      </c>
      <c r="J25" s="47">
        <f>INDEX('[6]Page 2'!$B:$DP,MATCH("0200",'[6]Page 2'!$M:$M,0),13)</f>
        <v>52401</v>
      </c>
      <c r="K25" s="13">
        <f>INDEX('[6]Page 2'!$B:$DP,MATCH("0200",'[6]Page 2'!$M:$M,0),24)</f>
        <v>556778</v>
      </c>
      <c r="L25" s="89">
        <f t="shared" ref="L25:L66" si="27">J25/$J$9</f>
        <v>5.5355663917246972E-2</v>
      </c>
      <c r="M25" s="89">
        <f t="shared" ref="M25:M66" si="28">K25/$K$9</f>
        <v>5.2330721800563765E-2</v>
      </c>
      <c r="N25" s="47">
        <f>IFERROR(VLOOKUP("Compensation Owners",'[7]PAGE 2'!$B:$W,4,FALSE),0)</f>
        <v>30351</v>
      </c>
      <c r="O25" s="13">
        <f>IFERROR(VLOOKUP("Compensation Owners",'[7]PAGE 2'!$B:$W,5,FALSE),0)</f>
        <v>356251</v>
      </c>
      <c r="P25" s="89">
        <f t="shared" ref="P25:P66" si="29">N25/$N$9</f>
        <v>5.0068295193602029E-2</v>
      </c>
      <c r="Q25" s="89">
        <f t="shared" ref="Q25:Q66" si="30">O25/$O$9</f>
        <v>5.1190247139353329E-2</v>
      </c>
      <c r="R25" s="47">
        <f>IFERROR(VLOOKUP("Compensation Owners",'[8]PAGE 2'!$B:$W,4,FALSE),0)</f>
        <v>26000</v>
      </c>
      <c r="S25" s="13">
        <f>IFERROR(VLOOKUP("Compensation Owners",'[8]PAGE 2'!$B:$W,5,FALSE),0)</f>
        <v>296251</v>
      </c>
      <c r="T25" s="90">
        <f t="shared" ref="T25:T66" si="31">R25/$R$9</f>
        <v>5.7991444031565191E-2</v>
      </c>
      <c r="U25" s="90">
        <f t="shared" ref="U25:U66" si="32">S25/$S$9</f>
        <v>5.835368893540973E-2</v>
      </c>
      <c r="V25" s="47"/>
      <c r="W25" s="13"/>
      <c r="X25" s="90" t="e">
        <f t="shared" ref="X25:X66" si="33">V25/$V$9</f>
        <v>#DIV/0!</v>
      </c>
      <c r="Y25" s="90" t="e">
        <f t="shared" ref="Y25:Y66" si="34">W25/$W$9</f>
        <v>#DIV/0!</v>
      </c>
      <c r="Z25" s="47">
        <f>IFERROR(VLOOKUP("Owners Salaries",'[9]PAGE 2'!$B:$S,4,FALSE),0)</f>
        <v>49851</v>
      </c>
      <c r="AA25" s="13">
        <f>IFERROR(VLOOKUP("Owners Salaries",'[9]PAGE 2'!$B:$S,7,FALSE),0)</f>
        <v>483151</v>
      </c>
      <c r="AB25" s="89">
        <f t="shared" ref="AB25:AB66" si="35">Z25/$Z$9</f>
        <v>5.3722860261938142E-2</v>
      </c>
      <c r="AC25" s="89">
        <f t="shared" ref="AC25:AC66" si="36">AA25/$AA$9</f>
        <v>4.9336931999725921E-2</v>
      </c>
      <c r="AD25" s="47">
        <f>'New Vehicle'!P37+'Used Vehicle'!P44+Service!P47+'Parts &amp; Accessories'!P50</f>
        <v>27050</v>
      </c>
      <c r="AE25" s="13">
        <f>'New Vehicle'!Q37+'Used Vehicle'!Q44+Service!Q47+'Parts &amp; Accessories'!Q50</f>
        <v>330301</v>
      </c>
      <c r="AF25" s="91">
        <f t="shared" ref="AF25:AF66" si="37">AD25/$AD$9</f>
        <v>4.2633740704898858E-2</v>
      </c>
      <c r="AG25" s="92">
        <f t="shared" ref="AG25:AG66" si="38">AE25/$AE$9</f>
        <v>4.4358896362594942E-2</v>
      </c>
      <c r="AH25" s="47">
        <f>IFERROR('New Vehicle'!R37+'Used Vehicle'!R44+Service!R47+'Parts &amp; Accessories'!R50,0)+'Body Shop'!R14</f>
        <v>24951</v>
      </c>
      <c r="AI25" s="13">
        <f>'New Vehicle'!S37+'Used Vehicle'!S44+Service!S47+'Parts &amp; Accessories'!S50+'Body Shop'!S14</f>
        <v>327600</v>
      </c>
      <c r="AJ25" s="47">
        <f>IFERROR('Used Vehicle'!T44+Service!T47+'Parts &amp; Accessories'!T50+'Body Shop'!T14,0)</f>
        <v>12200</v>
      </c>
      <c r="AK25" s="13">
        <f>IFERROR('Used Vehicle'!U44+Service!U47+'Parts &amp; Accessories'!U50+'Body Shop'!U14,0)</f>
        <v>178200</v>
      </c>
      <c r="AL25" s="47">
        <f>+INDEX('[10]PAGE 2'!$1:$1048576,MATCH("Salaries - Owners/General Managers",'[10]PAGE 2'!$B:$B,0),8)</f>
        <v>0</v>
      </c>
      <c r="AM25" s="13">
        <f>+INDEX('[10]PAGE 2'!$1:$1048576,MATCH("Salaries - Owners/General Managers",'[10]PAGE 2'!$B:$B,0),12)</f>
        <v>30550</v>
      </c>
      <c r="AN25" s="47">
        <f>IFERROR(VLOOKUP("Owners Salaries",'[11]PAGE 2'!$B:$S,4,FALSE),0)</f>
        <v>0</v>
      </c>
      <c r="AO25" s="13">
        <f>IFERROR(VLOOKUP("Owners Salaries",'[11]PAGE 2'!$B:$S,7,FALSE),0)</f>
        <v>0</v>
      </c>
      <c r="AP25" s="47">
        <f>IFERROR(VLOOKUP("Owners Salaries",'[12]PAGE 2'!$B:$S,4,FALSE),0)</f>
        <v>20000</v>
      </c>
      <c r="AQ25" s="13">
        <f>IFERROR(VLOOKUP("Owners Salaries",'[12]PAGE 2'!$B:$S,7,FALSE),0)</f>
        <v>82251</v>
      </c>
      <c r="AR25" s="47">
        <f t="shared" si="0"/>
        <v>325555</v>
      </c>
      <c r="AS25" s="13">
        <f t="shared" si="1"/>
        <v>3578443</v>
      </c>
    </row>
    <row r="26" spans="1:45">
      <c r="A26" s="88" t="s">
        <v>14</v>
      </c>
      <c r="B26" s="47">
        <f>INDEX('[4]Page 2'!$B:$DP,MATCH("0210",'[4]Page 2'!$M:$M,0),13)</f>
        <v>197750</v>
      </c>
      <c r="C26" s="13">
        <f>INDEX('[4]Page 2'!$B:$DP,MATCH("0210",'[4]Page 2'!$M:$M,0),24)</f>
        <v>2208493</v>
      </c>
      <c r="D26" s="89">
        <f t="shared" ref="D26:D66" si="39">B26/$B$9</f>
        <v>0.20855920655746005</v>
      </c>
      <c r="E26" s="89">
        <f t="shared" si="25"/>
        <v>0.19964211652953376</v>
      </c>
      <c r="F26" s="47">
        <f>INDEX('[5]Page 2'!$B:$DP,MATCH("0210",'[5]Page 2'!$M:$M,0),13)</f>
        <v>122643</v>
      </c>
      <c r="G26" s="13">
        <f>INDEX('[5]Page 2'!$B:$DP,MATCH("0210",'[5]Page 2'!$M:$M,0),24)</f>
        <v>1264431</v>
      </c>
      <c r="H26" s="89">
        <f t="shared" ref="H26:H46" si="40">F26/$B$9</f>
        <v>0.12934678518243525</v>
      </c>
      <c r="I26" s="89">
        <f t="shared" si="26"/>
        <v>0.11430132721523451</v>
      </c>
      <c r="J26" s="47">
        <f>INDEX('[6]Page 2'!$B:$DP,MATCH("0210",'[6]Page 2'!$M:$M,0),13)</f>
        <v>185322</v>
      </c>
      <c r="K26" s="13">
        <f>INDEX('[6]Page 2'!$B:$DP,MATCH("0210",'[6]Page 2'!$M:$M,0),24)</f>
        <v>1904184</v>
      </c>
      <c r="L26" s="89">
        <f t="shared" si="27"/>
        <v>0.19577149956054357</v>
      </c>
      <c r="M26" s="89">
        <f t="shared" si="28"/>
        <v>0.17897137308062586</v>
      </c>
      <c r="N26" s="47">
        <f>IFERROR(VLOOKUP("Compensation Supervisors",'[7]PAGE 2'!$B:$W,4,FALSE),0)</f>
        <v>51670</v>
      </c>
      <c r="O26" s="13">
        <f>IFERROR(VLOOKUP("Compensation Supervisors",'[7]PAGE 2'!$B:$W,5,FALSE),0)</f>
        <v>572767</v>
      </c>
      <c r="P26" s="89">
        <f t="shared" si="29"/>
        <v>8.5237020613930903E-2</v>
      </c>
      <c r="Q26" s="89">
        <f t="shared" si="30"/>
        <v>8.2301759948087125E-2</v>
      </c>
      <c r="R26" s="47">
        <f>IFERROR(VLOOKUP("Compensation Supervisors",'[8]PAGE 2'!$B:$W,4,FALSE),0)</f>
        <v>64826</v>
      </c>
      <c r="S26" s="13">
        <f>IFERROR(VLOOKUP("Compensation Supervisors",'[8]PAGE 2'!$B:$W,5,FALSE),0)</f>
        <v>648419</v>
      </c>
      <c r="T26" s="90">
        <f t="shared" si="31"/>
        <v>0.1445905134919325</v>
      </c>
      <c r="U26" s="90">
        <f t="shared" si="32"/>
        <v>0.12772156254598108</v>
      </c>
      <c r="V26" s="47"/>
      <c r="W26" s="13"/>
      <c r="X26" s="90" t="e">
        <f t="shared" si="33"/>
        <v>#DIV/0!</v>
      </c>
      <c r="Y26" s="90" t="e">
        <f t="shared" si="34"/>
        <v>#DIV/0!</v>
      </c>
      <c r="Z26" s="47">
        <f>IFERROR(VLOOKUP("Supervision Compensation",'[9]PAGE 2'!$B:$S,4,FALSE)+VLOOKUP("Supervision Compensation - Scion only",'[9]PAGE 2'!$B:$S,4,FALSE),0)</f>
        <v>109645</v>
      </c>
      <c r="AA26" s="13">
        <f>IFERROR(VLOOKUP("Supervision Compensation",'[9]PAGE 2'!$B:$S,7,FALSE)+VLOOKUP("Supervision Compensation - Scion only",'[9]PAGE 2'!$B:$S,7,FALSE),0)</f>
        <v>1229742</v>
      </c>
      <c r="AB26" s="89">
        <f t="shared" si="35"/>
        <v>0.11816097998877069</v>
      </c>
      <c r="AC26" s="89">
        <f t="shared" si="36"/>
        <v>0.12557502195215772</v>
      </c>
      <c r="AD26" s="47">
        <f>'New Vehicle'!P38+'Used Vehicle'!P45+Service!P48+'Parts &amp; Accessories'!P51</f>
        <v>90974</v>
      </c>
      <c r="AE26" s="13">
        <f>'New Vehicle'!Q38+'Used Vehicle'!Q45+Service!Q48+'Parts &amp; Accessories'!Q51</f>
        <v>978684</v>
      </c>
      <c r="AF26" s="91">
        <f t="shared" si="37"/>
        <v>0.14338491411783619</v>
      </c>
      <c r="AG26" s="92">
        <f t="shared" si="38"/>
        <v>0.13143569691805312</v>
      </c>
      <c r="AH26" s="47">
        <f>'New Vehicle'!R38+'Used Vehicle'!R45+Service!R48+'Parts &amp; Accessories'!R51</f>
        <v>87684</v>
      </c>
      <c r="AI26" s="13">
        <f>'New Vehicle'!S38+'Used Vehicle'!S45+Service!S48+'Parts &amp; Accessories'!S51</f>
        <v>888890</v>
      </c>
      <c r="AJ26" s="47">
        <f>IFERROR('Used Vehicle'!T45+Service!T48+'Parts &amp; Accessories'!T51,0)</f>
        <v>18572</v>
      </c>
      <c r="AK26" s="13">
        <f>IFERROR('Used Vehicle'!U45+Service!U48+'Parts &amp; Accessories'!U51,0)</f>
        <v>305338</v>
      </c>
      <c r="AL26" s="47">
        <f>+INDEX('[10]PAGE 2'!$1:$1048576,MATCH("Salaries - Supervision",'[10]PAGE 2'!$B:$B,0),8)</f>
        <v>51011</v>
      </c>
      <c r="AM26" s="13">
        <f>+INDEX('[10]PAGE 2'!$1:$1048576,MATCH("Salaries - Supervision",'[10]PAGE 2'!$B:$B,0),12)</f>
        <v>319104</v>
      </c>
      <c r="AN26" s="47">
        <f>IFERROR(VLOOKUP("Supervision Compensation",'[11]PAGE 2'!$B:$S,4,FALSE)+VLOOKUP("Supervision Compensation - Scion only",'[11]PAGE 2'!$B:$S,4,FALSE),0)</f>
        <v>68000</v>
      </c>
      <c r="AO26" s="13">
        <f>IFERROR(VLOOKUP("Supervision Compensation",'[11]PAGE 2'!$B:$S,7,FALSE)+VLOOKUP("Supervision Compensation - Scion only",'[11]PAGE 2'!$B:$S,7,FALSE),0)</f>
        <v>404833</v>
      </c>
      <c r="AP26" s="47">
        <f>IFERROR(VLOOKUP("Supervision Compensation",'[12]PAGE 2'!$B:$S,4,FALSE)+VLOOKUP("Supervision Compensation - Scion only",'[12]PAGE 2'!$B:$S,4,FALSE),0)</f>
        <v>71604</v>
      </c>
      <c r="AQ26" s="13">
        <f>IFERROR(VLOOKUP("Supervision Compensation",'[12]PAGE 2'!$B:$S,7,FALSE)+VLOOKUP("Supervision Compensation - Scion only",'[12]PAGE 2'!$B:$S,7,FALSE),0)</f>
        <v>198530</v>
      </c>
      <c r="AR26" s="47">
        <f t="shared" si="0"/>
        <v>1119701</v>
      </c>
      <c r="AS26" s="13">
        <f t="shared" si="1"/>
        <v>10923415</v>
      </c>
    </row>
    <row r="27" spans="1:45">
      <c r="A27" s="88" t="s">
        <v>15</v>
      </c>
      <c r="B27" s="47">
        <f>INDEX('[4]Page 2'!$B:$DP,MATCH("0220",'[4]Page 2'!$M:$M,0),13)</f>
        <v>22434</v>
      </c>
      <c r="C27" s="13">
        <f>INDEX('[4]Page 2'!$B:$DP,MATCH("0220",'[4]Page 2'!$M:$M,0),24)</f>
        <v>206799</v>
      </c>
      <c r="D27" s="89">
        <f t="shared" si="39"/>
        <v>2.3660264171479435E-2</v>
      </c>
      <c r="E27" s="89">
        <f t="shared" si="25"/>
        <v>1.8694100482179954E-2</v>
      </c>
      <c r="F27" s="47">
        <f>INDEX('[5]Page 2'!$B:$DP,MATCH("0220",'[5]Page 2'!$M:$M,0),13)</f>
        <v>35995</v>
      </c>
      <c r="G27" s="13">
        <f>INDEX('[5]Page 2'!$B:$DP,MATCH("0220",'[5]Page 2'!$M:$M,0),24)</f>
        <v>337497</v>
      </c>
      <c r="H27" s="89">
        <f t="shared" si="40"/>
        <v>3.7962521567816807E-2</v>
      </c>
      <c r="I27" s="89">
        <f t="shared" si="26"/>
        <v>3.0508865277077198E-2</v>
      </c>
      <c r="J27" s="47">
        <f>INDEX('[6]Page 2'!$B:$DP,MATCH("0220",'[6]Page 2'!$M:$M,0),13)</f>
        <v>21149</v>
      </c>
      <c r="K27" s="13">
        <f>INDEX('[6]Page 2'!$B:$DP,MATCH("0220",'[6]Page 2'!$M:$M,0),24)</f>
        <v>264346</v>
      </c>
      <c r="L27" s="89">
        <f t="shared" si="27"/>
        <v>2.234149989858698E-2</v>
      </c>
      <c r="M27" s="89">
        <f t="shared" si="28"/>
        <v>2.4845480577702115E-2</v>
      </c>
      <c r="N27" s="47">
        <f>IFERROR(VLOOKUP("Compensation Clerical",'[7]PAGE 2'!$B:$W,4,FALSE),0)</f>
        <v>21503</v>
      </c>
      <c r="O27" s="13">
        <f>IFERROR(VLOOKUP("Compensation Clerical",'[7]PAGE 2'!$B:$W,5,FALSE),0)</f>
        <v>226219</v>
      </c>
      <c r="P27" s="89">
        <f t="shared" si="29"/>
        <v>3.547225961411566E-2</v>
      </c>
      <c r="Q27" s="89">
        <f t="shared" si="30"/>
        <v>3.250575161225476E-2</v>
      </c>
      <c r="R27" s="47">
        <f>IFERROR(VLOOKUP("Compensation Clerical",'[8]PAGE 2'!$B:$W,4,FALSE),0)</f>
        <v>18001</v>
      </c>
      <c r="S27" s="13">
        <f>IFERROR(VLOOKUP("Compensation Clerical",'[8]PAGE 2'!$B:$W,5,FALSE),0)</f>
        <v>160303</v>
      </c>
      <c r="T27" s="90">
        <f t="shared" si="31"/>
        <v>4.0150153231238654E-2</v>
      </c>
      <c r="U27" s="90">
        <f t="shared" si="32"/>
        <v>3.1575493069771865E-2</v>
      </c>
      <c r="V27" s="47"/>
      <c r="W27" s="13"/>
      <c r="X27" s="90" t="e">
        <f t="shared" si="33"/>
        <v>#DIV/0!</v>
      </c>
      <c r="Y27" s="90" t="e">
        <f t="shared" si="34"/>
        <v>#DIV/0!</v>
      </c>
      <c r="Z27" s="47">
        <f>IFERROR(VLOOKUP("Clerical Salaries",'[9]PAGE 2'!$B:$S,4,FALSE),0)</f>
        <v>0</v>
      </c>
      <c r="AA27" s="13">
        <f>IFERROR(VLOOKUP("Clerical Salaries",'[9]PAGE 2'!$B:$S,7,FALSE),0)</f>
        <v>49630</v>
      </c>
      <c r="AB27" s="89">
        <f t="shared" si="35"/>
        <v>0</v>
      </c>
      <c r="AC27" s="89">
        <f t="shared" si="36"/>
        <v>5.0679641253901942E-3</v>
      </c>
      <c r="AD27" s="47">
        <f>'New Vehicle'!P39+'Used Vehicle'!P46+Service!P49+'Parts &amp; Accessories'!P52</f>
        <v>18571</v>
      </c>
      <c r="AE27" s="13">
        <f>'New Vehicle'!Q39+'Used Vehicle'!Q46+Service!Q49+'Parts &amp; Accessories'!Q52</f>
        <v>208306</v>
      </c>
      <c r="AF27" s="91">
        <f t="shared" si="37"/>
        <v>2.9269914921651635E-2</v>
      </c>
      <c r="AG27" s="92">
        <f t="shared" si="38"/>
        <v>2.7975162853599297E-2</v>
      </c>
      <c r="AH27" s="47">
        <f>'New Vehicle'!R39+'Used Vehicle'!R46+Service!R49+'Parts &amp; Accessories'!R52</f>
        <v>24304.442255745751</v>
      </c>
      <c r="AI27" s="13">
        <f>'New Vehicle'!S39+'Used Vehicle'!S46+Service!S49+'Parts &amp; Accessories'!S52</f>
        <v>219503</v>
      </c>
      <c r="AJ27" s="47">
        <f>IFERROR('Used Vehicle'!T46+Service!T49+'Parts &amp; Accessories'!T52,0)</f>
        <v>10894.15098322843</v>
      </c>
      <c r="AK27" s="13">
        <f>IFERROR('Used Vehicle'!U46+Service!U49+'Parts &amp; Accessories'!U52,0)</f>
        <v>122282</v>
      </c>
      <c r="AL27" s="47">
        <f>+INDEX('[10]PAGE 2'!$1:$1048576,MATCH("Salaries - clerical",'[10]PAGE 2'!$B:$B,0),8)</f>
        <v>24317</v>
      </c>
      <c r="AM27" s="13">
        <f>+INDEX('[10]PAGE 2'!$1:$1048576,MATCH("Salaries - clerical",'[10]PAGE 2'!$B:$B,0),12)</f>
        <v>132717</v>
      </c>
      <c r="AN27" s="47">
        <f>IFERROR(VLOOKUP("Clerical Salaries",'[11]PAGE 2'!$B:$S,4,FALSE),0)</f>
        <v>0</v>
      </c>
      <c r="AO27" s="13">
        <f>IFERROR(VLOOKUP("Clerical Salaries",'[11]PAGE 2'!$B:$S,7,FALSE),0)</f>
        <v>0</v>
      </c>
      <c r="AP27" s="47">
        <f>IFERROR(VLOOKUP("Clerical Salaries",'[12]PAGE 2'!$B:$S,4,FALSE),0)</f>
        <v>8248</v>
      </c>
      <c r="AQ27" s="13">
        <f>IFERROR(VLOOKUP("Clerical Salaries",'[12]PAGE 2'!$B:$S,7,FALSE),0)</f>
        <v>22260</v>
      </c>
      <c r="AR27" s="47">
        <f t="shared" si="0"/>
        <v>205416.59323897419</v>
      </c>
      <c r="AS27" s="13">
        <f t="shared" si="1"/>
        <v>1949862</v>
      </c>
    </row>
    <row r="28" spans="1:45">
      <c r="A28" s="88" t="s">
        <v>16</v>
      </c>
      <c r="B28" s="47">
        <f>INDEX('[4]Page 2'!$B:$DP,MATCH("0230",'[4]Page 2'!$M:$M,0),13)</f>
        <v>25146</v>
      </c>
      <c r="C28" s="13">
        <f>INDEX('[4]Page 2'!$B:$DP,MATCH("0230",'[4]Page 2'!$M:$M,0),24)</f>
        <v>208844</v>
      </c>
      <c r="D28" s="89">
        <f t="shared" si="39"/>
        <v>2.6520504718553176E-2</v>
      </c>
      <c r="E28" s="89">
        <f t="shared" si="25"/>
        <v>1.8878963249824177E-2</v>
      </c>
      <c r="F28" s="47">
        <f>INDEX('[5]Page 2'!$B:$DP,MATCH("0230",'[5]Page 2'!$M:$M,0),13)</f>
        <v>58270</v>
      </c>
      <c r="G28" s="13">
        <f>INDEX('[5]Page 2'!$B:$DP,MATCH("0230",'[5]Page 2'!$M:$M,0),24)</f>
        <v>679504</v>
      </c>
      <c r="H28" s="89">
        <f t="shared" si="40"/>
        <v>6.1455094645275328E-2</v>
      </c>
      <c r="I28" s="89">
        <f t="shared" si="26"/>
        <v>6.1425423014826987E-2</v>
      </c>
      <c r="J28" s="47">
        <f>INDEX('[6]Page 2'!$B:$DP,MATCH("0230",'[6]Page 2'!$M:$M,0),13)</f>
        <v>78951</v>
      </c>
      <c r="K28" s="13">
        <f>INDEX('[6]Page 2'!$B:$DP,MATCH("0230",'[6]Page 2'!$M:$M,0),24)</f>
        <v>567648</v>
      </c>
      <c r="L28" s="89">
        <f t="shared" si="27"/>
        <v>8.3402702657021155E-2</v>
      </c>
      <c r="M28" s="89">
        <f t="shared" si="28"/>
        <v>5.3352376653974146E-2</v>
      </c>
      <c r="N28" s="47">
        <f>IFERROR(VLOOKUP("Other Salaries &amp; Wages",'[7]PAGE 2'!$B:$W,4,FALSE),0)</f>
        <v>72867</v>
      </c>
      <c r="O28" s="13">
        <f>IFERROR(VLOOKUP("Other Salaries &amp; Wages",'[7]PAGE 2'!$B:$W,5,FALSE),0)</f>
        <v>891501</v>
      </c>
      <c r="P28" s="89">
        <f t="shared" si="29"/>
        <v>0.12020448966664027</v>
      </c>
      <c r="Q28" s="89">
        <f t="shared" si="30"/>
        <v>0.12810113238974946</v>
      </c>
      <c r="R28" s="47">
        <f>IFERROR(VLOOKUP("Other Salaries &amp; Wages",'[8]PAGE 2'!$B:$W,4,FALSE),0)</f>
        <v>38054</v>
      </c>
      <c r="S28" s="13">
        <f>IFERROR(VLOOKUP("Other Salaries &amp; Wages",'[8]PAGE 2'!$B:$W,5,FALSE),0)</f>
        <v>427579</v>
      </c>
      <c r="T28" s="90">
        <f t="shared" si="31"/>
        <v>8.4877169660660834E-2</v>
      </c>
      <c r="U28" s="90">
        <f t="shared" si="32"/>
        <v>8.4221865787165465E-2</v>
      </c>
      <c r="V28" s="47"/>
      <c r="W28" s="13"/>
      <c r="X28" s="90" t="e">
        <f t="shared" si="33"/>
        <v>#DIV/0!</v>
      </c>
      <c r="Y28" s="90" t="e">
        <f t="shared" si="34"/>
        <v>#DIV/0!</v>
      </c>
      <c r="Z28" s="47">
        <f>IFERROR(VLOOKUP("Salaries &amp; Wages",'[9]PAGE 2'!$B:$S,4,FALSE)+VLOOKUP("Salaries &amp; Wages - Admin. &amp; General",'[9]PAGE 2'!$B:$S,4,FALSE),0)</f>
        <v>81968</v>
      </c>
      <c r="AA28" s="13">
        <f>IFERROR(VLOOKUP("Salaries &amp; Wages",'[9]PAGE 2'!$B:$S,7,FALSE)+VLOOKUP("Salaries &amp; Wages - Admin. &amp; General",'[9]PAGE 2'!$B:$S,7,FALSE),0)</f>
        <v>707316</v>
      </c>
      <c r="AB28" s="89">
        <f t="shared" si="35"/>
        <v>8.8334344545757268E-2</v>
      </c>
      <c r="AC28" s="89">
        <f t="shared" si="36"/>
        <v>7.2227525958381833E-2</v>
      </c>
      <c r="AD28" s="47">
        <f>'New Vehicle'!P40+'Used Vehicle'!P47+Service!P50+'Parts &amp; Accessories'!P53</f>
        <v>48927</v>
      </c>
      <c r="AE28" s="13">
        <f>'New Vehicle'!Q40+'Used Vehicle'!Q47+Service!Q50+'Parts &amp; Accessories'!Q53</f>
        <v>475344</v>
      </c>
      <c r="AF28" s="91">
        <f t="shared" si="37"/>
        <v>7.7114271033958834E-2</v>
      </c>
      <c r="AG28" s="92">
        <f t="shared" si="38"/>
        <v>6.3837939432763835E-2</v>
      </c>
      <c r="AH28" s="47">
        <f>'New Vehicle'!R40+'Used Vehicle'!R47+Service!R50+'Parts &amp; Accessories'!R53</f>
        <v>50577</v>
      </c>
      <c r="AI28" s="13">
        <f>'New Vehicle'!S40+'Used Vehicle'!S47+Service!S50+'Parts &amp; Accessories'!S53</f>
        <v>555707</v>
      </c>
      <c r="AJ28" s="47">
        <f>IFERROR('Used Vehicle'!T47+Service!T50+'Parts &amp; Accessories'!T53,0)</f>
        <v>4315</v>
      </c>
      <c r="AK28" s="13">
        <f>IFERROR('Used Vehicle'!U47+Service!U50+'Parts &amp; Accessories'!U53,0)</f>
        <v>66753</v>
      </c>
      <c r="AL28" s="47">
        <f>+INDEX('[10]PAGE 2'!$1:$1048576,MATCH("Other salaries and wages",'[10]PAGE 2'!$B:$B,0),8)</f>
        <v>24315</v>
      </c>
      <c r="AM28" s="13">
        <f>+INDEX('[10]PAGE 2'!$1:$1048576,MATCH("Other salaries and wages",'[10]PAGE 2'!$B:$B,0),12)</f>
        <v>139363</v>
      </c>
      <c r="AN28" s="47">
        <f>IFERROR(VLOOKUP("Salaries &amp; Wages",'[11]PAGE 2'!$B:$S,4,FALSE)+VLOOKUP("Salaries &amp; Wages - Admin. &amp; General",'[11]PAGE 2'!$B:$S,4,FALSE),0)</f>
        <v>17528</v>
      </c>
      <c r="AO28" s="13">
        <f>IFERROR(VLOOKUP("Salaries &amp; Wages",'[11]PAGE 2'!$B:$S,7,FALSE)+VLOOKUP("Salaries &amp; Wages - Admin. &amp; General",'[11]PAGE 2'!$B:$S,7,FALSE),0)</f>
        <v>96050</v>
      </c>
      <c r="AP28" s="47">
        <f>IFERROR(VLOOKUP("Salaries &amp; Wages",'[12]PAGE 2'!$B:$S,4,FALSE)+VLOOKUP("Salaries &amp; Wages - Admin. &amp; General",'[12]PAGE 2'!$B:$S,4,FALSE),0)</f>
        <v>58697</v>
      </c>
      <c r="AQ28" s="13">
        <f>IFERROR(VLOOKUP("Salaries &amp; Wages",'[12]PAGE 2'!$B:$S,7,FALSE)+VLOOKUP("Salaries &amp; Wages - Admin. &amp; General",'[12]PAGE 2'!$B:$S,7,FALSE),0)</f>
        <v>166489</v>
      </c>
      <c r="AR28" s="47">
        <f t="shared" si="0"/>
        <v>559615</v>
      </c>
      <c r="AS28" s="13">
        <f t="shared" si="1"/>
        <v>4982098</v>
      </c>
    </row>
    <row r="29" spans="1:45">
      <c r="A29" s="88" t="s">
        <v>17</v>
      </c>
      <c r="B29" s="47">
        <f>INDEX('[4]Page 2'!$B:$DP,MATCH("0240",'[4]Page 2'!$M:$M,0),13)</f>
        <v>1219</v>
      </c>
      <c r="C29" s="13">
        <f>INDEX('[4]Page 2'!$B:$DP,MATCH("0240",'[4]Page 2'!$M:$M,0),24)</f>
        <v>23996</v>
      </c>
      <c r="D29" s="89">
        <f t="shared" si="39"/>
        <v>1.285631720827023E-3</v>
      </c>
      <c r="E29" s="89">
        <f t="shared" si="25"/>
        <v>2.1691770036140895E-3</v>
      </c>
      <c r="F29" s="47">
        <f>INDEX('[5]Page 2'!$B:$DP,MATCH("0240",'[5]Page 2'!$M:$M,0),13)</f>
        <v>6630</v>
      </c>
      <c r="G29" s="13">
        <f>INDEX('[5]Page 2'!$B:$DP,MATCH("0240",'[5]Page 2'!$M:$M,0),24)</f>
        <v>19753</v>
      </c>
      <c r="H29" s="89">
        <f t="shared" si="40"/>
        <v>6.9924022223815932E-3</v>
      </c>
      <c r="I29" s="89">
        <f t="shared" si="26"/>
        <v>1.7856206597928453E-3</v>
      </c>
      <c r="J29" s="47">
        <f>INDEX('[6]Page 2'!$B:$DP,MATCH("0240",'[6]Page 2'!$M:$M,0),13)</f>
        <v>10613</v>
      </c>
      <c r="K29" s="13">
        <f>INDEX('[6]Page 2'!$B:$DP,MATCH("0240",'[6]Page 2'!$M:$M,0),24)</f>
        <v>45198</v>
      </c>
      <c r="L29" s="89">
        <f t="shared" si="27"/>
        <v>1.1211420796430262E-2</v>
      </c>
      <c r="M29" s="89">
        <f t="shared" si="28"/>
        <v>4.2480916342633526E-3</v>
      </c>
      <c r="N29" s="47">
        <f>IFERROR(VLOOKUP("Absentee Wages - Productive",'[7]PAGE 2'!$B:$W,4,FALSE),0)</f>
        <v>-543</v>
      </c>
      <c r="O29" s="13">
        <f>IFERROR(VLOOKUP("Absentee Wages - Productive",'[7]PAGE 2'!$B:$W,5,FALSE),0)</f>
        <v>40157</v>
      </c>
      <c r="P29" s="89">
        <f t="shared" si="29"/>
        <v>-8.9575580014252909E-4</v>
      </c>
      <c r="Q29" s="89">
        <f t="shared" si="30"/>
        <v>5.770220306399172E-3</v>
      </c>
      <c r="R29" s="47">
        <f>IFERROR(VLOOKUP("Absentee Wages - Productive",'[8]PAGE 2'!$B:$W,4,FALSE),0)</f>
        <v>-1818</v>
      </c>
      <c r="S29" s="13">
        <f>IFERROR(VLOOKUP("Absentee Wages - Productive",'[8]PAGE 2'!$B:$W,5,FALSE),0)</f>
        <v>18182</v>
      </c>
      <c r="T29" s="90">
        <f t="shared" si="31"/>
        <v>-4.0549402018994424E-3</v>
      </c>
      <c r="U29" s="90">
        <f t="shared" si="32"/>
        <v>3.5813778593949712E-3</v>
      </c>
      <c r="V29" s="47"/>
      <c r="W29" s="13"/>
      <c r="X29" s="90" t="e">
        <f t="shared" si="33"/>
        <v>#DIV/0!</v>
      </c>
      <c r="Y29" s="90" t="e">
        <f t="shared" si="34"/>
        <v>#DIV/0!</v>
      </c>
      <c r="Z29" s="47">
        <f>IFERROR(VLOOKUP("Vacation &amp; Time Off Pay",'[9]PAGE 2'!$B:$S,4,FALSE),0)</f>
        <v>6059</v>
      </c>
      <c r="AA29" s="13">
        <f>IFERROR(VLOOKUP("Vacation &amp; Time Off Pay",'[9]PAGE 2'!$B:$S,7,FALSE),0)</f>
        <v>58559</v>
      </c>
      <c r="AB29" s="89">
        <f t="shared" si="35"/>
        <v>6.5295943978472487E-3</v>
      </c>
      <c r="AC29" s="89">
        <f t="shared" si="36"/>
        <v>5.9797483622551755E-3</v>
      </c>
      <c r="AD29" s="47">
        <f>'New Vehicle'!P41+'Used Vehicle'!P48+Service!P51+'Parts &amp; Accessories'!P54</f>
        <v>-1558</v>
      </c>
      <c r="AE29" s="13">
        <f>'New Vehicle'!Q41+'Used Vehicle'!Q48+Service!Q51+'Parts &amp; Accessories'!Q54</f>
        <v>25992</v>
      </c>
      <c r="AF29" s="91">
        <f t="shared" si="37"/>
        <v>-2.4555773759050805E-3</v>
      </c>
      <c r="AG29" s="92">
        <f t="shared" si="38"/>
        <v>3.4906840556237122E-3</v>
      </c>
      <c r="AH29" s="47">
        <f>'New Vehicle'!R41+'Used Vehicle'!R48+Service!R51+'Parts &amp; Accessories'!R54</f>
        <v>9105</v>
      </c>
      <c r="AI29" s="13">
        <f>'New Vehicle'!S41+'Used Vehicle'!S48+Service!S51+'Parts &amp; Accessories'!S54</f>
        <v>35630</v>
      </c>
      <c r="AJ29" s="47">
        <f>SUM('Used Vehicle'!T48+Service!T51+'Parts &amp; Accessories'!T54,0)</f>
        <v>240</v>
      </c>
      <c r="AK29" s="13">
        <f>IFERROR('Used Vehicle'!U48+Service!U51+'Parts &amp; Accessories'!U54,0)</f>
        <v>862</v>
      </c>
      <c r="AL29" s="47">
        <f>+INDEX('[10]PAGE 2'!$1:$1048576,MATCH("Leave - vacation, sick &amp; holiday compensation",'[10]PAGE 2'!$B:$B,0),8)</f>
        <v>2206</v>
      </c>
      <c r="AM29" s="13">
        <f>+INDEX('[10]PAGE 2'!$1:$1048576,MATCH("Leave - vacation, sick &amp; holiday compensation",'[10]PAGE 2'!$B:$B,0),12)</f>
        <v>21819</v>
      </c>
      <c r="AN29" s="47">
        <f>IFERROR(VLOOKUP("Vacation &amp; Time Off Pay",'[11]PAGE 2'!$B:$S,4,FALSE),0)</f>
        <v>0</v>
      </c>
      <c r="AO29" s="13">
        <f>IFERROR(VLOOKUP("Vacation &amp; Time Off Pay",'[11]PAGE 2'!$B:$S,7,FALSE),0)</f>
        <v>0</v>
      </c>
      <c r="AP29" s="47">
        <f>IFERROR(VLOOKUP("Vacation &amp; Time Off Pay",'[12]PAGE 2'!$B:$S,4,FALSE),0)</f>
        <v>5549</v>
      </c>
      <c r="AQ29" s="13">
        <f>IFERROR(VLOOKUP("Vacation &amp; Time Off Pay",'[12]PAGE 2'!$B:$S,7,FALSE),0)</f>
        <v>7706</v>
      </c>
      <c r="AR29" s="47">
        <f t="shared" si="0"/>
        <v>37702</v>
      </c>
      <c r="AS29" s="13">
        <f t="shared" si="1"/>
        <v>297854</v>
      </c>
    </row>
    <row r="30" spans="1:45">
      <c r="A30" s="88" t="s">
        <v>18</v>
      </c>
      <c r="B30" s="47">
        <f>INDEX('[4]Page 2'!$B:$DP,MATCH("0250",'[4]Page 2'!$M:$M,0),13)</f>
        <v>22952</v>
      </c>
      <c r="C30" s="13">
        <f>INDEX('[4]Page 2'!$B:$DP,MATCH("0250",'[4]Page 2'!$M:$M,0),24)</f>
        <v>458987</v>
      </c>
      <c r="D30" s="89">
        <f t="shared" si="39"/>
        <v>2.4206578553258268E-2</v>
      </c>
      <c r="E30" s="89">
        <f t="shared" si="25"/>
        <v>4.149125043164778E-2</v>
      </c>
      <c r="F30" s="47">
        <f>INDEX('[5]Page 2'!$B:$DP,MATCH("0250",'[5]Page 2'!$M:$M,0),13)</f>
        <v>29465</v>
      </c>
      <c r="G30" s="13">
        <f>INDEX('[5]Page 2'!$B:$DP,MATCH("0250",'[5]Page 2'!$M:$M,0),24)</f>
        <v>422721</v>
      </c>
      <c r="H30" s="89">
        <f t="shared" si="40"/>
        <v>3.1075585442303717E-2</v>
      </c>
      <c r="I30" s="89">
        <f t="shared" si="26"/>
        <v>3.8212896822168343E-2</v>
      </c>
      <c r="J30" s="47">
        <f>INDEX('[6]Page 2'!$B:$DP,MATCH("0250",'[6]Page 2'!$M:$M,0),13)</f>
        <v>35084</v>
      </c>
      <c r="K30" s="13">
        <f>INDEX('[6]Page 2'!$B:$DP,MATCH("0250",'[6]Page 2'!$M:$M,0),24)</f>
        <v>459194</v>
      </c>
      <c r="L30" s="89">
        <f t="shared" si="27"/>
        <v>3.7062233790818744E-2</v>
      </c>
      <c r="M30" s="89">
        <f t="shared" si="28"/>
        <v>4.3158949287665956E-2</v>
      </c>
      <c r="N30" s="47">
        <f>IFERROR(VLOOKUP("Payroll Taxes",'[7]PAGE 2'!$B:$W,4,FALSE),0)</f>
        <v>20852</v>
      </c>
      <c r="O30" s="13">
        <f>IFERROR(VLOOKUP("Payroll Taxes",'[7]PAGE 2'!$B:$W,5,FALSE),0)</f>
        <v>271788</v>
      </c>
      <c r="P30" s="89">
        <f t="shared" si="29"/>
        <v>3.4398342439359145E-2</v>
      </c>
      <c r="Q30" s="89">
        <f t="shared" si="30"/>
        <v>3.9053630416505669E-2</v>
      </c>
      <c r="R30" s="47">
        <f>IFERROR(VLOOKUP("Payroll Taxes",'[8]PAGE 2'!$B:$W,4,FALSE),0)</f>
        <v>18931</v>
      </c>
      <c r="S30" s="13">
        <f>IFERROR(VLOOKUP("Payroll Taxes",'[8]PAGE 2'!$B:$W,5,FALSE),0)</f>
        <v>223116</v>
      </c>
      <c r="T30" s="90">
        <f t="shared" si="31"/>
        <v>4.2224462575444641E-2</v>
      </c>
      <c r="U30" s="90">
        <f t="shared" si="32"/>
        <v>4.3948009156130702E-2</v>
      </c>
      <c r="V30" s="47"/>
      <c r="W30" s="13"/>
      <c r="X30" s="90" t="e">
        <f t="shared" si="33"/>
        <v>#DIV/0!</v>
      </c>
      <c r="Y30" s="90" t="e">
        <f t="shared" si="34"/>
        <v>#DIV/0!</v>
      </c>
      <c r="Z30" s="47">
        <f>IFERROR(VLOOKUP("Payroll Taxes",'[9]PAGE 2'!$B:$S,4,FALSE),0)</f>
        <v>31359</v>
      </c>
      <c r="AA30" s="13">
        <f>IFERROR(VLOOKUP("Payroll Taxes",'[9]PAGE 2'!$B:$S,7,FALSE),0)</f>
        <v>387952</v>
      </c>
      <c r="AB30" s="89">
        <f t="shared" si="35"/>
        <v>3.3794611441177076E-2</v>
      </c>
      <c r="AC30" s="89">
        <f t="shared" si="36"/>
        <v>3.9615692491907648E-2</v>
      </c>
      <c r="AD30" s="47">
        <f>'New Vehicle'!P42+'Used Vehicle'!P49+Service!P52+'Parts &amp; Accessories'!P55</f>
        <v>20737</v>
      </c>
      <c r="AE30" s="13">
        <f>'New Vehicle'!Q42+'Used Vehicle'!Q49+Service!Q52+'Parts &amp; Accessories'!Q55</f>
        <v>287144</v>
      </c>
      <c r="AF30" s="91">
        <f t="shared" si="37"/>
        <v>3.2683766395470895E-2</v>
      </c>
      <c r="AG30" s="92">
        <f t="shared" si="38"/>
        <v>3.8562980242690642E-2</v>
      </c>
      <c r="AH30" s="47">
        <f>'New Vehicle'!R42+'Used Vehicle'!R49+Service!R52+'Parts &amp; Accessories'!R55</f>
        <v>22842.354901181596</v>
      </c>
      <c r="AI30" s="13">
        <f>'New Vehicle'!S42+'Used Vehicle'!S49+Service!S52+'Parts &amp; Accessories'!S55</f>
        <v>322043</v>
      </c>
      <c r="AJ30" s="47">
        <f>IFERROR('Used Vehicle'!T49+Service!T52+'Parts &amp; Accessories'!T55,0)</f>
        <v>6172.8402204933736</v>
      </c>
      <c r="AK30" s="13">
        <f>IFERROR('Used Vehicle'!U49+Service!U52+'Parts &amp; Accessories'!U55,0)</f>
        <v>93341</v>
      </c>
      <c r="AL30" s="47">
        <f>+INDEX('[10]PAGE 2'!$1:$1048576,MATCH("taxes payroll",'[10]PAGE 2'!$B:$B,0),8)</f>
        <v>14753</v>
      </c>
      <c r="AM30" s="13">
        <f>+INDEX('[10]PAGE 2'!$1:$1048576,MATCH("taxes payroll",'[10]PAGE 2'!$B:$B,0),12)</f>
        <v>92803</v>
      </c>
      <c r="AN30" s="47">
        <f>IFERROR(VLOOKUP("Payroll Taxes",'[11]PAGE 2'!$B:$S,4,FALSE),0)</f>
        <v>8734</v>
      </c>
      <c r="AO30" s="13">
        <f>IFERROR(VLOOKUP("Payroll Taxes",'[11]PAGE 2'!$B:$S,7,FALSE),0)</f>
        <v>51561</v>
      </c>
      <c r="AP30" s="47">
        <f>IFERROR(VLOOKUP("Payroll Taxes",'[12]PAGE 2'!$B:$S,4,FALSE),0)</f>
        <v>24218</v>
      </c>
      <c r="AQ30" s="13">
        <f>IFERROR(VLOOKUP("Payroll Taxes",'[12]PAGE 2'!$B:$S,7,FALSE),0)</f>
        <v>69755</v>
      </c>
      <c r="AR30" s="47">
        <f t="shared" si="0"/>
        <v>256100.19512167497</v>
      </c>
      <c r="AS30" s="13">
        <f t="shared" si="1"/>
        <v>3140405</v>
      </c>
    </row>
    <row r="31" spans="1:45">
      <c r="A31" s="88" t="s">
        <v>19</v>
      </c>
      <c r="B31" s="47">
        <f>INDEX('[4]Page 2'!$B:$DP,MATCH("0260",'[4]Page 2'!$M:$M,0),13)</f>
        <v>32975</v>
      </c>
      <c r="C31" s="13">
        <f>INDEX('[4]Page 2'!$B:$DP,MATCH("0260",'[4]Page 2'!$M:$M,0),24)</f>
        <v>308330</v>
      </c>
      <c r="D31" s="89">
        <f t="shared" si="39"/>
        <v>3.4777445442388089E-2</v>
      </c>
      <c r="E31" s="89">
        <f t="shared" si="25"/>
        <v>2.7872243104031184E-2</v>
      </c>
      <c r="F31" s="47">
        <f>INDEX('[5]Page 2'!$B:$DP,MATCH("0260",'[5]Page 2'!$M:$M,0),13)</f>
        <v>40726</v>
      </c>
      <c r="G31" s="13">
        <f>INDEX('[5]Page 2'!$B:$DP,MATCH("0260",'[5]Page 2'!$M:$M,0),24)</f>
        <v>342820</v>
      </c>
      <c r="H31" s="89">
        <f t="shared" si="40"/>
        <v>4.2952122610665576E-2</v>
      </c>
      <c r="I31" s="89">
        <f t="shared" si="26"/>
        <v>3.0990050857600527E-2</v>
      </c>
      <c r="J31" s="47">
        <f>INDEX('[6]Page 2'!$B:$DP,MATCH("0260",'[6]Page 2'!$M:$M,0),13)</f>
        <v>42894</v>
      </c>
      <c r="K31" s="13">
        <f>INDEX('[6]Page 2'!$B:$DP,MATCH("0260",'[6]Page 2'!$M:$M,0),24)</f>
        <v>441798</v>
      </c>
      <c r="L31" s="89">
        <f t="shared" si="27"/>
        <v>4.5312605638563992E-2</v>
      </c>
      <c r="M31" s="89">
        <f t="shared" si="28"/>
        <v>4.1523925568261441E-2</v>
      </c>
      <c r="N31" s="47">
        <f>IFERROR(VLOOKUP("Employee Benefits/Pension/401K/Workers' Comp",'[7]PAGE 2'!$B:$W,4,FALSE),0)</f>
        <v>31574</v>
      </c>
      <c r="O31" s="13">
        <f>IFERROR(VLOOKUP("Employee Benefits/Pension/401K/Workers' Comp",'[7]PAGE 2'!$B:$W,5,FALSE),0)</f>
        <v>262900</v>
      </c>
      <c r="P31" s="89">
        <f t="shared" si="29"/>
        <v>5.2085807796869638E-2</v>
      </c>
      <c r="Q31" s="89">
        <f t="shared" si="30"/>
        <v>3.7776500200521514E-2</v>
      </c>
      <c r="R31" s="47">
        <f>IFERROR(VLOOKUP("Employee Benefits/Pension/401K/Workers' Comp",'[8]PAGE 2'!$B:$W,4,FALSE),0)</f>
        <v>16253</v>
      </c>
      <c r="S31" s="13">
        <f>IFERROR(VLOOKUP("Employee Benefits/Pension/401K/Workers' Comp",'[8]PAGE 2'!$B:$W,5,FALSE),0)</f>
        <v>139433</v>
      </c>
      <c r="T31" s="90">
        <f t="shared" si="31"/>
        <v>3.6251343840193427E-2</v>
      </c>
      <c r="U31" s="90">
        <f t="shared" si="32"/>
        <v>2.7464649602300023E-2</v>
      </c>
      <c r="V31" s="47"/>
      <c r="W31" s="13"/>
      <c r="X31" s="90" t="e">
        <f t="shared" si="33"/>
        <v>#DIV/0!</v>
      </c>
      <c r="Y31" s="90" t="e">
        <f t="shared" si="34"/>
        <v>#DIV/0!</v>
      </c>
      <c r="Z31" s="47">
        <f>IFERROR(VLOOKUP("Employee Benefits",'[9]PAGE 2'!$B:$S,4,FALSE),0)</f>
        <v>31828</v>
      </c>
      <c r="AA31" s="13">
        <f>IFERROR(VLOOKUP("Employee Benefits",'[9]PAGE 2'!$B:$S,7,FALSE),0)</f>
        <v>294811</v>
      </c>
      <c r="AB31" s="89">
        <f t="shared" si="35"/>
        <v>3.4300038041703625E-2</v>
      </c>
      <c r="AC31" s="89">
        <f t="shared" si="36"/>
        <v>3.0104605516228258E-2</v>
      </c>
      <c r="AD31" s="47">
        <f>'New Vehicle'!P43+'Used Vehicle'!P50+Service!P53+'Parts &amp; Accessories'!P56</f>
        <v>22159</v>
      </c>
      <c r="AE31" s="13">
        <f>'New Vehicle'!Q43+'Used Vehicle'!Q50+Service!Q53+'Parts &amp; Accessories'!Q56</f>
        <v>230254</v>
      </c>
      <c r="AF31" s="91">
        <f t="shared" si="37"/>
        <v>3.4924992986316225E-2</v>
      </c>
      <c r="AG31" s="92">
        <f t="shared" si="38"/>
        <v>3.0922744172960225E-2</v>
      </c>
      <c r="AH31" s="47">
        <f>'New Vehicle'!R43+'Used Vehicle'!R50+Service!R53+'Parts &amp; Accessories'!R56</f>
        <v>21086.506068944007</v>
      </c>
      <c r="AI31" s="13">
        <f>'New Vehicle'!S43+'Used Vehicle'!S50+Service!S53+'Parts &amp; Accessories'!S56</f>
        <v>227252</v>
      </c>
      <c r="AJ31" s="47">
        <f>IFERROR('Used Vehicle'!T50+Service!T53+'Parts &amp; Accessories'!T56,0)</f>
        <v>6499.2423472379687</v>
      </c>
      <c r="AK31" s="13">
        <f>IFERROR('Used Vehicle'!U50+Service!U53+'Parts &amp; Accessories'!U56,0)</f>
        <v>104537</v>
      </c>
      <c r="AL31" s="47">
        <f>+INDEX('[10]PAGE 2'!$1:$1048576,MATCH("employee benefits",'[10]PAGE 2'!$B:$B,0),8)</f>
        <v>8250</v>
      </c>
      <c r="AM31" s="13">
        <f>+INDEX('[10]PAGE 2'!$1:$1048576,MATCH("employee benefits",'[10]PAGE 2'!$B:$B,0),12)</f>
        <v>25642</v>
      </c>
      <c r="AN31" s="47">
        <f>IFERROR(VLOOKUP("Employee Benefits",'[11]PAGE 2'!$B:$S,4,FALSE),0)</f>
        <v>2210</v>
      </c>
      <c r="AO31" s="13">
        <f>IFERROR(VLOOKUP("Employee Benefits",'[11]PAGE 2'!$B:$S,7,FALSE),0)</f>
        <v>19331</v>
      </c>
      <c r="AP31" s="47">
        <f>IFERROR(VLOOKUP("Employee Benefits",'[12]PAGE 2'!$B:$S,4,FALSE),0)</f>
        <v>28458</v>
      </c>
      <c r="AQ31" s="13">
        <f>IFERROR(VLOOKUP("Employee Benefits",'[12]PAGE 2'!$B:$S,7,FALSE),0)</f>
        <v>68058</v>
      </c>
      <c r="AR31" s="47">
        <f t="shared" si="0"/>
        <v>284912.748416182</v>
      </c>
      <c r="AS31" s="13">
        <f t="shared" si="1"/>
        <v>2465166</v>
      </c>
    </row>
    <row r="32" spans="1:45">
      <c r="A32" s="88" t="s">
        <v>20</v>
      </c>
      <c r="B32" s="47"/>
      <c r="C32" s="13"/>
      <c r="D32" s="89">
        <f t="shared" si="39"/>
        <v>0</v>
      </c>
      <c r="E32" s="89">
        <f t="shared" si="25"/>
        <v>0</v>
      </c>
      <c r="F32" s="47"/>
      <c r="G32" s="13"/>
      <c r="H32" s="89">
        <f t="shared" si="40"/>
        <v>0</v>
      </c>
      <c r="I32" s="89">
        <f t="shared" si="26"/>
        <v>0</v>
      </c>
      <c r="J32" s="47"/>
      <c r="K32" s="13"/>
      <c r="L32" s="89">
        <f t="shared" si="27"/>
        <v>0</v>
      </c>
      <c r="M32" s="89">
        <f t="shared" si="28"/>
        <v>0</v>
      </c>
      <c r="N32" s="47"/>
      <c r="O32" s="13"/>
      <c r="P32" s="89">
        <f t="shared" si="29"/>
        <v>0</v>
      </c>
      <c r="Q32" s="89">
        <f t="shared" si="30"/>
        <v>0</v>
      </c>
      <c r="R32" s="47"/>
      <c r="S32" s="13"/>
      <c r="T32" s="90">
        <f t="shared" si="31"/>
        <v>0</v>
      </c>
      <c r="U32" s="90">
        <f t="shared" si="32"/>
        <v>0</v>
      </c>
      <c r="V32" s="47"/>
      <c r="W32" s="13"/>
      <c r="X32" s="90" t="e">
        <f t="shared" si="33"/>
        <v>#DIV/0!</v>
      </c>
      <c r="Y32" s="90" t="e">
        <f t="shared" si="34"/>
        <v>#DIV/0!</v>
      </c>
      <c r="Z32" s="47">
        <f>IFERROR(VLOOKUP("Pension Fund/Profit Sharing",'[9]PAGE 2'!$B:$S,4,FALSE),0)</f>
        <v>1840</v>
      </c>
      <c r="AA32" s="13">
        <f>IFERROR(VLOOKUP("Pension Fund/Profit Sharing",'[9]PAGE 2'!$B:$S,7,FALSE),0)</f>
        <v>21194</v>
      </c>
      <c r="AB32" s="89">
        <f t="shared" si="35"/>
        <v>1.9829103304239873E-3</v>
      </c>
      <c r="AC32" s="89">
        <f t="shared" si="36"/>
        <v>2.164223890258307E-3</v>
      </c>
      <c r="AD32" s="47">
        <f>'New Vehicle'!P44+'Used Vehicle'!P51+Service!P54+'Parts &amp; Accessories'!P57</f>
        <v>2128</v>
      </c>
      <c r="AE32" s="13">
        <f>'New Vehicle'!Q44+'Used Vehicle'!Q51+Service!Q54+'Parts &amp; Accessories'!Q57</f>
        <v>21011</v>
      </c>
      <c r="AF32" s="91">
        <f t="shared" si="37"/>
        <v>3.3539593426996223E-3</v>
      </c>
      <c r="AG32" s="92">
        <f t="shared" si="38"/>
        <v>2.8217437170171521E-3</v>
      </c>
      <c r="AH32" s="47">
        <f>'New Vehicle'!R44+'Used Vehicle'!R51+Service!R54+'Parts &amp; Accessories'!R57</f>
        <v>2551.6928354770398</v>
      </c>
      <c r="AI32" s="13">
        <f>'New Vehicle'!S44+'Used Vehicle'!S51+Service!S54+'Parts &amp; Accessories'!S57</f>
        <v>34129</v>
      </c>
      <c r="AJ32" s="47">
        <f>IFERROR('Used Vehicle'!T51+Service!T54+'Parts &amp; Accessories'!T57,0)</f>
        <v>270.72176394698778</v>
      </c>
      <c r="AK32" s="13">
        <f>IFERROR('Used Vehicle'!U51+Service!U54+'Parts &amp; Accessories'!U57,0)</f>
        <v>4117</v>
      </c>
      <c r="AL32" s="47">
        <f>+INDEX('[10]PAGE 2'!$1:$1048576,MATCH("pension &amp; profit sharing",'[10]PAGE 2'!$B:$B,0),8)</f>
        <v>642</v>
      </c>
      <c r="AM32" s="13">
        <f>+INDEX('[10]PAGE 2'!$1:$1048576,MATCH("pension &amp; profit sharing",'[10]PAGE 2'!$B:$B,0),12)</f>
        <v>4170</v>
      </c>
      <c r="AN32" s="47">
        <f>IFERROR(VLOOKUP("Pension Fund/Profit Sharing",'[11]PAGE 2'!$B:$S,4,FALSE),0)</f>
        <v>0</v>
      </c>
      <c r="AO32" s="13">
        <f>IFERROR(VLOOKUP("Pension Fund/Profit Sharing",'[11]PAGE 2'!$B:$S,7,FALSE),0)</f>
        <v>0</v>
      </c>
      <c r="AP32" s="47">
        <f>IFERROR(VLOOKUP("Pension Fund/Profit Sharing",'[12]PAGE 2'!$B:$S,4,FALSE),0)</f>
        <v>0</v>
      </c>
      <c r="AQ32" s="13">
        <f>IFERROR(VLOOKUP("Pension Fund/Profit Sharing",'[12]PAGE 2'!$B:$S,7,FALSE),0)</f>
        <v>0</v>
      </c>
      <c r="AR32" s="47">
        <f t="shared" si="0"/>
        <v>7432.414599424028</v>
      </c>
      <c r="AS32" s="13">
        <f t="shared" si="1"/>
        <v>84621</v>
      </c>
    </row>
    <row r="33" spans="1:45">
      <c r="A33" s="4" t="s">
        <v>55</v>
      </c>
      <c r="B33" s="24">
        <f t="shared" ref="B33:C33" si="41">SUM(B25:B32)</f>
        <v>348727</v>
      </c>
      <c r="C33" s="25">
        <f t="shared" si="41"/>
        <v>3951549</v>
      </c>
      <c r="D33" s="99">
        <f t="shared" si="39"/>
        <v>0.36778875562661628</v>
      </c>
      <c r="E33" s="99">
        <f t="shared" si="25"/>
        <v>0.35720991913044892</v>
      </c>
      <c r="F33" s="24">
        <f t="shared" ref="F33:G33" si="42">SUM(F25:F32)</f>
        <v>330229</v>
      </c>
      <c r="G33" s="25">
        <f t="shared" si="42"/>
        <v>3467736</v>
      </c>
      <c r="H33" s="99">
        <f t="shared" si="40"/>
        <v>0.34827963702788101</v>
      </c>
      <c r="I33" s="99">
        <f t="shared" si="26"/>
        <v>0.31347446181883271</v>
      </c>
      <c r="J33" s="24">
        <f t="shared" ref="J33:K33" si="43">SUM(J25:J32)</f>
        <v>426414</v>
      </c>
      <c r="K33" s="25">
        <f t="shared" si="43"/>
        <v>4239146</v>
      </c>
      <c r="L33" s="99">
        <f t="shared" si="27"/>
        <v>0.45045762625921171</v>
      </c>
      <c r="M33" s="99">
        <f t="shared" si="28"/>
        <v>0.39843091860305663</v>
      </c>
      <c r="N33" s="24">
        <f>SUM(N25:N32)</f>
        <v>228274</v>
      </c>
      <c r="O33" s="25">
        <f>SUM(O25:O32)</f>
        <v>2621583</v>
      </c>
      <c r="P33" s="99">
        <f t="shared" si="29"/>
        <v>0.37657045952437512</v>
      </c>
      <c r="Q33" s="99">
        <f t="shared" si="30"/>
        <v>0.37669924201287103</v>
      </c>
      <c r="R33" s="24">
        <f>SUM(R25:R32)</f>
        <v>180247</v>
      </c>
      <c r="S33" s="25">
        <f>SUM(S25:S32)</f>
        <v>1913283</v>
      </c>
      <c r="T33" s="100">
        <f t="shared" si="31"/>
        <v>0.40203014662913578</v>
      </c>
      <c r="U33" s="100">
        <f t="shared" si="32"/>
        <v>0.37686664695615385</v>
      </c>
      <c r="V33" s="24"/>
      <c r="W33" s="25"/>
      <c r="X33" s="100" t="e">
        <f t="shared" si="33"/>
        <v>#DIV/0!</v>
      </c>
      <c r="Y33" s="100" t="e">
        <f t="shared" si="34"/>
        <v>#DIV/0!</v>
      </c>
      <c r="Z33" s="24">
        <f>SUM(Z25:Z32)</f>
        <v>312550</v>
      </c>
      <c r="AA33" s="25">
        <f>SUM(AA25:AA32)</f>
        <v>3232355</v>
      </c>
      <c r="AB33" s="99">
        <f t="shared" si="35"/>
        <v>0.33682533900761802</v>
      </c>
      <c r="AC33" s="99">
        <f t="shared" si="36"/>
        <v>0.33007171429630505</v>
      </c>
      <c r="AD33" s="24">
        <f>SUM(AD25:AD32)</f>
        <v>228988</v>
      </c>
      <c r="AE33" s="25">
        <f>SUM(AE25:AE32)</f>
        <v>2557036</v>
      </c>
      <c r="AF33" s="101">
        <f t="shared" si="37"/>
        <v>0.36090998212692721</v>
      </c>
      <c r="AG33" s="102">
        <f t="shared" si="38"/>
        <v>0.34340584775530292</v>
      </c>
      <c r="AH33" s="24">
        <f>SUM(AH25:AH32)</f>
        <v>243101.99606134839</v>
      </c>
      <c r="AI33" s="25">
        <f>SUM(AI25:AI32)</f>
        <v>2610754</v>
      </c>
      <c r="AJ33" s="24">
        <f>SUM(AJ25:AJ32)</f>
        <v>59163.955314906758</v>
      </c>
      <c r="AK33" s="25">
        <f>SUM(AK25:AK32)</f>
        <v>875430</v>
      </c>
      <c r="AL33" s="24">
        <f t="shared" ref="AL33:AM33" si="44">SUM(AL24:AL32)</f>
        <v>125494</v>
      </c>
      <c r="AM33" s="25">
        <f t="shared" si="44"/>
        <v>766168</v>
      </c>
      <c r="AN33" s="24">
        <f>SUM(AN25:AN32)</f>
        <v>96472</v>
      </c>
      <c r="AO33" s="25">
        <f>SUM(AO25:AO32)</f>
        <v>571775</v>
      </c>
      <c r="AP33" s="24">
        <f>SUM(AP25:AP32)</f>
        <v>216774</v>
      </c>
      <c r="AQ33" s="25">
        <f>SUM(AQ25:AQ32)</f>
        <v>615049</v>
      </c>
      <c r="AR33" s="24">
        <f t="shared" si="0"/>
        <v>2796434.9513762551</v>
      </c>
      <c r="AS33" s="25">
        <f t="shared" si="1"/>
        <v>27421864</v>
      </c>
    </row>
    <row r="34" spans="1:45">
      <c r="A34" s="88" t="s">
        <v>21</v>
      </c>
      <c r="B34" s="47">
        <f>INDEX('[4]Page 2'!$B:$DP,MATCH("0310",'[4]Page 2'!$M:$M,0),13)</f>
        <v>2501</v>
      </c>
      <c r="C34" s="13">
        <f>INDEX('[4]Page 2'!$B:$DP,MATCH("0310",'[4]Page 2'!$M:$M,0),24)</f>
        <v>27632</v>
      </c>
      <c r="D34" s="89">
        <f t="shared" si="39"/>
        <v>2.6377070826812013E-3</v>
      </c>
      <c r="E34" s="89">
        <f t="shared" ref="E34:E50" si="45">C34/$C$9</f>
        <v>2.4978621005111072E-3</v>
      </c>
      <c r="F34" s="47">
        <f>INDEX('[5]Page 2'!$B:$DP,MATCH("0310",'[5]Page 2'!$M:$M,0),13)</f>
        <v>776</v>
      </c>
      <c r="G34" s="13">
        <f>INDEX('[5]Page 2'!$B:$DP,MATCH("0310",'[5]Page 2'!$M:$M,0),24)</f>
        <v>14019</v>
      </c>
      <c r="H34" s="89">
        <f t="shared" si="40"/>
        <v>8.1841691169956511E-4</v>
      </c>
      <c r="I34" s="89">
        <f t="shared" si="26"/>
        <v>1.2672817308578897E-3</v>
      </c>
      <c r="J34" s="47">
        <f>INDEX('[6]Page 2'!$B:$DP,MATCH("0310",'[6]Page 2'!$M:$M,0),13)</f>
        <v>1675</v>
      </c>
      <c r="K34" s="13">
        <f>INDEX('[6]Page 2'!$B:$DP,MATCH("0310",'[6]Page 2'!$M:$M,0),24)</f>
        <v>13958</v>
      </c>
      <c r="L34" s="89">
        <f t="shared" si="27"/>
        <v>1.7694459468595768E-3</v>
      </c>
      <c r="M34" s="89">
        <f t="shared" si="28"/>
        <v>1.3118913011869525E-3</v>
      </c>
      <c r="N34" s="47">
        <f>IFERROR(VLOOKUP("Company Vehicle Expense",'[7]PAGE 2'!$B:$W,4,FALSE),0)</f>
        <v>2602</v>
      </c>
      <c r="O34" s="13">
        <f>IFERROR(VLOOKUP("Company Vehicle Expense",'[7]PAGE 2'!$B:$W,5,FALSE),0)</f>
        <v>40922</v>
      </c>
      <c r="P34" s="89">
        <f t="shared" si="29"/>
        <v>4.2923694143109778E-3</v>
      </c>
      <c r="Q34" s="89">
        <f t="shared" si="30"/>
        <v>5.8801443180134709E-3</v>
      </c>
      <c r="R34" s="47">
        <f>IFERROR(VLOOKUP("Company Vehicle Expense",'[8]PAGE 2'!$B:$W,4,FALSE),0)</f>
        <v>455</v>
      </c>
      <c r="S34" s="13">
        <f>IFERROR(VLOOKUP("Company Vehicle Expense",'[8]PAGE 2'!$B:$W,5,FALSE),0)</f>
        <v>8493</v>
      </c>
      <c r="T34" s="90">
        <f t="shared" si="31"/>
        <v>1.0148502705523909E-3</v>
      </c>
      <c r="U34" s="90">
        <f t="shared" si="32"/>
        <v>1.6728985898053839E-3</v>
      </c>
      <c r="V34" s="47"/>
      <c r="W34" s="13"/>
      <c r="X34" s="90" t="e">
        <f t="shared" si="33"/>
        <v>#DIV/0!</v>
      </c>
      <c r="Y34" s="90" t="e">
        <f t="shared" si="34"/>
        <v>#DIV/0!</v>
      </c>
      <c r="Z34" s="47">
        <f>IFERROR(VLOOKUP("Demos &amp; Company Vehicles - Dept'l",'[9]PAGE 2'!$B:$S,4,FALSE)+VLOOKUP("Company Vehicles - Administration",'[9]PAGE 2'!$B:$S,4,FALSE),0)</f>
        <v>5049</v>
      </c>
      <c r="AA34" s="13">
        <f>IFERROR(VLOOKUP("Demos &amp; Company Vehicles - Dept'l",'[9]PAGE 2'!$B:$S,7,FALSE)+VLOOKUP("Company Vehicles - Administration",'[9]PAGE 2'!$B:$S,7,FALSE),0)</f>
        <v>39718</v>
      </c>
      <c r="AB34" s="89">
        <f t="shared" si="35"/>
        <v>5.4411490534297348E-3</v>
      </c>
      <c r="AC34" s="89">
        <f t="shared" si="36"/>
        <v>4.0558009093743241E-3</v>
      </c>
      <c r="AD34" s="47">
        <f>'New Vehicle'!P46+'Used Vehicle'!P53+Service!P56+'Parts &amp; Accessories'!P59</f>
        <v>-7471</v>
      </c>
      <c r="AE34" s="13">
        <f>'New Vehicle'!Q46+'Used Vehicle'!Q53+Service!Q56+'Parts &amp; Accessories'!Q59</f>
        <v>2792</v>
      </c>
      <c r="AF34" s="91">
        <f t="shared" si="37"/>
        <v>-1.1775108199863193E-2</v>
      </c>
      <c r="AG34" s="92">
        <f t="shared" si="38"/>
        <v>3.7496113740002321E-4</v>
      </c>
      <c r="AH34" s="47">
        <f>IFERROR('New Vehicle'!R46+'Used Vehicle'!R53+Service!R56+'Parts &amp; Accessories'!R59,0)</f>
        <v>1457</v>
      </c>
      <c r="AI34" s="13">
        <f>IFERROR('New Vehicle'!S46+'Used Vehicle'!S53+Service!S56+'Parts &amp; Accessories'!S59,0)</f>
        <v>2457</v>
      </c>
      <c r="AJ34" s="47">
        <f>IFERROR('New Vehicle'!T46+'Used Vehicle'!T53+Service!T56+'Parts &amp; Accessories'!T59,0)</f>
        <v>0</v>
      </c>
      <c r="AK34" s="13">
        <f>IFERROR('New Vehicle'!U46+'Used Vehicle'!U53+Service!U56+'Parts &amp; Accessories'!U59,0)</f>
        <v>0</v>
      </c>
      <c r="AL34" s="47">
        <f>+INDEX('[10]PAGE 2'!$1:$1048576,MATCH("company vehicle expense",'[10]PAGE 2'!$B:$B,0),8)</f>
        <v>-211</v>
      </c>
      <c r="AM34" s="13">
        <f>+INDEX('[10]PAGE 2'!$1:$1048576,MATCH("company vehicle expense",'[10]PAGE 2'!$B:$B,0),12)</f>
        <v>2900</v>
      </c>
      <c r="AN34" s="47">
        <f>IFERROR(VLOOKUP("Demos &amp; Company Vehicles - Dept'l",'[11]PAGE 2'!$B:$S,4,FALSE)+VLOOKUP("Company Vehicles - Administration",'[11]PAGE 2'!$B:$S,4,FALSE),0)</f>
        <v>0</v>
      </c>
      <c r="AO34" s="13">
        <f>IFERROR(VLOOKUP("Demos &amp; Company Vehicles - Dept'l",'[11]PAGE 2'!$B:$S,7,FALSE)+VLOOKUP("Company Vehicles - Administration",'[11]PAGE 2'!$B:$S,7,FALSE),0)</f>
        <v>234</v>
      </c>
      <c r="AP34" s="47">
        <f>IFERROR(VLOOKUP("Demos &amp; Company Vehicles - Dept'l",'[12]PAGE 2'!$B:$S,4,FALSE)+VLOOKUP("Company Vehicles - Administration",'[12]PAGE 2'!$B:$S,4,FALSE),0)</f>
        <v>20212</v>
      </c>
      <c r="AQ34" s="13">
        <f>IFERROR(VLOOKUP("Demos &amp; Company Vehicles - Dept'l",'[12]PAGE 2'!$B:$S,7,FALSE)+VLOOKUP("Company Vehicles - Administration",'[12]PAGE 2'!$B:$S,7,FALSE),0)</f>
        <v>33865</v>
      </c>
      <c r="AR34" s="47">
        <f t="shared" si="0"/>
        <v>27045</v>
      </c>
      <c r="AS34" s="13">
        <f t="shared" si="1"/>
        <v>186990</v>
      </c>
    </row>
    <row r="35" spans="1:45">
      <c r="A35" s="88" t="s">
        <v>22</v>
      </c>
      <c r="B35" s="47">
        <f>INDEX('[4]Page 2'!$B:$DP,MATCH("0320",'[4]Page 2'!$M:$M,0),13)</f>
        <v>0</v>
      </c>
      <c r="C35" s="13">
        <f>INDEX('[4]Page 2'!$B:$DP,MATCH("0320",'[4]Page 2'!$M:$M,0),24)</f>
        <v>434</v>
      </c>
      <c r="D35" s="89">
        <f t="shared" si="39"/>
        <v>0</v>
      </c>
      <c r="E35" s="89">
        <f t="shared" si="45"/>
        <v>3.9232489563615388E-5</v>
      </c>
      <c r="F35" s="47">
        <f>INDEX('[5]Page 2'!$B:$DP,MATCH("0320",'[5]Page 2'!$M:$M,0),13)</f>
        <v>85</v>
      </c>
      <c r="G35" s="13">
        <f>INDEX('[5]Page 2'!$B:$DP,MATCH("0320",'[5]Page 2'!$M:$M,0),24)</f>
        <v>9577</v>
      </c>
      <c r="H35" s="89">
        <f t="shared" si="40"/>
        <v>8.9646182338225548E-5</v>
      </c>
      <c r="I35" s="89">
        <f t="shared" si="26"/>
        <v>8.6573629619987233E-4</v>
      </c>
      <c r="J35" s="47">
        <f>INDEX('[6]Page 2'!$B:$DP,MATCH("0320",'[6]Page 2'!$M:$M,0),13)</f>
        <v>120</v>
      </c>
      <c r="K35" s="13">
        <f>INDEX('[6]Page 2'!$B:$DP,MATCH("0320",'[6]Page 2'!$M:$M,0),24)</f>
        <v>9932</v>
      </c>
      <c r="L35" s="89">
        <f t="shared" si="27"/>
        <v>1.2676627678993982E-4</v>
      </c>
      <c r="M35" s="89">
        <f t="shared" si="28"/>
        <v>9.334936526285149E-4</v>
      </c>
      <c r="N35" s="47">
        <f>IFERROR(VLOOKUP("Other Supplies &amp; Tools",'[7]PAGE 2'!$B:$W,4,FALSE),0)</f>
        <v>14478</v>
      </c>
      <c r="O35" s="13">
        <f>IFERROR(VLOOKUP("Other Supplies &amp; Tools",'[7]PAGE 2'!$B:$W,5,FALSE),0)</f>
        <v>132990</v>
      </c>
      <c r="P35" s="89">
        <f t="shared" si="29"/>
        <v>2.3883522052419035E-2</v>
      </c>
      <c r="Q35" s="89">
        <f t="shared" si="30"/>
        <v>1.9109535038673853E-2</v>
      </c>
      <c r="R35" s="47">
        <f>IFERROR(VLOOKUP("Other Supplies &amp; Tools",'[8]PAGE 2'!$B:$W,4,FALSE),0)</f>
        <v>-3864</v>
      </c>
      <c r="S35" s="13">
        <f>IFERROR(VLOOKUP("Other Supplies &amp; Tools",'[8]PAGE 2'!$B:$W,5,FALSE),0)</f>
        <v>-33371</v>
      </c>
      <c r="T35" s="90">
        <f t="shared" si="31"/>
        <v>-8.6184207591526105E-3</v>
      </c>
      <c r="U35" s="90">
        <f t="shared" si="32"/>
        <v>-6.5732130978918488E-3</v>
      </c>
      <c r="V35" s="47"/>
      <c r="W35" s="13"/>
      <c r="X35" s="90" t="e">
        <f t="shared" si="33"/>
        <v>#DIV/0!</v>
      </c>
      <c r="Y35" s="90" t="e">
        <f t="shared" si="34"/>
        <v>#DIV/0!</v>
      </c>
      <c r="Z35" s="47">
        <f>IFERROR(VLOOKUP("Supplies &amp; Small Tools",'[9]PAGE 2'!$B:$S,4,FALSE),0)</f>
        <v>2141</v>
      </c>
      <c r="AA35" s="13">
        <f>IFERROR(VLOOKUP("Supplies &amp; Small Tools",'[9]PAGE 2'!$B:$S,7,FALSE),0)</f>
        <v>60099</v>
      </c>
      <c r="AB35" s="89">
        <f t="shared" si="35"/>
        <v>2.3072885964335633E-3</v>
      </c>
      <c r="AC35" s="89">
        <f t="shared" si="36"/>
        <v>6.137005359093799E-3</v>
      </c>
      <c r="AD35" s="47">
        <f>'New Vehicle'!P47+'Used Vehicle'!P54+Service!P57+'Parts &amp; Accessories'!P60</f>
        <v>7307</v>
      </c>
      <c r="AE35" s="13">
        <f>'New Vehicle'!Q47+'Used Vehicle'!Q54+Service!Q57+'Parts &amp; Accessories'!Q60</f>
        <v>54289</v>
      </c>
      <c r="AF35" s="91">
        <f t="shared" si="37"/>
        <v>1.1516626370820553E-2</v>
      </c>
      <c r="AG35" s="92">
        <f t="shared" si="38"/>
        <v>7.2909259270450789E-3</v>
      </c>
      <c r="AH35" s="47">
        <f>'New Vehicle'!R47+'Used Vehicle'!R54+Service!R57+'Parts &amp; Accessories'!R60</f>
        <v>-476</v>
      </c>
      <c r="AI35" s="13">
        <f>'New Vehicle'!S47+'Used Vehicle'!S54+Service!S57+'Parts &amp; Accessories'!S60</f>
        <v>-20596</v>
      </c>
      <c r="AJ35" s="47">
        <f>IFERROR('Used Vehicle'!T54+Service!T57+'Parts &amp; Accessories'!T60,0)</f>
        <v>-1333</v>
      </c>
      <c r="AK35" s="13">
        <f>IFERROR('Used Vehicle'!U54+Service!U57+'Parts &amp; Accessories'!U60,0)</f>
        <v>-21009</v>
      </c>
      <c r="AL35" s="47">
        <f>+INDEX('[10]PAGE 2'!$1:$1048576,MATCH("small tools &amp; other supplies",'[10]PAGE 2'!$B:$B,0),8)</f>
        <v>4098</v>
      </c>
      <c r="AM35" s="13">
        <f>+INDEX('[10]PAGE 2'!$1:$1048576,MATCH("small tools &amp; other supplies",'[10]PAGE 2'!$B:$B,0),12)</f>
        <v>7815</v>
      </c>
      <c r="AN35" s="47">
        <f>IFERROR(VLOOKUP("Supplies &amp; Small Tools",'[11]PAGE 2'!$B:$S,4,FALSE),0)</f>
        <v>2445</v>
      </c>
      <c r="AO35" s="13">
        <f>IFERROR(VLOOKUP("Supplies &amp; Small Tools",'[11]PAGE 2'!$B:$S,7,FALSE),0)</f>
        <v>21868</v>
      </c>
      <c r="AP35" s="47">
        <f>IFERROR(VLOOKUP("Supplies &amp; Small Tools",'[12]PAGE 2'!$B:$S,4,FALSE),0)</f>
        <v>1238</v>
      </c>
      <c r="AQ35" s="13">
        <f>IFERROR(VLOOKUP("Supplies &amp; Small Tools",'[12]PAGE 2'!$B:$S,7,FALSE),0)</f>
        <v>9290</v>
      </c>
      <c r="AR35" s="47">
        <f t="shared" si="0"/>
        <v>26239</v>
      </c>
      <c r="AS35" s="13">
        <f t="shared" si="1"/>
        <v>231318</v>
      </c>
    </row>
    <row r="36" spans="1:45">
      <c r="A36" s="88" t="s">
        <v>23</v>
      </c>
      <c r="B36" s="47">
        <f>INDEX('[4]Page 2'!$B:$DP,MATCH("0340",'[4]Page 2'!$M:$M,0),13)</f>
        <v>375</v>
      </c>
      <c r="C36" s="13">
        <f>INDEX('[4]Page 2'!$B:$DP,MATCH("0340",'[4]Page 2'!$M:$M,0),24)</f>
        <v>6389</v>
      </c>
      <c r="D36" s="89">
        <f t="shared" si="39"/>
        <v>3.9549786325687746E-4</v>
      </c>
      <c r="E36" s="89">
        <f t="shared" si="45"/>
        <v>5.7754925304594174E-4</v>
      </c>
      <c r="F36" s="47">
        <f>INDEX('[5]Page 2'!$B:$DP,MATCH("0340",'[5]Page 2'!$M:$M,0),13)</f>
        <v>171</v>
      </c>
      <c r="G36" s="13">
        <f>INDEX('[5]Page 2'!$B:$DP,MATCH("0340",'[5]Page 2'!$M:$M,0),24)</f>
        <v>4933</v>
      </c>
      <c r="H36" s="89">
        <f t="shared" si="40"/>
        <v>1.8034702564513611E-4</v>
      </c>
      <c r="I36" s="89">
        <f t="shared" si="26"/>
        <v>4.459305783809095E-4</v>
      </c>
      <c r="J36" s="47">
        <f>INDEX('[6]Page 2'!$B:$DP,MATCH("0340",'[6]Page 2'!$M:$M,0),13)</f>
        <v>1006</v>
      </c>
      <c r="K36" s="13">
        <f>INDEX('[6]Page 2'!$B:$DP,MATCH("0340",'[6]Page 2'!$M:$M,0),24)</f>
        <v>6679</v>
      </c>
      <c r="L36" s="89">
        <f t="shared" si="27"/>
        <v>1.0627239537556621E-3</v>
      </c>
      <c r="M36" s="89">
        <f t="shared" si="28"/>
        <v>6.2774910450119322E-4</v>
      </c>
      <c r="N36" s="47">
        <f>IFERROR(VLOOKUP("Postage/Express Mail/Freight",'[7]PAGE 2'!$B:$W,4,FALSE),0)</f>
        <v>5225</v>
      </c>
      <c r="O36" s="13">
        <f>IFERROR(VLOOKUP("Postage/Express Mail/Freight",'[7]PAGE 2'!$B:$W,5,FALSE),0)</f>
        <v>55599</v>
      </c>
      <c r="P36" s="89">
        <f t="shared" si="29"/>
        <v>8.6193813181302294E-3</v>
      </c>
      <c r="Q36" s="89">
        <f t="shared" si="30"/>
        <v>7.9891047343050425E-3</v>
      </c>
      <c r="R36" s="47">
        <f>IFERROR(VLOOKUP("Postage/Express Mail/Freight",'[8]PAGE 2'!$B:$W,4,FALSE),0)</f>
        <v>2960</v>
      </c>
      <c r="S36" s="13">
        <f>IFERROR(VLOOKUP("Postage/Express Mail/Freight",'[8]PAGE 2'!$B:$W,5,FALSE),0)</f>
        <v>40482</v>
      </c>
      <c r="T36" s="90">
        <f t="shared" si="31"/>
        <v>6.602102858978191E-3</v>
      </c>
      <c r="U36" s="90">
        <f t="shared" si="32"/>
        <v>7.9738938787827091E-3</v>
      </c>
      <c r="V36" s="47"/>
      <c r="W36" s="13"/>
      <c r="X36" s="90" t="e">
        <f t="shared" si="33"/>
        <v>#DIV/0!</v>
      </c>
      <c r="Y36" s="90" t="e">
        <f t="shared" si="34"/>
        <v>#DIV/0!</v>
      </c>
      <c r="Z36" s="47">
        <f>IFERROR(VLOOKUP("Freight",'[9]PAGE 2'!$B:$S,4,FALSE),0)</f>
        <v>-72</v>
      </c>
      <c r="AA36" s="13">
        <f>IFERROR(VLOOKUP("Freight",'[9]PAGE 2'!$B:$S,7,FALSE),0)</f>
        <v>-939</v>
      </c>
      <c r="AB36" s="89">
        <f t="shared" si="35"/>
        <v>-7.7592143364416894E-5</v>
      </c>
      <c r="AC36" s="89">
        <f t="shared" si="36"/>
        <v>-9.5885922098355673E-5</v>
      </c>
      <c r="AD36" s="47">
        <f>'New Vehicle'!P48+'Used Vehicle'!P55+Service!P58+'Parts &amp; Accessories'!P61</f>
        <v>66</v>
      </c>
      <c r="AE36" s="13">
        <f>'New Vehicle'!Q48+'Used Vehicle'!Q55+Service!Q58+'Parts &amp; Accessories'!Q61</f>
        <v>1145</v>
      </c>
      <c r="AF36" s="91">
        <f t="shared" si="37"/>
        <v>1.0402317510252587E-4</v>
      </c>
      <c r="AG36" s="92">
        <f t="shared" si="38"/>
        <v>1.5377166988647084E-4</v>
      </c>
      <c r="AH36" s="47">
        <f>'New Vehicle'!R48+'Used Vehicle'!R55+Service!R58+'Parts &amp; Accessories'!R61</f>
        <v>192</v>
      </c>
      <c r="AI36" s="13">
        <f>'New Vehicle'!S48+'Used Vehicle'!S55+Service!S58+'Parts &amp; Accessories'!S61</f>
        <v>61</v>
      </c>
      <c r="AJ36" s="47">
        <f>IFERROR('Used Vehicle'!T55+Service!T58+'Parts &amp; Accessories'!T61,0)</f>
        <v>0</v>
      </c>
      <c r="AK36" s="13">
        <f>IFERROR('Used Vehicle'!U55+Service!U58+'Parts &amp; Accessories'!U61,0)</f>
        <v>15</v>
      </c>
      <c r="AL36" s="47">
        <f>+INDEX('[10]PAGE 2'!$1:$1048576,MATCH("freight, express and cartage - parts department",'[10]PAGE 2'!$B:$B,0),8)</f>
        <v>326</v>
      </c>
      <c r="AM36" s="13">
        <f>+INDEX('[10]PAGE 2'!$1:$1048576,MATCH("freight, express and cartage - parts department",'[10]PAGE 2'!$B:$B,0),12)</f>
        <v>1758</v>
      </c>
      <c r="AN36" s="47">
        <f>IFERROR(VLOOKUP("Freight",'[11]PAGE 2'!$B:$S,4,FALSE),0)</f>
        <v>0</v>
      </c>
      <c r="AO36" s="13">
        <f>IFERROR(VLOOKUP("Freight",'[11]PAGE 2'!$B:$S,7,FALSE),0)</f>
        <v>0</v>
      </c>
      <c r="AP36" s="47">
        <f>IFERROR(VLOOKUP("Freight",'[12]PAGE 2'!$B:$S,4,FALSE),0)</f>
        <v>255</v>
      </c>
      <c r="AQ36" s="13">
        <f>IFERROR(VLOOKUP("Freight",'[12]PAGE 2'!$B:$S,7,FALSE),0)</f>
        <v>831</v>
      </c>
      <c r="AR36" s="47">
        <f t="shared" si="0"/>
        <v>10504</v>
      </c>
      <c r="AS36" s="13">
        <f t="shared" si="1"/>
        <v>116953</v>
      </c>
    </row>
    <row r="37" spans="1:45">
      <c r="A37" s="88" t="s">
        <v>24</v>
      </c>
      <c r="B37" s="47">
        <f>INDEX('[4]Page 2'!$B:$DP,MATCH("0350",'[4]Page 2'!$M:$M,0),13)</f>
        <v>2224</v>
      </c>
      <c r="C37" s="13">
        <f>INDEX('[4]Page 2'!$B:$DP,MATCH("0350",'[4]Page 2'!$M:$M,0),24)</f>
        <v>21711</v>
      </c>
      <c r="D37" s="89">
        <f t="shared" si="39"/>
        <v>2.3455659943554543E-3</v>
      </c>
      <c r="E37" s="89">
        <f t="shared" si="45"/>
        <v>1.9626188500360686E-3</v>
      </c>
      <c r="F37" s="47">
        <f>INDEX('[5]Page 2'!$B:$DP,MATCH("0350",'[5]Page 2'!$M:$M,0),13)</f>
        <v>18452</v>
      </c>
      <c r="G37" s="13">
        <f>INDEX('[5]Page 2'!$B:$DP,MATCH("0350",'[5]Page 2'!$M:$M,0),24)</f>
        <v>205936</v>
      </c>
      <c r="H37" s="89">
        <f t="shared" si="40"/>
        <v>1.9460604194175741E-2</v>
      </c>
      <c r="I37" s="89">
        <f t="shared" si="26"/>
        <v>1.8616087490259677E-2</v>
      </c>
      <c r="J37" s="47">
        <f>INDEX('[6]Page 2'!$B:$DP,MATCH("0350",'[6]Page 2'!$M:$M,0),13)</f>
        <v>10738</v>
      </c>
      <c r="K37" s="13">
        <f>INDEX('[6]Page 2'!$B:$DP,MATCH("0350",'[6]Page 2'!$M:$M,0),24)</f>
        <v>82342</v>
      </c>
      <c r="L37" s="89">
        <f t="shared" si="27"/>
        <v>1.1343469001419783E-2</v>
      </c>
      <c r="M37" s="89">
        <f t="shared" si="28"/>
        <v>7.7391999944358813E-3</v>
      </c>
      <c r="N37" s="47">
        <f>IFERROR(VLOOKUP("Adv. - Serv, Body, P &amp; A",'[7]PAGE 2'!$B:$W,4,FALSE),0)</f>
        <v>4177</v>
      </c>
      <c r="O37" s="13">
        <f>IFERROR(VLOOKUP("Adv. - Serv, Body, P &amp; A",'[7]PAGE 2'!$B:$W,5,FALSE),0)</f>
        <v>55177</v>
      </c>
      <c r="P37" s="89">
        <f t="shared" si="29"/>
        <v>6.890556127431573E-3</v>
      </c>
      <c r="Q37" s="89">
        <f t="shared" si="30"/>
        <v>7.9284669135191166E-3</v>
      </c>
      <c r="R37" s="47">
        <f>IFERROR(VLOOKUP("Adv. - Serv, Body, P &amp; A",'[8]PAGE 2'!$B:$W,4,FALSE),0)</f>
        <v>3887</v>
      </c>
      <c r="S37" s="13">
        <f>IFERROR(VLOOKUP("Adv. - Serv, Body, P &amp; A",'[8]PAGE 2'!$B:$W,5,FALSE),0)</f>
        <v>40810</v>
      </c>
      <c r="T37" s="90">
        <f t="shared" si="31"/>
        <v>8.6697208827189957E-3</v>
      </c>
      <c r="U37" s="90">
        <f t="shared" si="32"/>
        <v>8.0385012892920903E-3</v>
      </c>
      <c r="V37" s="47"/>
      <c r="W37" s="13"/>
      <c r="X37" s="90" t="e">
        <f t="shared" si="33"/>
        <v>#DIV/0!</v>
      </c>
      <c r="Y37" s="90" t="e">
        <f t="shared" si="34"/>
        <v>#DIV/0!</v>
      </c>
      <c r="Z37" s="47"/>
      <c r="AA37" s="13"/>
      <c r="AB37" s="89">
        <f t="shared" si="35"/>
        <v>0</v>
      </c>
      <c r="AC37" s="89">
        <f t="shared" si="36"/>
        <v>0</v>
      </c>
      <c r="AD37" s="47">
        <f>'New Vehicle'!P49+'Used Vehicle'!P56+Service!P59+'Parts &amp; Accessories'!P62</f>
        <v>0</v>
      </c>
      <c r="AE37" s="13">
        <f>'New Vehicle'!Q49+'Used Vehicle'!Q56+Service!Q59+'Parts &amp; Accessories'!Q62</f>
        <v>13054</v>
      </c>
      <c r="AF37" s="91">
        <f t="shared" si="37"/>
        <v>0</v>
      </c>
      <c r="AG37" s="92">
        <f t="shared" si="38"/>
        <v>1.7531313351074151E-3</v>
      </c>
      <c r="AH37" s="47">
        <f>IFERROR('New Vehicle'!R49+'Used Vehicle'!R56+Service!R59+'Parts &amp; Accessories'!R62,0)</f>
        <v>0</v>
      </c>
      <c r="AI37" s="13">
        <f>IFERROR('New Vehicle'!S49+'Used Vehicle'!S56+Service!S59+'Parts &amp; Accessories'!S62,0)</f>
        <v>0</v>
      </c>
      <c r="AJ37" s="47">
        <f>IFERROR('Used Vehicle'!T56+Service!T59+'Parts &amp; Accessories'!T62,0)</f>
        <v>0</v>
      </c>
      <c r="AK37" s="13">
        <f>IFERROR('Used Vehicle'!U56+Service!U59+'Parts &amp; Accessories'!U62,0)</f>
        <v>0</v>
      </c>
      <c r="AL37" s="47"/>
      <c r="AM37" s="13"/>
      <c r="AN37" s="47"/>
      <c r="AO37" s="13"/>
      <c r="AP37" s="47"/>
      <c r="AQ37" s="13"/>
      <c r="AR37" s="47">
        <f t="shared" si="0"/>
        <v>39478</v>
      </c>
      <c r="AS37" s="13">
        <f t="shared" si="1"/>
        <v>419030</v>
      </c>
    </row>
    <row r="38" spans="1:45">
      <c r="A38" s="88" t="s">
        <v>25</v>
      </c>
      <c r="B38" s="47">
        <f>INDEX('[4]Page 2'!$B:$DP,MATCH("0360",'[4]Page 2'!$M:$M,0),13)</f>
        <v>5335</v>
      </c>
      <c r="C38" s="13">
        <f>INDEX('[4]Page 2'!$B:$DP,MATCH("0360",'[4]Page 2'!$M:$M,0),24)</f>
        <v>74734</v>
      </c>
      <c r="D38" s="89">
        <f t="shared" si="39"/>
        <v>5.6266162679345097E-3</v>
      </c>
      <c r="E38" s="89">
        <f t="shared" si="45"/>
        <v>6.7557623849014582E-3</v>
      </c>
      <c r="F38" s="47">
        <f>INDEX('[5]Page 2'!$B:$DP,MATCH("0360",'[5]Page 2'!$M:$M,0),13)</f>
        <v>7800</v>
      </c>
      <c r="G38" s="13">
        <f>INDEX('[5]Page 2'!$B:$DP,MATCH("0360",'[5]Page 2'!$M:$M,0),24)</f>
        <v>63669</v>
      </c>
      <c r="H38" s="89">
        <f t="shared" si="40"/>
        <v>8.2263555557430517E-3</v>
      </c>
      <c r="I38" s="89">
        <f t="shared" si="26"/>
        <v>5.7555146959120465E-3</v>
      </c>
      <c r="J38" s="47">
        <f>INDEX('[6]Page 2'!$B:$DP,MATCH("0360",'[6]Page 2'!$M:$M,0),13)</f>
        <v>9941</v>
      </c>
      <c r="K38" s="13">
        <f>INDEX('[6]Page 2'!$B:$DP,MATCH("0360",'[6]Page 2'!$M:$M,0),24)</f>
        <v>93562</v>
      </c>
      <c r="L38" s="89">
        <f t="shared" si="27"/>
        <v>1.0501529646406599E-2</v>
      </c>
      <c r="M38" s="89">
        <f t="shared" si="28"/>
        <v>8.7937508182872656E-3</v>
      </c>
      <c r="N38" s="47">
        <f>IFERROR(VLOOKUP("Office Supplies &amp; Stationery",'[7]PAGE 2'!$B:$W,4,FALSE),0)</f>
        <v>4127</v>
      </c>
      <c r="O38" s="13">
        <f>IFERROR(VLOOKUP("Office Supplies &amp; Stationery",'[7]PAGE 2'!$B:$W,5,FALSE),0)</f>
        <v>22734</v>
      </c>
      <c r="P38" s="89">
        <f t="shared" si="29"/>
        <v>6.8080740095547284E-3</v>
      </c>
      <c r="Q38" s="89">
        <f t="shared" si="30"/>
        <v>3.2666829804437279E-3</v>
      </c>
      <c r="R38" s="47">
        <f>IFERROR(VLOOKUP("Office Supplies &amp; Stationery",'[8]PAGE 2'!$B:$W,4,FALSE),0)</f>
        <v>2362</v>
      </c>
      <c r="S38" s="13">
        <f>IFERROR(VLOOKUP("Office Supplies &amp; Stationery",'[8]PAGE 2'!$B:$W,5,FALSE),0)</f>
        <v>13938</v>
      </c>
      <c r="T38" s="90">
        <f t="shared" si="31"/>
        <v>5.2682996462521912E-3</v>
      </c>
      <c r="U38" s="90">
        <f t="shared" si="32"/>
        <v>2.745420999023601E-3</v>
      </c>
      <c r="V38" s="47"/>
      <c r="W38" s="13"/>
      <c r="X38" s="90" t="e">
        <f t="shared" si="33"/>
        <v>#DIV/0!</v>
      </c>
      <c r="Y38" s="90" t="e">
        <f t="shared" si="34"/>
        <v>#DIV/0!</v>
      </c>
      <c r="Z38" s="47">
        <f>IFERROR(VLOOKUP("Stationery &amp; Office Supplies",'[9]PAGE 2'!$B:$S,4,FALSE),0)</f>
        <v>3775</v>
      </c>
      <c r="AA38" s="13">
        <f>IFERROR(VLOOKUP("Stationery &amp; Office Supplies",'[9]PAGE 2'!$B:$S,7,FALSE),0)</f>
        <v>27554</v>
      </c>
      <c r="AB38" s="89">
        <f t="shared" si="35"/>
        <v>4.0681991833426915E-3</v>
      </c>
      <c r="AC38" s="89">
        <f t="shared" si="36"/>
        <v>2.8136748642152206E-3</v>
      </c>
      <c r="AD38" s="47">
        <f>'New Vehicle'!P50+'Used Vehicle'!P57+Service!P60+'Parts &amp; Accessories'!P63</f>
        <v>4199</v>
      </c>
      <c r="AE38" s="13">
        <f>'New Vehicle'!Q50+'Used Vehicle'!Q57+Service!Q60+'Parts &amp; Accessories'!Q63</f>
        <v>48405</v>
      </c>
      <c r="AF38" s="91">
        <f t="shared" si="37"/>
        <v>6.6180804887197896E-3</v>
      </c>
      <c r="AG38" s="92">
        <f t="shared" si="38"/>
        <v>6.5007141317507608E-3</v>
      </c>
      <c r="AH38" s="47">
        <f>'New Vehicle'!R50+'Used Vehicle'!R57+Service!R60+'Parts &amp; Accessories'!R63</f>
        <v>3487.6975437502197</v>
      </c>
      <c r="AI38" s="13">
        <f>'New Vehicle'!S50+'Used Vehicle'!S57+Service!S60+'Parts &amp; Accessories'!S63</f>
        <v>70752</v>
      </c>
      <c r="AJ38" s="47">
        <f>IFERROR('Used Vehicle'!T57+Service!T60+'Parts &amp; Accessories'!T63,0)</f>
        <v>2437.4558817780212</v>
      </c>
      <c r="AK38" s="13">
        <f>IFERROR('Used Vehicle'!U57+Service!U60+'Parts &amp; Accessories'!U63,0)</f>
        <v>28824</v>
      </c>
      <c r="AL38" s="47">
        <f>+INDEX('[10]PAGE 2'!$1:$1048576,MATCH("stationery, office supplies &amp; postage",'[10]PAGE 2'!$B:$B,0),8)</f>
        <v>3149</v>
      </c>
      <c r="AM38" s="13">
        <f>+INDEX('[10]PAGE 2'!$1:$1048576,MATCH("stationery, office supplies &amp; postage",'[10]PAGE 2'!$B:$B,0),12)</f>
        <v>20549</v>
      </c>
      <c r="AN38" s="47">
        <f>IFERROR(VLOOKUP("Stationery &amp; Office Supplies",'[11]PAGE 2'!$B:$S,4,FALSE),0)</f>
        <v>5236</v>
      </c>
      <c r="AO38" s="13">
        <f>IFERROR(VLOOKUP("Stationery &amp; Office Supplies",'[11]PAGE 2'!$B:$S,7,FALSE),0)</f>
        <v>18943</v>
      </c>
      <c r="AP38" s="47">
        <f>IFERROR(VLOOKUP("Stationery &amp; Office Supplies",'[12]PAGE 2'!$B:$S,4,FALSE),0)</f>
        <v>2386</v>
      </c>
      <c r="AQ38" s="13">
        <f>IFERROR(VLOOKUP("Stationery &amp; Office Supplies",'[12]PAGE 2'!$B:$S,7,FALSE),0)</f>
        <v>9900</v>
      </c>
      <c r="AR38" s="47">
        <f t="shared" si="0"/>
        <v>54235.153425528239</v>
      </c>
      <c r="AS38" s="13">
        <f t="shared" si="1"/>
        <v>493564</v>
      </c>
    </row>
    <row r="39" spans="1:45">
      <c r="A39" s="88" t="s">
        <v>26</v>
      </c>
      <c r="B39" s="47">
        <f>INDEX('[4]Page 2'!$B:$DP,MATCH("0370",'[4]Page 2'!$M:$M,0),13)</f>
        <v>4725</v>
      </c>
      <c r="C39" s="13">
        <f>INDEX('[4]Page 2'!$B:$DP,MATCH("0370",'[4]Page 2'!$M:$M,0),24)</f>
        <v>28618</v>
      </c>
      <c r="D39" s="89">
        <f t="shared" si="39"/>
        <v>4.9832730770366556E-3</v>
      </c>
      <c r="E39" s="89">
        <f t="shared" si="45"/>
        <v>2.5869939777224548E-3</v>
      </c>
      <c r="F39" s="47">
        <f>INDEX('[5]Page 2'!$B:$DP,MATCH("0370",'[5]Page 2'!$M:$M,0),13)</f>
        <v>6059</v>
      </c>
      <c r="G39" s="13">
        <f>INDEX('[5]Page 2'!$B:$DP,MATCH("0370",'[5]Page 2'!$M:$M,0),24)</f>
        <v>43730</v>
      </c>
      <c r="H39" s="89">
        <f t="shared" si="40"/>
        <v>6.3901908092624544E-3</v>
      </c>
      <c r="I39" s="89">
        <f t="shared" si="26"/>
        <v>3.9530801120205095E-3</v>
      </c>
      <c r="J39" s="47">
        <f>INDEX('[6]Page 2'!$B:$DP,MATCH("0370",'[6]Page 2'!$M:$M,0),13)</f>
        <v>18987</v>
      </c>
      <c r="K39" s="13">
        <f>INDEX('[6]Page 2'!$B:$DP,MATCH("0370",'[6]Page 2'!$M:$M,0),24)</f>
        <v>223353</v>
      </c>
      <c r="L39" s="89">
        <f t="shared" si="27"/>
        <v>2.0057594145088228E-2</v>
      </c>
      <c r="M39" s="89">
        <f t="shared" si="28"/>
        <v>2.0992610531165596E-2</v>
      </c>
      <c r="N39" s="47">
        <f>IFERROR(VLOOKUP("Laundry &amp; Uniforms",'[7]PAGE 2'!$B:$W,4,FALSE),0)</f>
        <v>673</v>
      </c>
      <c r="O39" s="13">
        <f>IFERROR(VLOOKUP("Laundry &amp; Uniforms",'[7]PAGE 2'!$B:$W,5,FALSE),0)</f>
        <v>6151</v>
      </c>
      <c r="P39" s="89">
        <f t="shared" si="29"/>
        <v>1.1102093066223243E-3</v>
      </c>
      <c r="Q39" s="89">
        <f t="shared" si="30"/>
        <v>8.8384652998633637E-4</v>
      </c>
      <c r="R39" s="47">
        <f>IFERROR(VLOOKUP("Laundry &amp; Uniforms",'[8]PAGE 2'!$B:$W,4,FALSE),0)</f>
        <v>424</v>
      </c>
      <c r="S39" s="13">
        <f>IFERROR(VLOOKUP("Laundry &amp; Uniforms",'[8]PAGE 2'!$B:$W,5,FALSE),0)</f>
        <v>4817</v>
      </c>
      <c r="T39" s="90">
        <f t="shared" si="31"/>
        <v>9.4570662574552467E-4</v>
      </c>
      <c r="U39" s="90">
        <f t="shared" si="32"/>
        <v>9.4882285495025717E-4</v>
      </c>
      <c r="V39" s="47"/>
      <c r="W39" s="13"/>
      <c r="X39" s="90" t="e">
        <f t="shared" si="33"/>
        <v>#DIV/0!</v>
      </c>
      <c r="Y39" s="90" t="e">
        <f t="shared" si="34"/>
        <v>#DIV/0!</v>
      </c>
      <c r="Z39" s="47">
        <f>IFERROR(VLOOKUP("Laundry &amp; Uniforms",'[9]PAGE 2'!$B:$S,4,FALSE),0)</f>
        <v>116</v>
      </c>
      <c r="AA39" s="13">
        <f>IFERROR(VLOOKUP("Laundry &amp; Uniforms",'[9]PAGE 2'!$B:$S,7,FALSE),0)</f>
        <v>14923</v>
      </c>
      <c r="AB39" s="89">
        <f t="shared" si="35"/>
        <v>1.2500956430933833E-4</v>
      </c>
      <c r="AC39" s="89">
        <f t="shared" si="36"/>
        <v>1.5238611453394692E-3</v>
      </c>
      <c r="AD39" s="47">
        <f>'New Vehicle'!P51+'Used Vehicle'!P58+Service!P61+'Parts &amp; Accessories'!P64</f>
        <v>0</v>
      </c>
      <c r="AE39" s="13">
        <f>'New Vehicle'!Q51+'Used Vehicle'!Q58+Service!Q61+'Parts &amp; Accessories'!Q64</f>
        <v>0</v>
      </c>
      <c r="AF39" s="91">
        <f t="shared" si="37"/>
        <v>0</v>
      </c>
      <c r="AG39" s="92">
        <f t="shared" si="38"/>
        <v>0</v>
      </c>
      <c r="AH39" s="47">
        <f>'New Vehicle'!R51+'Used Vehicle'!R58+Service!R61+'Parts &amp; Accessories'!R64</f>
        <v>0</v>
      </c>
      <c r="AI39" s="13">
        <f>'New Vehicle'!S51+'Used Vehicle'!S58+Service!S61+'Parts &amp; Accessories'!S64</f>
        <v>0</v>
      </c>
      <c r="AJ39" s="47">
        <f>IFERROR('Used Vehicle'!T58+Service!T61+'Parts &amp; Accessories'!T64,0)</f>
        <v>0</v>
      </c>
      <c r="AK39" s="13">
        <f>IFERROR('Used Vehicle'!U58+Service!U61+'Parts &amp; Accessories'!U64,0)</f>
        <v>0</v>
      </c>
      <c r="AL39" s="47">
        <f>+INDEX('[10]PAGE 2'!$1:$1048576,MATCH("laundry &amp; uniforms",'[10]PAGE 2'!$B:$B,0),8)</f>
        <v>632</v>
      </c>
      <c r="AM39" s="13">
        <f>+INDEX('[10]PAGE 2'!$1:$1048576,MATCH("laundry &amp; uniforms",'[10]PAGE 2'!$B:$B,0),12)</f>
        <v>9903</v>
      </c>
      <c r="AN39" s="47">
        <f>IFERROR(VLOOKUP("Laundry &amp; Uniforms",'[11]PAGE 2'!$B:$S,4,FALSE),0)</f>
        <v>0</v>
      </c>
      <c r="AO39" s="13">
        <f>IFERROR(VLOOKUP("Laundry &amp; Uniforms",'[11]PAGE 2'!$B:$S,7,FALSE),0)</f>
        <v>0</v>
      </c>
      <c r="AP39" s="47">
        <f>IFERROR(VLOOKUP("Laundry &amp; Uniforms",'[12]PAGE 2'!$B:$S,4,FALSE),0)</f>
        <v>285</v>
      </c>
      <c r="AQ39" s="13">
        <f>IFERROR(VLOOKUP("Laundry &amp; Uniforms",'[12]PAGE 2'!$B:$S,7,FALSE),0)</f>
        <v>4004</v>
      </c>
      <c r="AR39" s="47">
        <f t="shared" si="0"/>
        <v>31901</v>
      </c>
      <c r="AS39" s="13">
        <f t="shared" si="1"/>
        <v>335499</v>
      </c>
    </row>
    <row r="40" spans="1:45">
      <c r="A40" s="88" t="s">
        <v>27</v>
      </c>
      <c r="B40" s="47">
        <f>INDEX('[4]Page 2'!$B:$DP,MATCH("0380",'[4]Page 2'!$M:$M,0),13)</f>
        <v>26788</v>
      </c>
      <c r="C40" s="13">
        <f>INDEX('[4]Page 2'!$B:$DP,MATCH("0380",'[4]Page 2'!$M:$M,0),24)</f>
        <v>273484</v>
      </c>
      <c r="D40" s="89">
        <f t="shared" si="39"/>
        <v>2.8252258029133955E-2</v>
      </c>
      <c r="E40" s="89">
        <f t="shared" si="45"/>
        <v>2.4722253861326707E-2</v>
      </c>
      <c r="F40" s="47">
        <f>INDEX('[5]Page 2'!$B:$DP,MATCH("0380",'[5]Page 2'!$M:$M,0),13)</f>
        <v>38789</v>
      </c>
      <c r="G40" s="13">
        <f>INDEX('[5]Page 2'!$B:$DP,MATCH("0380",'[5]Page 2'!$M:$M,0),24)</f>
        <v>418269</v>
      </c>
      <c r="H40" s="89">
        <f t="shared" si="40"/>
        <v>4.0909244314322718E-2</v>
      </c>
      <c r="I40" s="89">
        <f t="shared" si="26"/>
        <v>3.7810447413096422E-2</v>
      </c>
      <c r="J40" s="47">
        <f>INDEX('[6]Page 2'!$B:$DP,MATCH("0380",'[6]Page 2'!$M:$M,0),13)</f>
        <v>32316</v>
      </c>
      <c r="K40" s="13">
        <f>INDEX('[6]Page 2'!$B:$DP,MATCH("0380",'[6]Page 2'!$M:$M,0),24)</f>
        <v>340095</v>
      </c>
      <c r="L40" s="89">
        <f t="shared" si="27"/>
        <v>3.4138158339530794E-2</v>
      </c>
      <c r="M40" s="89">
        <f t="shared" si="28"/>
        <v>3.1965014477516589E-2</v>
      </c>
      <c r="N40" s="47">
        <f>IFERROR(VLOOKUP("Outside Services",'[7]PAGE 2'!$B:$W,4,FALSE),0)</f>
        <v>11589</v>
      </c>
      <c r="O40" s="13">
        <f>IFERROR(VLOOKUP("Outside Services",'[7]PAGE 2'!$B:$W,5,FALSE),0)</f>
        <v>270898</v>
      </c>
      <c r="P40" s="89">
        <f t="shared" si="29"/>
        <v>1.9117705281494972E-2</v>
      </c>
      <c r="Q40" s="89">
        <f t="shared" si="30"/>
        <v>3.8925744965085114E-2</v>
      </c>
      <c r="R40" s="47">
        <f>IFERROR(VLOOKUP("Outside Services",'[8]PAGE 2'!$B:$W,4,FALSE),0)</f>
        <v>20473</v>
      </c>
      <c r="S40" s="13">
        <f>IFERROR(VLOOKUP("Outside Services",'[8]PAGE 2'!$B:$W,5,FALSE),0)</f>
        <v>292497</v>
      </c>
      <c r="T40" s="90">
        <f t="shared" si="31"/>
        <v>4.5663801294547467E-2</v>
      </c>
      <c r="U40" s="90">
        <f t="shared" si="32"/>
        <v>5.7614249243177366E-2</v>
      </c>
      <c r="V40" s="47"/>
      <c r="W40" s="13"/>
      <c r="X40" s="90" t="e">
        <f t="shared" si="33"/>
        <v>#DIV/0!</v>
      </c>
      <c r="Y40" s="90" t="e">
        <f t="shared" si="34"/>
        <v>#DIV/0!</v>
      </c>
      <c r="Z40" s="47">
        <f>IFERROR(VLOOKUP("Outside Services - Departmental",'[9]PAGE 2'!$B:$S,4,FALSE)+VLOOKUP("Outside Services - Gen. &amp; Inst.",'[9]PAGE 2'!$B:$S,4,FALSE),0)</f>
        <v>31767</v>
      </c>
      <c r="AA40" s="13">
        <f>IFERROR(VLOOKUP("Outside Services - Departmental",'[9]PAGE 2'!$B:$S,7,FALSE)+VLOOKUP("Outside Services - Gen. &amp; Inst.",'[9]PAGE 2'!$B:$S,7,FALSE),0)</f>
        <v>443166</v>
      </c>
      <c r="AB40" s="89">
        <f t="shared" si="35"/>
        <v>3.4234300253575434E-2</v>
      </c>
      <c r="AC40" s="89">
        <f t="shared" si="36"/>
        <v>4.5253866403237371E-2</v>
      </c>
      <c r="AD40" s="47">
        <f>'New Vehicle'!P52+'Used Vehicle'!P59+Service!P62+'Parts &amp; Accessories'!P65</f>
        <v>-5599</v>
      </c>
      <c r="AE40" s="13">
        <f>'New Vehicle'!Q52+'Used Vehicle'!Q59+Service!Q62+'Parts &amp; Accessories'!Q65</f>
        <v>189794</v>
      </c>
      <c r="AF40" s="91">
        <f t="shared" si="37"/>
        <v>-8.8246326878642783E-3</v>
      </c>
      <c r="AG40" s="92">
        <f t="shared" si="38"/>
        <v>2.5489030842299431E-2</v>
      </c>
      <c r="AH40" s="47">
        <f>'New Vehicle'!R52+'Used Vehicle'!R59+Service!R62+'Parts &amp; Accessories'!R65</f>
        <v>37011.066172365056</v>
      </c>
      <c r="AI40" s="13">
        <f>'New Vehicle'!S52+'Used Vehicle'!S59+Service!S62+'Parts &amp; Accessories'!S65</f>
        <v>526575</v>
      </c>
      <c r="AJ40" s="47">
        <f>IFERROR('Used Vehicle'!T59+Service!T62+'Parts &amp; Accessories'!T65,0)</f>
        <v>3670.1039133664335</v>
      </c>
      <c r="AK40" s="13">
        <f>IFERROR('Used Vehicle'!U59+Service!U62+'Parts &amp; Accessories'!U65,0)</f>
        <v>106058</v>
      </c>
      <c r="AL40" s="47">
        <f>+INDEX('[10]PAGE 2'!$1:$1048576,MATCH("outside services",'[10]PAGE 2'!$B:$B,0),8)</f>
        <v>0</v>
      </c>
      <c r="AM40" s="13">
        <f>+INDEX('[10]PAGE 2'!$1:$1048576,MATCH("outside services",'[10]PAGE 2'!$B:$B,0),12)</f>
        <v>10000</v>
      </c>
      <c r="AN40" s="47">
        <f>IFERROR(VLOOKUP("Outside Services - Departmental",'[11]PAGE 2'!$B:$S,4,FALSE)+VLOOKUP("Outside Services - Gen. &amp; Inst.",'[11]PAGE 2'!$B:$S,4,FALSE),0)</f>
        <v>16288</v>
      </c>
      <c r="AO40" s="13">
        <f>IFERROR(VLOOKUP("Outside Services - Departmental",'[11]PAGE 2'!$B:$S,7,FALSE)+VLOOKUP("Outside Services - Gen. &amp; Inst.",'[11]PAGE 2'!$B:$S,7,FALSE),0)</f>
        <v>104211</v>
      </c>
      <c r="AP40" s="47">
        <f>IFERROR(VLOOKUP("Outside Services - Departmental",'[12]PAGE 2'!$B:$S,4,FALSE)+VLOOKUP("Outside Services - Gen. &amp; Inst.",'[12]PAGE 2'!$B:$S,4,FALSE),0)</f>
        <v>8775</v>
      </c>
      <c r="AQ40" s="13">
        <f>IFERROR(VLOOKUP("Outside Services - Departmental",'[12]PAGE 2'!$B:$S,7,FALSE)+VLOOKUP("Outside Services - Gen. &amp; Inst.",'[12]PAGE 2'!$B:$S,7,FALSE),0)</f>
        <v>51339</v>
      </c>
      <c r="AR40" s="47">
        <f t="shared" si="0"/>
        <v>221867.17008573149</v>
      </c>
      <c r="AS40" s="13">
        <f t="shared" si="1"/>
        <v>3026386</v>
      </c>
    </row>
    <row r="41" spans="1:45">
      <c r="A41" s="88" t="s">
        <v>28</v>
      </c>
      <c r="B41" s="47">
        <f>INDEX('[4]Page 2'!$B:$DP,MATCH("0390",'[4]Page 2'!$M:$M,0),13)</f>
        <v>3230</v>
      </c>
      <c r="C41" s="13">
        <f>INDEX('[4]Page 2'!$B:$DP,MATCH("0390",'[4]Page 2'!$M:$M,0),24)</f>
        <v>32747</v>
      </c>
      <c r="D41" s="89">
        <f t="shared" si="39"/>
        <v>3.4065549288525713E-3</v>
      </c>
      <c r="E41" s="89">
        <f t="shared" si="45"/>
        <v>2.9602450132251456E-3</v>
      </c>
      <c r="F41" s="47">
        <f>INDEX('[5]Page 2'!$B:$DP,MATCH("0390",'[5]Page 2'!$M:$M,0),13)</f>
        <v>10275</v>
      </c>
      <c r="G41" s="13">
        <f>INDEX('[5]Page 2'!$B:$DP,MATCH("0390",'[5]Page 2'!$M:$M,0),24)</f>
        <v>93229</v>
      </c>
      <c r="H41" s="89">
        <f t="shared" si="40"/>
        <v>1.0836641453238443E-2</v>
      </c>
      <c r="I41" s="89">
        <f t="shared" si="26"/>
        <v>8.4276630634246529E-3</v>
      </c>
      <c r="J41" s="47">
        <f>INDEX('[6]Page 2'!$B:$DP,MATCH("0390",'[6]Page 2'!$M:$M,0),13)</f>
        <v>11353</v>
      </c>
      <c r="K41" s="13">
        <f>INDEX('[6]Page 2'!$B:$DP,MATCH("0390",'[6]Page 2'!$M:$M,0),24)</f>
        <v>69301</v>
      </c>
      <c r="L41" s="89">
        <f t="shared" si="27"/>
        <v>1.1993146169968223E-2</v>
      </c>
      <c r="M41" s="89">
        <f t="shared" si="28"/>
        <v>6.5134961358043406E-3</v>
      </c>
      <c r="N41" s="47">
        <f>IFERROR(VLOOKUP("Travel &amp; Entertainment",'[7]PAGE 2'!$B:$W,4,FALSE),0)</f>
        <v>60</v>
      </c>
      <c r="O41" s="13">
        <f>IFERROR(VLOOKUP("Travel &amp; Entertainment",'[7]PAGE 2'!$B:$W,5,FALSE),0)</f>
        <v>305</v>
      </c>
      <c r="P41" s="89">
        <f t="shared" si="29"/>
        <v>9.8978541452213157E-5</v>
      </c>
      <c r="Q41" s="89">
        <f t="shared" si="30"/>
        <v>4.3825913127269159E-5</v>
      </c>
      <c r="R41" s="47">
        <f>IFERROR(VLOOKUP("Travel &amp; Entertainment",'[8]PAGE 2'!$B:$W,4,FALSE),0)</f>
        <v>0</v>
      </c>
      <c r="S41" s="13">
        <f>IFERROR(VLOOKUP("Travel &amp; Entertainment",'[8]PAGE 2'!$B:$W,5,FALSE),0)</f>
        <v>20</v>
      </c>
      <c r="T41" s="90">
        <f t="shared" si="31"/>
        <v>0</v>
      </c>
      <c r="U41" s="90">
        <f t="shared" si="32"/>
        <v>3.9394762505719626E-6</v>
      </c>
      <c r="V41" s="47"/>
      <c r="W41" s="13"/>
      <c r="X41" s="90" t="e">
        <f t="shared" si="33"/>
        <v>#DIV/0!</v>
      </c>
      <c r="Y41" s="90" t="e">
        <f t="shared" si="34"/>
        <v>#DIV/0!</v>
      </c>
      <c r="Z41" s="47">
        <f>IFERROR(VLOOKUP("Travel &amp; Entertainment",'[9]PAGE 2'!$B:$S,4,FALSE),0)</f>
        <v>0</v>
      </c>
      <c r="AA41" s="13">
        <f>IFERROR(VLOOKUP("Travel &amp; Entertainment",'[9]PAGE 2'!$B:$S,7,FALSE),0)</f>
        <v>28</v>
      </c>
      <c r="AB41" s="89">
        <f t="shared" si="35"/>
        <v>0</v>
      </c>
      <c r="AC41" s="89">
        <f t="shared" si="36"/>
        <v>2.8592181243386143E-6</v>
      </c>
      <c r="AD41" s="47">
        <f>'New Vehicle'!P53+'Used Vehicle'!P60+Service!P63+'Parts &amp; Accessories'!P66</f>
        <v>1330</v>
      </c>
      <c r="AE41" s="13">
        <f>'New Vehicle'!Q53+'Used Vehicle'!Q60+Service!Q63+'Parts &amp; Accessories'!Q66</f>
        <v>28848</v>
      </c>
      <c r="AF41" s="91">
        <f t="shared" si="37"/>
        <v>2.0962245891872639E-3</v>
      </c>
      <c r="AG41" s="92">
        <f t="shared" si="38"/>
        <v>3.87424029072918E-3</v>
      </c>
      <c r="AH41" s="47">
        <f>'New Vehicle'!R53+'Used Vehicle'!R60+Service!R63+'Parts &amp; Accessories'!R66</f>
        <v>2203.2110825507166</v>
      </c>
      <c r="AI41" s="13">
        <f>'New Vehicle'!S53+'Used Vehicle'!S60+Service!S63+'Parts &amp; Accessories'!S66</f>
        <v>27601</v>
      </c>
      <c r="AJ41" s="47">
        <f>IFERROR('Used Vehicle'!T60+Service!T63+'Parts &amp; Accessories'!T66,0)</f>
        <v>381.12248328707142</v>
      </c>
      <c r="AK41" s="13">
        <f>IFERROR('Used Vehicle'!U60+Service!U63+'Parts &amp; Accessories'!U66,0)</f>
        <v>6211</v>
      </c>
      <c r="AL41" s="47">
        <f>+INDEX('[10]PAGE 2'!$1:$1048576,MATCH("travel and entertainment",'[10]PAGE 2'!$B:$B,0),8)</f>
        <v>1464</v>
      </c>
      <c r="AM41" s="13">
        <f>+INDEX('[10]PAGE 2'!$1:$1048576,MATCH("travel and entertainment",'[10]PAGE 2'!$B:$B,0),12)</f>
        <v>4230</v>
      </c>
      <c r="AN41" s="47">
        <f>IFERROR(VLOOKUP("Travel &amp; Entertainment",'[11]PAGE 2'!$B:$S,4,FALSE),0)</f>
        <v>1398</v>
      </c>
      <c r="AO41" s="13">
        <f>IFERROR(VLOOKUP("Travel &amp; Entertainment",'[11]PAGE 2'!$B:$S,7,FALSE),0)</f>
        <v>4815</v>
      </c>
      <c r="AP41" s="47">
        <f>IFERROR(VLOOKUP("Travel &amp; Entertainment",'[12]PAGE 2'!$B:$S,4,FALSE),0)</f>
        <v>1369</v>
      </c>
      <c r="AQ41" s="13">
        <f>IFERROR(VLOOKUP("Travel &amp; Entertainment",'[12]PAGE 2'!$B:$S,7,FALSE),0)</f>
        <v>5515</v>
      </c>
      <c r="AR41" s="47">
        <f t="shared" si="0"/>
        <v>33063.333565837791</v>
      </c>
      <c r="AS41" s="13">
        <f t="shared" si="1"/>
        <v>272850</v>
      </c>
    </row>
    <row r="42" spans="1:45">
      <c r="A42" s="88" t="s">
        <v>29</v>
      </c>
      <c r="B42" s="47">
        <f>INDEX('[4]Page 2'!$B:$DP,MATCH("0400",'[4]Page 2'!$M:$M,0),13)</f>
        <v>3114</v>
      </c>
      <c r="C42" s="13">
        <f>INDEX('[4]Page 2'!$B:$DP,MATCH("0400",'[4]Page 2'!$M:$M,0),24)</f>
        <v>47886</v>
      </c>
      <c r="D42" s="89">
        <f t="shared" si="39"/>
        <v>3.2842142564851102E-3</v>
      </c>
      <c r="E42" s="89">
        <f t="shared" si="45"/>
        <v>4.3287718784407528E-3</v>
      </c>
      <c r="F42" s="47">
        <f>INDEX('[5]Page 2'!$B:$DP,MATCH("0400",'[5]Page 2'!$M:$M,0),13)</f>
        <v>5327</v>
      </c>
      <c r="G42" s="13">
        <f>INDEX('[5]Page 2'!$B:$DP,MATCH("0400",'[5]Page 2'!$M:$M,0),24)</f>
        <v>65234</v>
      </c>
      <c r="H42" s="89">
        <f t="shared" si="40"/>
        <v>5.6181789801850301E-3</v>
      </c>
      <c r="I42" s="89">
        <f t="shared" si="26"/>
        <v>5.8969866916886785E-3</v>
      </c>
      <c r="J42" s="47">
        <f>INDEX('[6]Page 2'!$B:$DP,MATCH("0400",'[6]Page 2'!$M:$M,0),13)</f>
        <v>0</v>
      </c>
      <c r="K42" s="13">
        <f>INDEX('[6]Page 2'!$B:$DP,MATCH("0400",'[6]Page 2'!$M:$M,0),24)</f>
        <v>70645</v>
      </c>
      <c r="L42" s="89">
        <f t="shared" si="27"/>
        <v>0</v>
      </c>
      <c r="M42" s="89">
        <f t="shared" si="28"/>
        <v>6.6398166622977685E-3</v>
      </c>
      <c r="N42" s="47">
        <f>IFERROR(VLOOKUP("Legal &amp; Auditing",'[7]PAGE 2'!$B:$W,4,FALSE),0)</f>
        <v>-4579</v>
      </c>
      <c r="O42" s="13">
        <f>IFERROR(VLOOKUP("Legal &amp; Auditing",'[7]PAGE 2'!$B:$W,5,FALSE),0)</f>
        <v>47601</v>
      </c>
      <c r="P42" s="89">
        <f t="shared" si="29"/>
        <v>-7.5537123551614009E-3</v>
      </c>
      <c r="Q42" s="89">
        <f t="shared" si="30"/>
        <v>6.8398599697414401E-3</v>
      </c>
      <c r="R42" s="47">
        <f>IFERROR(VLOOKUP("Legal &amp; Auditing",'[8]PAGE 2'!$B:$W,4,FALSE),0)</f>
        <v>11613</v>
      </c>
      <c r="S42" s="13">
        <f>IFERROR(VLOOKUP("Legal &amp; Auditing",'[8]PAGE 2'!$B:$W,5,FALSE),0)</f>
        <v>56440</v>
      </c>
      <c r="T42" s="90">
        <f t="shared" si="31"/>
        <v>2.5902101520714097E-2</v>
      </c>
      <c r="U42" s="90">
        <f t="shared" si="32"/>
        <v>1.1117201979114078E-2</v>
      </c>
      <c r="V42" s="47"/>
      <c r="W42" s="13"/>
      <c r="X42" s="90" t="e">
        <f t="shared" si="33"/>
        <v>#DIV/0!</v>
      </c>
      <c r="Y42" s="90" t="e">
        <f t="shared" si="34"/>
        <v>#DIV/0!</v>
      </c>
      <c r="Z42" s="47">
        <f>IFERROR(VLOOKUP("Legal &amp; Auditing",'[9]PAGE 2'!$B:$S,4,FALSE),0)</f>
        <v>-6400</v>
      </c>
      <c r="AA42" s="13">
        <f>IFERROR(VLOOKUP("Legal &amp; Auditing",'[9]PAGE 2'!$B:$S,7,FALSE),0)</f>
        <v>47600</v>
      </c>
      <c r="AB42" s="89">
        <f t="shared" si="35"/>
        <v>-6.8970794101703902E-3</v>
      </c>
      <c r="AC42" s="89">
        <f t="shared" si="36"/>
        <v>4.8606708113756447E-3</v>
      </c>
      <c r="AD42" s="47">
        <f>'New Vehicle'!P54+'Used Vehicle'!P61+Service!P64+'Parts &amp; Accessories'!P67</f>
        <v>0</v>
      </c>
      <c r="AE42" s="13">
        <f>'New Vehicle'!Q54+'Used Vehicle'!Q61+Service!Q64+'Parts &amp; Accessories'!Q67</f>
        <v>0</v>
      </c>
      <c r="AF42" s="91">
        <f t="shared" si="37"/>
        <v>0</v>
      </c>
      <c r="AG42" s="92">
        <f t="shared" si="38"/>
        <v>0</v>
      </c>
      <c r="AH42" s="47">
        <f>'New Vehicle'!R54+'Used Vehicle'!R61+Service!R64+'Parts &amp; Accessories'!R67</f>
        <v>0</v>
      </c>
      <c r="AI42" s="13">
        <f>'New Vehicle'!S54+'Used Vehicle'!S61+Service!S64+'Parts &amp; Accessories'!S67</f>
        <v>0</v>
      </c>
      <c r="AJ42" s="47">
        <f>IFERROR('Used Vehicle'!T61+Service!T64+'Parts &amp; Accessories'!T67,0)</f>
        <v>0</v>
      </c>
      <c r="AK42" s="13">
        <f>IFERROR('Used Vehicle'!U61+Service!U64+'Parts &amp; Accessories'!U67,0)</f>
        <v>0</v>
      </c>
      <c r="AL42" s="47">
        <f>+INDEX('[10]PAGE 2'!$1:$1048576,MATCH("legal, accounting and auditing expense",'[10]PAGE 2'!$B:$B,0),8)</f>
        <v>17096</v>
      </c>
      <c r="AM42" s="13">
        <f>+INDEX('[10]PAGE 2'!$1:$1048576,MATCH("legal, accounting and auditing expense",'[10]PAGE 2'!$B:$B,0),12)</f>
        <v>44278</v>
      </c>
      <c r="AN42" s="47">
        <f>IFERROR(VLOOKUP("Legal &amp; Auditing",'[11]PAGE 2'!$B:$S,4,FALSE),0)</f>
        <v>500</v>
      </c>
      <c r="AO42" s="13">
        <f>IFERROR(VLOOKUP("Legal &amp; Auditing",'[11]PAGE 2'!$B:$S,7,FALSE),0)</f>
        <v>22198</v>
      </c>
      <c r="AP42" s="47">
        <f>IFERROR(VLOOKUP("Legal &amp; Auditing",'[12]PAGE 2'!$B:$S,4,FALSE),0)</f>
        <v>-4277</v>
      </c>
      <c r="AQ42" s="13">
        <f>IFERROR(VLOOKUP("Legal &amp; Auditing",'[12]PAGE 2'!$B:$S,7,FALSE),0)</f>
        <v>10845</v>
      </c>
      <c r="AR42" s="47">
        <f t="shared" si="0"/>
        <v>22394</v>
      </c>
      <c r="AS42" s="13">
        <f t="shared" si="1"/>
        <v>412727</v>
      </c>
    </row>
    <row r="43" spans="1:45">
      <c r="A43" s="88" t="s">
        <v>30</v>
      </c>
      <c r="B43" s="47">
        <f>INDEX('[4]Page 2'!$B:$DP,MATCH("0410",'[4]Page 2'!$M:$M,0),13)</f>
        <v>28029</v>
      </c>
      <c r="C43" s="13">
        <f>INDEX('[4]Page 2'!$B:$DP,MATCH("0410",'[4]Page 2'!$M:$M,0),24)</f>
        <v>363328</v>
      </c>
      <c r="D43" s="89">
        <f t="shared" si="39"/>
        <v>2.9561092291272049E-2</v>
      </c>
      <c r="E43" s="89">
        <f t="shared" si="45"/>
        <v>3.2843921585643442E-2</v>
      </c>
      <c r="F43" s="47">
        <f>INDEX('[5]Page 2'!$B:$DP,MATCH("0410",'[5]Page 2'!$M:$M,0),13)</f>
        <v>19652</v>
      </c>
      <c r="G43" s="13">
        <f>INDEX('[5]Page 2'!$B:$DP,MATCH("0410",'[5]Page 2'!$M:$M,0),24)</f>
        <v>236563</v>
      </c>
      <c r="H43" s="89">
        <f t="shared" si="40"/>
        <v>2.072619735659775E-2</v>
      </c>
      <c r="I43" s="89">
        <f t="shared" si="26"/>
        <v>2.1384689927736285E-2</v>
      </c>
      <c r="J43" s="47">
        <f>INDEX('[6]Page 2'!$B:$DP,MATCH("0410",'[6]Page 2'!$M:$M,0),13)</f>
        <v>32817</v>
      </c>
      <c r="K43" s="13">
        <f>INDEX('[6]Page 2'!$B:$DP,MATCH("0410",'[6]Page 2'!$M:$M,0),24)</f>
        <v>336419</v>
      </c>
      <c r="L43" s="89">
        <f t="shared" si="27"/>
        <v>3.4667407545128794E-2</v>
      </c>
      <c r="M43" s="89">
        <f t="shared" si="28"/>
        <v>3.1619512799399153E-2</v>
      </c>
      <c r="N43" s="47">
        <f>IFERROR(VLOOKUP("Telephone",'[7]PAGE 2'!$B:$W,4,FALSE),0)</f>
        <v>791</v>
      </c>
      <c r="O43" s="13">
        <f>IFERROR(VLOOKUP("Telephone",'[7]PAGE 2'!$B:$W,5,FALSE),0)</f>
        <v>10571</v>
      </c>
      <c r="P43" s="89">
        <f t="shared" si="29"/>
        <v>1.3048671048116768E-3</v>
      </c>
      <c r="Q43" s="89">
        <f t="shared" si="30"/>
        <v>1.5189630415356141E-3</v>
      </c>
      <c r="R43" s="47">
        <f>IFERROR(VLOOKUP("Telephone",'[8]PAGE 2'!$B:$W,4,FALSE),0)</f>
        <v>1087</v>
      </c>
      <c r="S43" s="13">
        <f>IFERROR(VLOOKUP("Telephone",'[8]PAGE 2'!$B:$W,5,FALSE),0)</f>
        <v>17956</v>
      </c>
      <c r="T43" s="90">
        <f t="shared" si="31"/>
        <v>2.4244884485504371E-3</v>
      </c>
      <c r="U43" s="90">
        <f t="shared" si="32"/>
        <v>3.5368617777635082E-3</v>
      </c>
      <c r="V43" s="47"/>
      <c r="W43" s="13"/>
      <c r="X43" s="90" t="e">
        <f t="shared" si="33"/>
        <v>#DIV/0!</v>
      </c>
      <c r="Y43" s="90" t="e">
        <f t="shared" si="34"/>
        <v>#DIV/0!</v>
      </c>
      <c r="Z43" s="47">
        <f>IFERROR(VLOOKUP("Telephone  ",'[9]PAGE 2'!$B:$S,4,FALSE),0)</f>
        <v>1457</v>
      </c>
      <c r="AA43" s="13">
        <f>IFERROR(VLOOKUP("Telephone  ",'[9]PAGE 2'!$B:$S,7,FALSE),0)</f>
        <v>14279</v>
      </c>
      <c r="AB43" s="89">
        <f t="shared" si="35"/>
        <v>1.5701632344716028E-3</v>
      </c>
      <c r="AC43" s="89">
        <f t="shared" si="36"/>
        <v>1.4580991284796811E-3</v>
      </c>
      <c r="AD43" s="47">
        <f>'New Vehicle'!P55+'Used Vehicle'!P62+Service!P65+'Parts &amp; Accessories'!P68</f>
        <v>4985</v>
      </c>
      <c r="AE43" s="13">
        <f>'New Vehicle'!Q55+'Used Vehicle'!Q62+Service!Q65+'Parts &amp; Accessories'!Q68</f>
        <v>58062</v>
      </c>
      <c r="AF43" s="91">
        <f t="shared" si="37"/>
        <v>7.856901937668052E-3</v>
      </c>
      <c r="AG43" s="92">
        <f t="shared" si="38"/>
        <v>7.7976337964613717E-3</v>
      </c>
      <c r="AH43" s="47">
        <f>'New Vehicle'!R55+'Used Vehicle'!R62+Service!R65+'Parts &amp; Accessories'!R68</f>
        <v>486.72244830205381</v>
      </c>
      <c r="AI43" s="13">
        <f>'New Vehicle'!S55+'Used Vehicle'!S62+Service!S65+'Parts &amp; Accessories'!S68</f>
        <v>15752</v>
      </c>
      <c r="AJ43" s="47">
        <f>IFERROR('Used Vehicle'!T62+Service!T65+'Parts &amp; Accessories'!T68,0)</f>
        <v>360.0023456741859</v>
      </c>
      <c r="AK43" s="13">
        <f>IFERROR('Used Vehicle'!U62+Service!U65+'Parts &amp; Accessories'!U68,0)</f>
        <v>10116</v>
      </c>
      <c r="AL43" s="47">
        <f>+INDEX('[10]PAGE 2'!$1:$1048576,MATCH("Telephone ",'[10]PAGE 2'!$B:$B,0),8)</f>
        <v>1411</v>
      </c>
      <c r="AM43" s="13">
        <f>+INDEX('[10]PAGE 2'!$1:$1048576,MATCH("Telephone ",'[10]PAGE 2'!$B:$B,0),12)</f>
        <v>7051</v>
      </c>
      <c r="AN43" s="47">
        <f>IFERROR(VLOOKUP("Telephone  ",'[11]PAGE 2'!$B:$S,4,FALSE),0)</f>
        <v>1206</v>
      </c>
      <c r="AO43" s="13">
        <f>IFERROR(VLOOKUP("Telephone  ",'[11]PAGE 2'!$B:$S,7,FALSE),0)</f>
        <v>6722</v>
      </c>
      <c r="AP43" s="47">
        <f>IFERROR(VLOOKUP("Telephone  ",'[12]PAGE 2'!$B:$S,4,FALSE),0)</f>
        <v>1395</v>
      </c>
      <c r="AQ43" s="13">
        <f>IFERROR(VLOOKUP("Telephone  ",'[12]PAGE 2'!$B:$S,7,FALSE),0)</f>
        <v>8986</v>
      </c>
      <c r="AR43" s="47">
        <f t="shared" si="0"/>
        <v>93676.724793976246</v>
      </c>
      <c r="AS43" s="13">
        <f t="shared" si="1"/>
        <v>1085805</v>
      </c>
    </row>
    <row r="44" spans="1:45">
      <c r="A44" s="88" t="s">
        <v>31</v>
      </c>
      <c r="B44" s="47">
        <f>INDEX('[4]Page 2'!$B:$DP,MATCH("0420",'[4]Page 2'!$M:$M,0),13)</f>
        <v>2831</v>
      </c>
      <c r="C44" s="13">
        <f>INDEX('[4]Page 2'!$B:$DP,MATCH("0420",'[4]Page 2'!$M:$M,0),24)</f>
        <v>30178</v>
      </c>
      <c r="D44" s="89">
        <f t="shared" si="39"/>
        <v>2.9857452023472533E-3</v>
      </c>
      <c r="E44" s="89">
        <f t="shared" si="45"/>
        <v>2.7280139862921318E-3</v>
      </c>
      <c r="F44" s="47">
        <f>INDEX('[5]Page 2'!$B:$DP,MATCH("0420",'[5]Page 2'!$M:$M,0),13)</f>
        <v>8731</v>
      </c>
      <c r="G44" s="13">
        <f>INDEX('[5]Page 2'!$B:$DP,MATCH("0420",'[5]Page 2'!$M:$M,0),24)</f>
        <v>40428</v>
      </c>
      <c r="H44" s="89">
        <f t="shared" si="40"/>
        <v>9.2082449175887923E-3</v>
      </c>
      <c r="I44" s="89">
        <f t="shared" si="26"/>
        <v>3.6545877605480255E-3</v>
      </c>
      <c r="J44" s="47">
        <f>INDEX('[6]Page 2'!$B:$DP,MATCH("0420",'[6]Page 2'!$M:$M,0),13)</f>
        <v>5500</v>
      </c>
      <c r="K44" s="13">
        <f>INDEX('[6]Page 2'!$B:$DP,MATCH("0420",'[6]Page 2'!$M:$M,0),24)</f>
        <v>76645</v>
      </c>
      <c r="L44" s="89">
        <f t="shared" si="27"/>
        <v>5.8101210195389084E-3</v>
      </c>
      <c r="M44" s="89">
        <f t="shared" si="28"/>
        <v>7.203747584143428E-3</v>
      </c>
      <c r="N44" s="47">
        <f>IFERROR(VLOOKUP("Training",'[7]PAGE 2'!$B:$W,4,FALSE),0)</f>
        <v>4496</v>
      </c>
      <c r="O44" s="13">
        <f>IFERROR(VLOOKUP("Training",'[7]PAGE 2'!$B:$W,5,FALSE),0)</f>
        <v>69347</v>
      </c>
      <c r="P44" s="89">
        <f t="shared" si="29"/>
        <v>7.4167920394858393E-3</v>
      </c>
      <c r="Q44" s="89">
        <f t="shared" si="30"/>
        <v>9.9645757299565065E-3</v>
      </c>
      <c r="R44" s="47">
        <f>IFERROR(VLOOKUP("Training",'[8]PAGE 2'!$B:$W,4,FALSE),0)</f>
        <v>6430</v>
      </c>
      <c r="S44" s="13">
        <f>IFERROR(VLOOKUP("Training",'[8]PAGE 2'!$B:$W,5,FALSE),0)</f>
        <v>81095</v>
      </c>
      <c r="T44" s="90">
        <f t="shared" si="31"/>
        <v>1.4341730197037083E-2</v>
      </c>
      <c r="U44" s="90">
        <f t="shared" si="32"/>
        <v>1.5973591327006667E-2</v>
      </c>
      <c r="V44" s="47"/>
      <c r="W44" s="13"/>
      <c r="X44" s="90" t="e">
        <f t="shared" si="33"/>
        <v>#DIV/0!</v>
      </c>
      <c r="Y44" s="90" t="e">
        <f t="shared" si="34"/>
        <v>#DIV/0!</v>
      </c>
      <c r="Z44" s="47">
        <f>IFERROR(VLOOKUP("Personnel Training",'[9]PAGE 2'!$B:$S,4,FALSE),0)</f>
        <v>8027</v>
      </c>
      <c r="AA44" s="13">
        <f>IFERROR(VLOOKUP("Personnel Training",'[9]PAGE 2'!$B:$S,7,FALSE),0)</f>
        <v>98666</v>
      </c>
      <c r="AB44" s="89">
        <f t="shared" si="35"/>
        <v>8.6504463164746442E-3</v>
      </c>
      <c r="AC44" s="89">
        <f t="shared" si="36"/>
        <v>1.0075271980571204E-2</v>
      </c>
      <c r="AD44" s="47">
        <f>'New Vehicle'!P56+'Used Vehicle'!P63+Service!P66+'Parts &amp; Accessories'!P69</f>
        <v>8229</v>
      </c>
      <c r="AE44" s="13">
        <f>'New Vehicle'!Q56+'Used Vehicle'!Q63+Service!Q66+'Parts &amp; Accessories'!Q69</f>
        <v>94770</v>
      </c>
      <c r="AF44" s="91">
        <f t="shared" si="37"/>
        <v>1.2969798604828567E-2</v>
      </c>
      <c r="AG44" s="92">
        <f t="shared" si="38"/>
        <v>1.2727459524140474E-2</v>
      </c>
      <c r="AH44" s="47">
        <f>'New Vehicle'!R56+'Used Vehicle'!R63+Service!R66+'Parts &amp; Accessories'!R69</f>
        <v>712</v>
      </c>
      <c r="AI44" s="13">
        <f>'New Vehicle'!S56+'Used Vehicle'!S63+Service!S66+'Parts &amp; Accessories'!S69</f>
        <v>13550</v>
      </c>
      <c r="AJ44" s="47">
        <f>IFERROR('Used Vehicle'!T63+Service!T66+'Parts &amp; Accessories'!T69,0)</f>
        <v>0</v>
      </c>
      <c r="AK44" s="13">
        <f>IFERROR('Used Vehicle'!U63+Service!U66+'Parts &amp; Accessories'!U69,0)</f>
        <v>0</v>
      </c>
      <c r="AL44" s="47">
        <f>+INDEX('[10]PAGE 2'!$1:$1048576,MATCH("Training",'[10]PAGE 2'!$B:$B,0),8)</f>
        <v>368</v>
      </c>
      <c r="AM44" s="13">
        <f>+INDEX('[10]PAGE 2'!$1:$1048576,MATCH("Training",'[10]PAGE 2'!$B:$B,0),12)</f>
        <v>6890</v>
      </c>
      <c r="AN44" s="47">
        <f>IFERROR(VLOOKUP("Personnel Training",'[11]PAGE 2'!$B:$S,4,FALSE),0)</f>
        <v>25</v>
      </c>
      <c r="AO44" s="13">
        <f>IFERROR(VLOOKUP("Personnel Training",'[11]PAGE 2'!$B:$S,7,FALSE),0)</f>
        <v>18513</v>
      </c>
      <c r="AP44" s="47">
        <f>IFERROR(VLOOKUP("Personnel Training",'[12]PAGE 2'!$B:$S,4,FALSE),0)</f>
        <v>2961</v>
      </c>
      <c r="AQ44" s="13">
        <f>IFERROR(VLOOKUP("Personnel Training",'[12]PAGE 2'!$B:$S,7,FALSE),0)</f>
        <v>6671</v>
      </c>
      <c r="AR44" s="47">
        <f t="shared" si="0"/>
        <v>48310</v>
      </c>
      <c r="AS44" s="13">
        <f t="shared" si="1"/>
        <v>536753</v>
      </c>
    </row>
    <row r="45" spans="1:45">
      <c r="A45" s="88" t="s">
        <v>32</v>
      </c>
      <c r="B45" s="47">
        <f>INDEX('[4]Page 2'!$B:$DP,MATCH("0430",'[4]Page 2'!$M:$M,0),13)</f>
        <v>0</v>
      </c>
      <c r="C45" s="13">
        <f>INDEX('[4]Page 2'!$B:$DP,MATCH("0430",'[4]Page 2'!$M:$M,0),24)</f>
        <v>0</v>
      </c>
      <c r="D45" s="89">
        <f t="shared" si="39"/>
        <v>0</v>
      </c>
      <c r="E45" s="89">
        <f t="shared" si="45"/>
        <v>0</v>
      </c>
      <c r="F45" s="47">
        <f>INDEX('[5]Page 2'!$B:$DP,MATCH("0430",'[5]Page 2'!$M:$M,0),13)</f>
        <v>0</v>
      </c>
      <c r="G45" s="13">
        <f>INDEX('[5]Page 2'!$B:$DP,MATCH("0430",'[5]Page 2'!$M:$M,0),24)</f>
        <v>8160</v>
      </c>
      <c r="H45" s="89">
        <f t="shared" si="40"/>
        <v>0</v>
      </c>
      <c r="I45" s="89">
        <f t="shared" si="26"/>
        <v>7.3764312174908202E-4</v>
      </c>
      <c r="J45" s="47">
        <f>INDEX('[6]Page 2'!$B:$DP,MATCH("0430",'[6]Page 2'!$M:$M,0),13)</f>
        <v>0</v>
      </c>
      <c r="K45" s="13">
        <f>INDEX('[6]Page 2'!$B:$DP,MATCH("0430",'[6]Page 2'!$M:$M,0),24)</f>
        <v>0</v>
      </c>
      <c r="L45" s="89">
        <f t="shared" si="27"/>
        <v>0</v>
      </c>
      <c r="M45" s="89">
        <f t="shared" si="28"/>
        <v>0</v>
      </c>
      <c r="N45" s="47">
        <f>IFERROR(VLOOKUP("Bad Debts",'[7]PAGE 2'!$B:$W,4,FALSE),0)</f>
        <v>-3214</v>
      </c>
      <c r="O45" s="13">
        <f>IFERROR(VLOOKUP("Bad Debts",'[7]PAGE 2'!$B:$W,5,FALSE),0)</f>
        <v>0</v>
      </c>
      <c r="P45" s="89">
        <f t="shared" si="29"/>
        <v>-5.301950537123552E-3</v>
      </c>
      <c r="Q45" s="89">
        <f t="shared" si="30"/>
        <v>0</v>
      </c>
      <c r="R45" s="47">
        <f>IFERROR(VLOOKUP("Bad Debts",'[8]PAGE 2'!$B:$W,4,FALSE),0)</f>
        <v>-501</v>
      </c>
      <c r="S45" s="13">
        <f>IFERROR(VLOOKUP("Bad Debts",'[8]PAGE 2'!$B:$W,5,FALSE),0)</f>
        <v>0</v>
      </c>
      <c r="T45" s="90">
        <f t="shared" si="31"/>
        <v>-1.11745051768516E-3</v>
      </c>
      <c r="U45" s="90">
        <f t="shared" si="32"/>
        <v>0</v>
      </c>
      <c r="V45" s="47"/>
      <c r="W45" s="13"/>
      <c r="X45" s="90" t="e">
        <f t="shared" si="33"/>
        <v>#DIV/0!</v>
      </c>
      <c r="Y45" s="90" t="e">
        <f t="shared" si="34"/>
        <v>#DIV/0!</v>
      </c>
      <c r="Z45" s="47">
        <f>IFERROR(VLOOKUP(0,'[9]PAGE 2'!$B:$S,4,FALSE),0)</f>
        <v>0</v>
      </c>
      <c r="AA45" s="13">
        <f>IFERROR(VLOOKUP(0,'[9]PAGE 2'!$B:$S,7,FALSE),0)</f>
        <v>0</v>
      </c>
      <c r="AB45" s="89">
        <f t="shared" si="35"/>
        <v>0</v>
      </c>
      <c r="AC45" s="89">
        <f t="shared" si="36"/>
        <v>0</v>
      </c>
      <c r="AD45" s="47">
        <f>'New Vehicle'!P57+'Used Vehicle'!P64+Service!P67+'Parts &amp; Accessories'!P70</f>
        <v>-446.99999999999994</v>
      </c>
      <c r="AE45" s="13">
        <f>'New Vehicle'!Q57+'Used Vehicle'!Q64+Service!Q67+'Parts &amp; Accessories'!Q70</f>
        <v>0</v>
      </c>
      <c r="AF45" s="91">
        <f t="shared" si="37"/>
        <v>-7.045205950125615E-4</v>
      </c>
      <c r="AG45" s="92">
        <f t="shared" si="38"/>
        <v>0</v>
      </c>
      <c r="AH45" s="47">
        <f>IFERROR('New Vehicle'!R57+'Used Vehicle'!R64+Service!R67+'Parts &amp; Accessories'!R70,0)</f>
        <v>0</v>
      </c>
      <c r="AI45" s="13">
        <f>IFERROR('New Vehicle'!S57+'Used Vehicle'!S64+Service!S67+'Parts &amp; Accessories'!S70,0)</f>
        <v>0</v>
      </c>
      <c r="AJ45" s="47">
        <f>IFERROR('Used Vehicle'!T64+Service!T67+'Parts &amp; Accessories'!T70,0)</f>
        <v>0</v>
      </c>
      <c r="AK45" s="13">
        <f>IFERROR('Used Vehicle'!U64+Service!U67+'Parts &amp; Accessories'!U70,0)</f>
        <v>0</v>
      </c>
      <c r="AL45" s="47">
        <f>+INDEX('[10]PAGE 2'!$1:$1048576,MATCH("adjustments for doubtful accounts",'[10]PAGE 2'!$B:$B,0),8)+INDEX('[10]PAGE 2'!$1:$1048576,MATCH("bad debts recovered",'[10]PAGE 2'!$B:$B,0),8)</f>
        <v>0</v>
      </c>
      <c r="AM45" s="13">
        <f>+INDEX('[10]PAGE 2'!$1:$1048576,MATCH("adjustments for doubtful accounts",'[10]PAGE 2'!$B:$B,0),12)+INDEX('[10]PAGE 2'!$1:$1048576,MATCH("bad debts recovered",'[10]PAGE 2'!$B:$B,0),12)</f>
        <v>0</v>
      </c>
      <c r="AN45" s="47">
        <f>IFERROR(VLOOKUP(0,'[11]PAGE 2'!$B:$S,4,FALSE),0)</f>
        <v>0</v>
      </c>
      <c r="AO45" s="13">
        <f>IFERROR(VLOOKUP(0,'[11]PAGE 2'!$B:$S,7,FALSE),0)</f>
        <v>0</v>
      </c>
      <c r="AP45" s="47">
        <f>IFERROR(VLOOKUP(0,'[12]PAGE 2'!$B:$S,4,FALSE),0)</f>
        <v>0</v>
      </c>
      <c r="AQ45" s="13">
        <f>IFERROR(VLOOKUP(0,'[12]PAGE 2'!$B:$S,7,FALSE),0)</f>
        <v>0</v>
      </c>
      <c r="AR45" s="47">
        <f t="shared" si="0"/>
        <v>-4162</v>
      </c>
      <c r="AS45" s="13">
        <f t="shared" si="1"/>
        <v>8160</v>
      </c>
    </row>
    <row r="46" spans="1:45">
      <c r="A46" s="94" t="s">
        <v>33</v>
      </c>
      <c r="B46" s="47">
        <f>INDEX('[4]Page 2'!$B:$DP,MATCH("0440",'[4]Page 2'!$M:$M,0),13)</f>
        <v>4071</v>
      </c>
      <c r="C46" s="13">
        <f>INDEX('[4]Page 2'!$B:$DP,MATCH("0440",'[4]Page 2'!$M:$M,0),24)</f>
        <v>54974</v>
      </c>
      <c r="D46" s="89">
        <f t="shared" si="39"/>
        <v>4.2935248035166611E-3</v>
      </c>
      <c r="E46" s="89">
        <f t="shared" si="45"/>
        <v>4.9695089430188766E-3</v>
      </c>
      <c r="F46" s="47">
        <f>INDEX('[5]Page 2'!$B:$DP,MATCH("0440",'[5]Page 2'!$M:$M,0),13)</f>
        <v>7357</v>
      </c>
      <c r="G46" s="13">
        <f>INDEX('[5]Page 2'!$B:$DP,MATCH("0440",'[5]Page 2'!$M:$M,0),24)</f>
        <v>60062</v>
      </c>
      <c r="H46" s="89">
        <f t="shared" si="40"/>
        <v>7.7591407466155926E-3</v>
      </c>
      <c r="I46" s="89">
        <f t="shared" si="26"/>
        <v>5.429451124815363E-3</v>
      </c>
      <c r="J46" s="47">
        <f>INDEX('[6]Page 2'!$B:$DP,MATCH("0440",'[6]Page 2'!$M:$M,0),13)</f>
        <v>5845</v>
      </c>
      <c r="K46" s="13">
        <f>INDEX('[6]Page 2'!$B:$DP,MATCH("0440",'[6]Page 2'!$M:$M,0),24)</f>
        <v>51959</v>
      </c>
      <c r="L46" s="89">
        <f t="shared" si="27"/>
        <v>6.1745740653099861E-3</v>
      </c>
      <c r="M46" s="89">
        <f t="shared" si="28"/>
        <v>4.8835477946964365E-3</v>
      </c>
      <c r="N46" s="47">
        <f>+VLOOKUP("mISCELLANEOUS",'[7]PAGE 2'!$B:$W,4,FALSE)</f>
        <v>1725</v>
      </c>
      <c r="O46" s="13">
        <f>+VLOOKUP("mISCELLANEOUS",'[7]PAGE 2'!$B:$W,5,FALSE)</f>
        <v>3451</v>
      </c>
      <c r="P46" s="89">
        <f t="shared" si="29"/>
        <v>2.8456330667511283E-3</v>
      </c>
      <c r="Q46" s="89">
        <f t="shared" si="30"/>
        <v>4.9587943017116677E-4</v>
      </c>
      <c r="R46" s="47">
        <f>+VLOOKUP("mISCELLANEOUS",'[8]PAGE 2'!$B:$W,4,FALSE)</f>
        <v>0</v>
      </c>
      <c r="S46" s="13">
        <f>+VLOOKUP("mISCELLANEOUS",'[8]PAGE 2'!$B:$W,5,FALSE)</f>
        <v>0</v>
      </c>
      <c r="T46" s="90">
        <f t="shared" si="31"/>
        <v>0</v>
      </c>
      <c r="U46" s="90">
        <f t="shared" si="32"/>
        <v>0</v>
      </c>
      <c r="V46" s="47"/>
      <c r="W46" s="13"/>
      <c r="X46" s="90" t="e">
        <f t="shared" si="33"/>
        <v>#DIV/0!</v>
      </c>
      <c r="Y46" s="90" t="e">
        <f t="shared" si="34"/>
        <v>#DIV/0!</v>
      </c>
      <c r="Z46" s="47">
        <f>IFERROR(VLOOKUP("Miscellaneous Expenses",'[9]PAGE 2'!$B:$S,4,FALSE)+VLOOKUP("Postage",'[9]PAGE 2'!$B:$S,4,FALSE),0)</f>
        <v>4910</v>
      </c>
      <c r="AA46" s="13">
        <f>IFERROR(VLOOKUP("Miscellaneous Expenses",'[9]PAGE 2'!$B:$S,7,FALSE)+VLOOKUP("Postage",'[9]PAGE 2'!$B:$S,7,FALSE),0)</f>
        <v>55207</v>
      </c>
      <c r="AB46" s="89">
        <f t="shared" si="35"/>
        <v>5.2913531099900964E-3</v>
      </c>
      <c r="AC46" s="89">
        <f t="shared" si="36"/>
        <v>5.6374591067986386E-3</v>
      </c>
      <c r="AD46" s="47">
        <f>'New Vehicle'!P58+'Used Vehicle'!P65+Service!P68+'Parts &amp; Accessories'!P71</f>
        <v>11555</v>
      </c>
      <c r="AE46" s="13">
        <f>'New Vehicle'!Q58+'Used Vehicle'!Q65+Service!Q68+'Parts &amp; Accessories'!Q71</f>
        <v>106283</v>
      </c>
      <c r="AF46" s="91">
        <f t="shared" si="37"/>
        <v>1.8211936186510402E-2</v>
      </c>
      <c r="AG46" s="92">
        <f t="shared" si="38"/>
        <v>1.427363702230898E-2</v>
      </c>
      <c r="AH46" s="47">
        <f>'New Vehicle'!R58+'Used Vehicle'!R65+Service!R68+'Parts &amp; Accessories'!R71</f>
        <v>0</v>
      </c>
      <c r="AI46" s="13">
        <f>'New Vehicle'!S58+'Used Vehicle'!S65+Service!S68+'Parts &amp; Accessories'!S71</f>
        <v>0</v>
      </c>
      <c r="AJ46" s="47">
        <f>IFERROR('Used Vehicle'!T65+Service!T68+'Parts &amp; Accessories'!T71,0)</f>
        <v>0</v>
      </c>
      <c r="AK46" s="13">
        <f>IFERROR('Used Vehicle'!U65+Service!U68+'Parts &amp; Accessories'!U71,0)</f>
        <v>0</v>
      </c>
      <c r="AL46" s="47">
        <f>+INDEX('[10]PAGE 2'!$1:$1048576,MATCH(" miscellaneous",'[10]PAGE 2'!$B:$B,0),8)</f>
        <v>4890</v>
      </c>
      <c r="AM46" s="13">
        <f>+INDEX('[10]PAGE 2'!$1:$1048576,MATCH(" miscellaneous",'[10]PAGE 2'!$B:$B,0),12)</f>
        <v>22147</v>
      </c>
      <c r="AN46" s="47">
        <f>IFERROR(VLOOKUP("Miscellaneous Expenses",'[11]PAGE 2'!$B:$S,4,FALSE)+VLOOKUP("Postage",'[11]PAGE 2'!$B:$S,4,FALSE),0)</f>
        <v>2149</v>
      </c>
      <c r="AO46" s="13">
        <f>IFERROR(VLOOKUP("Miscellaneous Expenses",'[11]PAGE 2'!$B:$S,7,FALSE)+VLOOKUP("Postage",'[11]PAGE 2'!$B:$S,7,FALSE),0)</f>
        <v>17745</v>
      </c>
      <c r="AP46" s="47">
        <f>IFERROR(VLOOKUP("Miscellaneous Expenses",'[12]PAGE 2'!$B:$S,4,FALSE)+VLOOKUP("Postage",'[12]PAGE 2'!$B:$S,4,FALSE),0)</f>
        <v>1933</v>
      </c>
      <c r="AQ46" s="13">
        <f>IFERROR(VLOOKUP("Miscellaneous Expenses",'[12]PAGE 2'!$B:$S,7,FALSE)+VLOOKUP("Postage",'[12]PAGE 2'!$B:$S,7,FALSE),0)</f>
        <v>5770</v>
      </c>
      <c r="AR46" s="47">
        <f t="shared" si="0"/>
        <v>44435</v>
      </c>
      <c r="AS46" s="13">
        <f t="shared" si="1"/>
        <v>377598</v>
      </c>
    </row>
    <row r="47" spans="1:45">
      <c r="A47" s="88" t="s">
        <v>34</v>
      </c>
      <c r="B47" s="47"/>
      <c r="C47" s="13"/>
      <c r="D47" s="89"/>
      <c r="E47" s="89"/>
      <c r="F47" s="47"/>
      <c r="G47" s="13"/>
      <c r="H47" s="89"/>
      <c r="I47" s="89"/>
      <c r="J47" s="47"/>
      <c r="K47" s="13"/>
      <c r="L47" s="89">
        <f t="shared" si="27"/>
        <v>0</v>
      </c>
      <c r="M47" s="89">
        <f t="shared" si="28"/>
        <v>0</v>
      </c>
      <c r="N47" s="47">
        <f>IFERROR(VLOOKUP("Data Processing Services",'[7]PAGE 2'!$B:$W,4,FALSE),0)</f>
        <v>25845</v>
      </c>
      <c r="O47" s="13">
        <f>IFERROR(VLOOKUP("Data Processing Services",'[7]PAGE 2'!$B:$W,5,FALSE),0)</f>
        <v>201131</v>
      </c>
      <c r="P47" s="89">
        <f t="shared" si="29"/>
        <v>4.2635006730540818E-2</v>
      </c>
      <c r="Q47" s="89">
        <f t="shared" si="30"/>
        <v>2.8900818797379584E-2</v>
      </c>
      <c r="R47" s="47">
        <f>IFERROR(VLOOKUP("Data Processing Services",'[8]PAGE 2'!$B:$W,4,FALSE),0)</f>
        <v>15326</v>
      </c>
      <c r="S47" s="13">
        <f>IFERROR(VLOOKUP("Data Processing Services",'[8]PAGE 2'!$B:$W,5,FALSE),0)</f>
        <v>189299</v>
      </c>
      <c r="T47" s="90">
        <f t="shared" si="31"/>
        <v>3.4183725816452619E-2</v>
      </c>
      <c r="U47" s="90">
        <f t="shared" si="32"/>
        <v>3.7286945737851102E-2</v>
      </c>
      <c r="V47" s="47"/>
      <c r="W47" s="13"/>
      <c r="X47" s="90" t="e">
        <f t="shared" si="33"/>
        <v>#DIV/0!</v>
      </c>
      <c r="Y47" s="90" t="e">
        <f t="shared" si="34"/>
        <v>#DIV/0!</v>
      </c>
      <c r="Z47" s="47">
        <f>IFERROR(VLOOKUP("Data Processing Services",'[9]PAGE 2'!$B:$S,4,FALSE),0)</f>
        <v>25504</v>
      </c>
      <c r="AA47" s="13">
        <f>IFERROR(VLOOKUP("Data Processing Services",'[9]PAGE 2'!$B:$S,7,FALSE),0)</f>
        <v>254011</v>
      </c>
      <c r="AB47" s="89">
        <f t="shared" si="35"/>
        <v>2.7484861449529004E-2</v>
      </c>
      <c r="AC47" s="89">
        <f t="shared" si="36"/>
        <v>2.5938316249334847E-2</v>
      </c>
      <c r="AD47" s="47">
        <f>'New Vehicle'!P59+'Used Vehicle'!P66+Service!P69+'Parts &amp; Accessories'!P72</f>
        <v>23674</v>
      </c>
      <c r="AE47" s="13">
        <f>'New Vehicle'!Q59+'Used Vehicle'!Q66+Service!Q69+'Parts &amp; Accessories'!Q72</f>
        <v>310058</v>
      </c>
      <c r="AF47" s="91">
        <f t="shared" si="37"/>
        <v>3.7312797687533296E-2</v>
      </c>
      <c r="AG47" s="92">
        <f t="shared" si="38"/>
        <v>4.1640293818043121E-2</v>
      </c>
      <c r="AH47" s="47">
        <f>'New Vehicle'!R59+'Used Vehicle'!R66+Service!R69+'Parts &amp; Accessories'!R72</f>
        <v>13845.189643811085</v>
      </c>
      <c r="AI47" s="13">
        <f>'New Vehicle'!S59+'Used Vehicle'!S66+Service!S69+'Parts &amp; Accessories'!S72</f>
        <v>151421</v>
      </c>
      <c r="AJ47" s="47">
        <f>IFERROR('Used Vehicle'!T66+Service!T69+'Parts &amp; Accessories'!T72,0)</f>
        <v>4961.3123265178465</v>
      </c>
      <c r="AK47" s="13">
        <f>IFERROR('Used Vehicle'!U66+Service!U69+'Parts &amp; Accessories'!U72,0)</f>
        <v>65258</v>
      </c>
      <c r="AL47" s="47">
        <f>+INDEX('[10]PAGE 2'!$1:$1048576,MATCH("data processing",'[10]PAGE 2'!$B:$B,0),8)</f>
        <v>18259</v>
      </c>
      <c r="AM47" s="13">
        <f>+INDEX('[10]PAGE 2'!$1:$1048576,MATCH("data processing",'[10]PAGE 2'!$B:$B,0),12)</f>
        <v>85039</v>
      </c>
      <c r="AN47" s="47">
        <f>IFERROR(VLOOKUP("Data Processing Services",'[11]PAGE 2'!$B:$S,4,FALSE),0)</f>
        <v>8601</v>
      </c>
      <c r="AO47" s="13">
        <f>IFERROR(VLOOKUP("Data Processing Services",'[11]PAGE 2'!$B:$S,7,FALSE),0)</f>
        <v>42104</v>
      </c>
      <c r="AP47" s="47">
        <f>IFERROR(VLOOKUP("Data Processing Services",'[12]PAGE 2'!$B:$S,4,FALSE),0)</f>
        <v>-15185</v>
      </c>
      <c r="AQ47" s="13">
        <f>IFERROR(VLOOKUP("Data Processing Services",'[12]PAGE 2'!$B:$S,7,FALSE),0)</f>
        <v>47864</v>
      </c>
      <c r="AR47" s="47">
        <f t="shared" si="0"/>
        <v>120830.50197032891</v>
      </c>
      <c r="AS47" s="13">
        <f t="shared" si="1"/>
        <v>1346185</v>
      </c>
    </row>
    <row r="48" spans="1:45">
      <c r="A48" s="88" t="s">
        <v>35</v>
      </c>
      <c r="B48" s="47"/>
      <c r="C48" s="13"/>
      <c r="D48" s="89"/>
      <c r="E48" s="89"/>
      <c r="F48" s="47"/>
      <c r="G48" s="13"/>
      <c r="H48" s="89"/>
      <c r="I48" s="89"/>
      <c r="J48" s="47"/>
      <c r="K48" s="13"/>
      <c r="L48" s="89">
        <f t="shared" si="27"/>
        <v>0</v>
      </c>
      <c r="M48" s="89">
        <f t="shared" si="28"/>
        <v>0</v>
      </c>
      <c r="N48" s="47">
        <f>IFERROR(VLOOKUP("Contributions",'[7]PAGE 2'!$B:$W,4,FALSE),0)</f>
        <v>584</v>
      </c>
      <c r="O48" s="13">
        <f>IFERROR(VLOOKUP("Contributions",'[7]PAGE 2'!$B:$W,5,FALSE),0)</f>
        <v>18375</v>
      </c>
      <c r="P48" s="89">
        <f t="shared" si="29"/>
        <v>9.6339113680154141E-4</v>
      </c>
      <c r="Q48" s="89">
        <f t="shared" si="30"/>
        <v>2.6403316515199041E-3</v>
      </c>
      <c r="R48" s="47">
        <f>IFERROR(VLOOKUP("Contributions",'[8]PAGE 2'!$B:$W,4,FALSE),0)</f>
        <v>0</v>
      </c>
      <c r="S48" s="13">
        <f>IFERROR(VLOOKUP("Contributions",'[8]PAGE 2'!$B:$W,5,FALSE),0)</f>
        <v>5780</v>
      </c>
      <c r="T48" s="90">
        <f t="shared" si="31"/>
        <v>0</v>
      </c>
      <c r="U48" s="90">
        <f t="shared" si="32"/>
        <v>1.1385086364152973E-3</v>
      </c>
      <c r="V48" s="47"/>
      <c r="W48" s="13"/>
      <c r="X48" s="90" t="e">
        <f t="shared" si="33"/>
        <v>#DIV/0!</v>
      </c>
      <c r="Y48" s="90" t="e">
        <f t="shared" si="34"/>
        <v>#DIV/0!</v>
      </c>
      <c r="Z48" s="47">
        <f>IFERROR(VLOOKUP("Contributions",'[9]PAGE 2'!$B:$S,4,FALSE),0)</f>
        <v>0</v>
      </c>
      <c r="AA48" s="13">
        <f>IFERROR(VLOOKUP("Contributions",'[9]PAGE 2'!$B:$S,7,FALSE),0)</f>
        <v>32691</v>
      </c>
      <c r="AB48" s="89">
        <f t="shared" si="35"/>
        <v>0</v>
      </c>
      <c r="AC48" s="89">
        <f t="shared" si="36"/>
        <v>3.3382392750983445E-3</v>
      </c>
      <c r="AD48" s="47">
        <f>'New Vehicle'!P60+'Used Vehicle'!P67+Service!P70+'Parts &amp; Accessories'!P73</f>
        <v>0</v>
      </c>
      <c r="AE48" s="13">
        <f>'New Vehicle'!Q60+'Used Vehicle'!Q67+Service!Q70+'Parts &amp; Accessories'!Q73</f>
        <v>9092</v>
      </c>
      <c r="AF48" s="91">
        <f t="shared" si="37"/>
        <v>0</v>
      </c>
      <c r="AG48" s="92">
        <f t="shared" si="38"/>
        <v>1.2210410677797319E-3</v>
      </c>
      <c r="AH48" s="47">
        <f>'New Vehicle'!R60+'Used Vehicle'!R67+Service!R70+'Parts &amp; Accessories'!R73</f>
        <v>0</v>
      </c>
      <c r="AI48" s="13">
        <f>'New Vehicle'!S60+'Used Vehicle'!S67+Service!S70+'Parts &amp; Accessories'!S73</f>
        <v>1133</v>
      </c>
      <c r="AJ48" s="47">
        <f>IFERROR('Used Vehicle'!T67+Service!T70+'Parts &amp; Accessories'!T73,0)</f>
        <v>0</v>
      </c>
      <c r="AK48" s="13">
        <f>IFERROR('Used Vehicle'!U67+Service!U70+'Parts &amp; Accessories'!U73,0)</f>
        <v>0</v>
      </c>
      <c r="AL48" s="47">
        <f>+INDEX('[10]PAGE 2'!$1:$1048576,MATCH("contributions",'[10]PAGE 2'!$B:$B,0),8)</f>
        <v>500</v>
      </c>
      <c r="AM48" s="13">
        <f>+INDEX('[10]PAGE 2'!$1:$1048576,MATCH("contributions",'[10]PAGE 2'!$B:$B,0),12)</f>
        <v>500</v>
      </c>
      <c r="AN48" s="47">
        <f>IFERROR(VLOOKUP("Contributions",'[11]PAGE 2'!$B:$S,4,FALSE),0)</f>
        <v>0</v>
      </c>
      <c r="AO48" s="13">
        <f>IFERROR(VLOOKUP("Contributions",'[11]PAGE 2'!$B:$S,7,FALSE),0)</f>
        <v>2500</v>
      </c>
      <c r="AP48" s="47">
        <f>IFERROR(VLOOKUP("Contributions",'[12]PAGE 2'!$B:$S,4,FALSE),0)</f>
        <v>197</v>
      </c>
      <c r="AQ48" s="13">
        <f>IFERROR(VLOOKUP("Contributions",'[12]PAGE 2'!$B:$S,7,FALSE),0)</f>
        <v>637</v>
      </c>
      <c r="AR48" s="47">
        <f t="shared" si="0"/>
        <v>1281</v>
      </c>
      <c r="AS48" s="13">
        <f t="shared" si="1"/>
        <v>70708</v>
      </c>
    </row>
    <row r="49" spans="1:45">
      <c r="A49" s="88" t="s">
        <v>36</v>
      </c>
      <c r="B49" s="47">
        <f>INDEX('[4]Page 2'!$B:$DP,MATCH("0480",'[4]Page 2'!$M:$M,0),13)</f>
        <v>1394</v>
      </c>
      <c r="C49" s="13">
        <f>INDEX('[4]Page 2'!$B:$DP,MATCH("0480",'[4]Page 2'!$M:$M,0),24)</f>
        <v>27377</v>
      </c>
      <c r="D49" s="89">
        <f t="shared" si="39"/>
        <v>1.470197390346899E-3</v>
      </c>
      <c r="E49" s="89">
        <f t="shared" si="45"/>
        <v>2.4748107529564485E-3</v>
      </c>
      <c r="F49" s="47">
        <f>INDEX('[5]Page 2'!$B:$DP,MATCH("0480",'[5]Page 2'!$M:$M,0),13)</f>
        <v>4095</v>
      </c>
      <c r="G49" s="13">
        <f>INDEX('[5]Page 2'!$B:$DP,MATCH("0480",'[5]Page 2'!$M:$M,0),24)</f>
        <v>66051</v>
      </c>
      <c r="H49" s="89">
        <f t="shared" ref="H49:H66" si="46">F49/$B$9</f>
        <v>4.3188366667651018E-3</v>
      </c>
      <c r="I49" s="89">
        <f t="shared" ref="I49:I66" si="47">G49/$C$9</f>
        <v>5.9708414013049773E-3</v>
      </c>
      <c r="J49" s="47">
        <f>INDEX('[6]Page 2'!$B:$DP,MATCH("0480",'[6]Page 2'!$M:$M,0),13)</f>
        <v>4584</v>
      </c>
      <c r="K49" s="13">
        <f>INDEX('[6]Page 2'!$B:$DP,MATCH("0480",'[6]Page 2'!$M:$M,0),24)</f>
        <v>40272</v>
      </c>
      <c r="L49" s="89">
        <f t="shared" si="27"/>
        <v>4.8424717733757013E-3</v>
      </c>
      <c r="M49" s="89">
        <f t="shared" si="28"/>
        <v>3.785104347428066E-3</v>
      </c>
      <c r="N49" s="47">
        <f>IFERROR(VLOOKUP("Memberships, Dues, Pblcns.",'[7]PAGE 2'!$B:$W,4,FALSE),0)</f>
        <v>763</v>
      </c>
      <c r="O49" s="13">
        <f>IFERROR(VLOOKUP("Memberships, Dues, Pblcns.",'[7]PAGE 2'!$B:$W,5,FALSE),0)</f>
        <v>9655</v>
      </c>
      <c r="P49" s="89">
        <f t="shared" si="29"/>
        <v>1.2586771188006439E-3</v>
      </c>
      <c r="Q49" s="89">
        <f t="shared" si="30"/>
        <v>1.3873416106353566E-3</v>
      </c>
      <c r="R49" s="47">
        <f>IFERROR(VLOOKUP("Memberships, Dues, Pblcns.",'[8]PAGE 2'!$B:$W,4,FALSE),0)</f>
        <v>1460</v>
      </c>
      <c r="S49" s="13">
        <f>IFERROR(VLOOKUP("Memberships, Dues, Pblcns.",'[8]PAGE 2'!$B:$W,5,FALSE),0)</f>
        <v>14039</v>
      </c>
      <c r="T49" s="90">
        <f t="shared" si="31"/>
        <v>3.2564426263878912E-3</v>
      </c>
      <c r="U49" s="90">
        <f t="shared" si="32"/>
        <v>2.7653153540889894E-3</v>
      </c>
      <c r="V49" s="47"/>
      <c r="W49" s="13"/>
      <c r="X49" s="90" t="e">
        <f t="shared" si="33"/>
        <v>#DIV/0!</v>
      </c>
      <c r="Y49" s="90" t="e">
        <f t="shared" si="34"/>
        <v>#DIV/0!</v>
      </c>
      <c r="Z49" s="47">
        <f>IFERROR(VLOOKUP("Dues &amp; Subscriptions",'[9]PAGE 2'!$B:$S,4,FALSE),0)</f>
        <v>1068</v>
      </c>
      <c r="AA49" s="13">
        <f>IFERROR(VLOOKUP("Dues &amp; Subscriptions",'[9]PAGE 2'!$B:$S,7,FALSE),0)</f>
        <v>12528</v>
      </c>
      <c r="AB49" s="89">
        <f t="shared" si="35"/>
        <v>1.1509501265721839E-3</v>
      </c>
      <c r="AC49" s="89">
        <f t="shared" si="36"/>
        <v>1.2792958807755057E-3</v>
      </c>
      <c r="AD49" s="47">
        <f>'New Vehicle'!P61+'Used Vehicle'!P68+Service!P71+'Parts &amp; Accessories'!P74</f>
        <v>0</v>
      </c>
      <c r="AE49" s="13">
        <f>'New Vehicle'!Q61+'Used Vehicle'!Q68+Service!Q71+'Parts &amp; Accessories'!Q74</f>
        <v>0</v>
      </c>
      <c r="AF49" s="91">
        <f t="shared" si="37"/>
        <v>0</v>
      </c>
      <c r="AG49" s="92">
        <f t="shared" si="38"/>
        <v>0</v>
      </c>
      <c r="AH49" s="47">
        <f>'New Vehicle'!R61+'Used Vehicle'!R68+Service!R71+'Parts &amp; Accessories'!R74</f>
        <v>0</v>
      </c>
      <c r="AI49" s="13">
        <f>'New Vehicle'!S61+'Used Vehicle'!S68+Service!S71+'Parts &amp; Accessories'!S74</f>
        <v>0</v>
      </c>
      <c r="AJ49" s="47">
        <f>IFERROR('Used Vehicle'!T68+Service!T71+'Parts &amp; Accessories'!T74,0)</f>
        <v>0</v>
      </c>
      <c r="AK49" s="13">
        <f>IFERROR('Used Vehicle'!U68+Service!U71+'Parts &amp; Accessories'!U74,0)</f>
        <v>0</v>
      </c>
      <c r="AL49" s="47">
        <f>+INDEX('[10]PAGE 2'!$1:$1048576,MATCH("membership, dues and publications",'[10]PAGE 2'!$B:$B,0),8)</f>
        <v>0</v>
      </c>
      <c r="AM49" s="13">
        <f>+INDEX('[10]PAGE 2'!$1:$1048576,MATCH("membership, dues and publications",'[10]PAGE 2'!$B:$B,0),12)</f>
        <v>1251</v>
      </c>
      <c r="AN49" s="47">
        <f>IFERROR(VLOOKUP("Dues &amp; Subscriptions",'[11]PAGE 2'!$B:$S,4,FALSE),0)</f>
        <v>399</v>
      </c>
      <c r="AO49" s="13">
        <f>IFERROR(VLOOKUP("Dues &amp; Subscriptions",'[11]PAGE 2'!$B:$S,7,FALSE),0)</f>
        <v>1907</v>
      </c>
      <c r="AP49" s="47">
        <f>IFERROR(VLOOKUP("Dues &amp; Subscriptions",'[12]PAGE 2'!$B:$S,4,FALSE),0)</f>
        <v>845</v>
      </c>
      <c r="AQ49" s="13">
        <f>IFERROR(VLOOKUP("Dues &amp; Subscriptions",'[12]PAGE 2'!$B:$S,7,FALSE),0)</f>
        <v>2934</v>
      </c>
      <c r="AR49" s="47">
        <f t="shared" si="0"/>
        <v>14608</v>
      </c>
      <c r="AS49" s="13">
        <f t="shared" si="1"/>
        <v>176014</v>
      </c>
    </row>
    <row r="50" spans="1:45">
      <c r="A50" s="4" t="s">
        <v>56</v>
      </c>
      <c r="B50" s="24">
        <f t="shared" ref="B50:C50" si="48">SUM(B34:B49)</f>
        <v>84617</v>
      </c>
      <c r="C50" s="25">
        <f t="shared" si="48"/>
        <v>989492</v>
      </c>
      <c r="D50" s="99">
        <f t="shared" si="39"/>
        <v>8.9242247187219195E-2</v>
      </c>
      <c r="E50" s="99">
        <f t="shared" si="45"/>
        <v>8.9447545076684148E-2</v>
      </c>
      <c r="F50" s="24">
        <f t="shared" ref="F50:G50" si="49">SUM(F34:F49)</f>
        <v>127569</v>
      </c>
      <c r="G50" s="25">
        <f t="shared" si="49"/>
        <v>1329860</v>
      </c>
      <c r="H50" s="99">
        <f t="shared" si="46"/>
        <v>0.13454204511417758</v>
      </c>
      <c r="I50" s="99">
        <f t="shared" si="47"/>
        <v>0.12021594140799439</v>
      </c>
      <c r="J50" s="24">
        <f t="shared" ref="J50:K50" si="50">SUM(J34:J49)</f>
        <v>134882</v>
      </c>
      <c r="K50" s="25">
        <f t="shared" si="50"/>
        <v>1415162</v>
      </c>
      <c r="L50" s="99">
        <f t="shared" si="27"/>
        <v>0.14248740788317221</v>
      </c>
      <c r="M50" s="99">
        <f t="shared" si="28"/>
        <v>0.13300893520349119</v>
      </c>
      <c r="N50" s="24">
        <f>SUM(N34:N49)</f>
        <v>69342</v>
      </c>
      <c r="O50" s="25">
        <f>SUM(O34:O49)</f>
        <v>944907</v>
      </c>
      <c r="P50" s="99">
        <f t="shared" si="29"/>
        <v>0.11438950035632275</v>
      </c>
      <c r="Q50" s="99">
        <f t="shared" si="30"/>
        <v>0.1357751216240935</v>
      </c>
      <c r="R50" s="24">
        <f>SUM(R34:R49)</f>
        <v>62112</v>
      </c>
      <c r="S50" s="25">
        <f>SUM(S34:S49)</f>
        <v>732295</v>
      </c>
      <c r="T50" s="100">
        <f t="shared" si="31"/>
        <v>0.13853709891109911</v>
      </c>
      <c r="U50" s="100">
        <f t="shared" si="32"/>
        <v>0.14424293804562976</v>
      </c>
      <c r="V50" s="24"/>
      <c r="W50" s="25"/>
      <c r="X50" s="100" t="e">
        <f t="shared" si="33"/>
        <v>#DIV/0!</v>
      </c>
      <c r="Y50" s="100" t="e">
        <f t="shared" si="34"/>
        <v>#DIV/0!</v>
      </c>
      <c r="Z50" s="24">
        <f>SUM(Z34:Z49)</f>
        <v>77342</v>
      </c>
      <c r="AA50" s="25">
        <f>SUM(AA34:AA49)</f>
        <v>1099531</v>
      </c>
      <c r="AB50" s="99">
        <f t="shared" si="35"/>
        <v>8.3349049334593486E-2</v>
      </c>
      <c r="AC50" s="99">
        <f t="shared" si="36"/>
        <v>0.11227853440972003</v>
      </c>
      <c r="AD50" s="24">
        <f>SUM(AD34:AD49)</f>
        <v>47828</v>
      </c>
      <c r="AE50" s="25">
        <f>SUM(AE34:AE49)</f>
        <v>916592</v>
      </c>
      <c r="AF50" s="101">
        <f t="shared" si="37"/>
        <v>7.5382127557630421E-2</v>
      </c>
      <c r="AG50" s="102">
        <f t="shared" si="38"/>
        <v>0.12309684056295205</v>
      </c>
      <c r="AH50" s="24">
        <f>SUM(AH34:AH49)</f>
        <v>58918.886890779133</v>
      </c>
      <c r="AI50" s="25">
        <f>SUM(AI34:AI49)</f>
        <v>788706</v>
      </c>
      <c r="AJ50" s="24">
        <f>SUM(AJ34:AJ49)</f>
        <v>10476.996950623557</v>
      </c>
      <c r="AK50" s="25">
        <f>SUM(AK34:AK49)</f>
        <v>195473</v>
      </c>
      <c r="AL50" s="24">
        <f t="shared" ref="AL50:AM50" si="51">SUM(AL34:AL49)</f>
        <v>51982</v>
      </c>
      <c r="AM50" s="25">
        <f t="shared" si="51"/>
        <v>224311</v>
      </c>
      <c r="AN50" s="24">
        <f>SUM(AN34:AN49)</f>
        <v>38247</v>
      </c>
      <c r="AO50" s="25">
        <f>SUM(AO34:AO49)</f>
        <v>261760</v>
      </c>
      <c r="AP50" s="24">
        <f>SUM(AP34:AP49)</f>
        <v>22389</v>
      </c>
      <c r="AQ50" s="25">
        <f>SUM(AQ34:AQ49)</f>
        <v>198451</v>
      </c>
      <c r="AR50" s="24">
        <f t="shared" si="0"/>
        <v>785705.88384140271</v>
      </c>
      <c r="AS50" s="25">
        <f t="shared" si="1"/>
        <v>9096540</v>
      </c>
    </row>
    <row r="51" spans="1:45">
      <c r="A51" s="88" t="s">
        <v>37</v>
      </c>
      <c r="B51" s="47">
        <f>INDEX('[4]Page 2'!$B:$DP,MATCH("0500",'[4]Page 2'!$M:$M,0),13)</f>
        <v>56500</v>
      </c>
      <c r="C51" s="13">
        <f>INDEX('[4]Page 2'!$B:$DP,MATCH("0500",'[4]Page 2'!$M:$M,0),24)</f>
        <v>683500</v>
      </c>
      <c r="D51" s="89">
        <f t="shared" si="39"/>
        <v>5.9588344730702868E-2</v>
      </c>
      <c r="E51" s="89">
        <f t="shared" ref="E51:E59" si="52">C51/$C$9</f>
        <v>6.1786651190624702E-2</v>
      </c>
      <c r="F51" s="47">
        <f>INDEX('[5]Page 2'!$B:$DP,MATCH("0500",'[5]Page 2'!$M:$M,0),13)</f>
        <v>30000</v>
      </c>
      <c r="G51" s="13">
        <f>INDEX('[5]Page 2'!$B:$DP,MATCH("0500",'[5]Page 2'!$M:$M,0),24)</f>
        <v>360000</v>
      </c>
      <c r="H51" s="89">
        <f t="shared" si="46"/>
        <v>3.1639829060550198E-2</v>
      </c>
      <c r="I51" s="89">
        <f t="shared" si="47"/>
        <v>3.2543078900694793E-2</v>
      </c>
      <c r="J51" s="47">
        <f>INDEX('[6]Page 2'!$B:$DP,MATCH("0500",'[6]Page 2'!$M:$M,0),13)</f>
        <v>73000</v>
      </c>
      <c r="K51" s="13">
        <f>INDEX('[6]Page 2'!$B:$DP,MATCH("0500",'[6]Page 2'!$M:$M,0),24)</f>
        <v>864711</v>
      </c>
      <c r="L51" s="89">
        <f t="shared" si="27"/>
        <v>7.711615171388006E-2</v>
      </c>
      <c r="M51" s="89">
        <f t="shared" si="28"/>
        <v>8.1272878560013667E-2</v>
      </c>
      <c r="N51" s="47">
        <f>IFERROR(VLOOKUP("Rent",'[7]PAGE 2'!$B:$W,4,FALSE),0)</f>
        <v>50580</v>
      </c>
      <c r="O51" s="13">
        <f>IFERROR(VLOOKUP("Rent",'[7]PAGE 2'!$B:$W,5,FALSE),0)</f>
        <v>590645</v>
      </c>
      <c r="P51" s="89">
        <f t="shared" si="29"/>
        <v>8.3438910444215697E-2</v>
      </c>
      <c r="Q51" s="89">
        <f t="shared" si="30"/>
        <v>8.4870676914937354E-2</v>
      </c>
      <c r="R51" s="47">
        <f>IFERROR(VLOOKUP("Rent",'[8]PAGE 2'!$B:$W,4,FALSE),0)</f>
        <v>49391</v>
      </c>
      <c r="S51" s="13">
        <f>IFERROR(VLOOKUP("Rent",'[8]PAGE 2'!$B:$W,5,FALSE),0)</f>
        <v>549443</v>
      </c>
      <c r="T51" s="90">
        <f t="shared" si="31"/>
        <v>0.11016366969857831</v>
      </c>
      <c r="U51" s="90">
        <f t="shared" si="32"/>
        <v>0.10822588247715055</v>
      </c>
      <c r="V51" s="47"/>
      <c r="W51" s="13"/>
      <c r="X51" s="90" t="e">
        <f t="shared" si="33"/>
        <v>#DIV/0!</v>
      </c>
      <c r="Y51" s="90" t="e">
        <f t="shared" si="34"/>
        <v>#DIV/0!</v>
      </c>
      <c r="Z51" s="47">
        <f>IFERROR(VLOOKUP("Rent &amp; Equivalent",'[9]PAGE 2'!$B:$S,4,FALSE),0)</f>
        <v>79971</v>
      </c>
      <c r="AA51" s="13">
        <f>IFERROR(VLOOKUP("Rent &amp; Equivalent",'[9]PAGE 2'!$B:$S,7,FALSE),0)</f>
        <v>819399</v>
      </c>
      <c r="AB51" s="89">
        <f t="shared" si="35"/>
        <v>8.6182240236052546E-2</v>
      </c>
      <c r="AC51" s="89">
        <f t="shared" si="36"/>
        <v>8.3672873995176297E-2</v>
      </c>
      <c r="AD51" s="47">
        <f>'New Vehicle'!P63+'Used Vehicle'!P70+Service!P73+'Parts &amp; Accessories'!P76</f>
        <v>41460.000000000007</v>
      </c>
      <c r="AE51" s="13">
        <f>'New Vehicle'!Q63+'Used Vehicle'!Q70+Service!Q73+'Parts &amp; Accessories'!Q76</f>
        <v>501038</v>
      </c>
      <c r="AF51" s="91">
        <f t="shared" si="37"/>
        <v>6.5345467268950352E-2</v>
      </c>
      <c r="AG51" s="92">
        <f t="shared" si="38"/>
        <v>6.728860256469657E-2</v>
      </c>
      <c r="AH51" s="47">
        <f>'New Vehicle'!R63+'Used Vehicle'!R70+Service!R73+'Parts &amp; Accessories'!R76</f>
        <v>31845.280187526088</v>
      </c>
      <c r="AI51" s="13">
        <f>'New Vehicle'!S63+'Used Vehicle'!S70+Service!S73+'Parts &amp; Accessories'!S76</f>
        <v>432257</v>
      </c>
      <c r="AJ51" s="47">
        <f>IFERROR('Used Vehicle'!T70+Service!T73+'Parts &amp; Accessories'!T76,0)</f>
        <v>10284.547011220142</v>
      </c>
      <c r="AK51" s="13">
        <f>IFERROR('Used Vehicle'!U70+Service!U73+'Parts &amp; Accessories'!U76,0)</f>
        <v>200010</v>
      </c>
      <c r="AL51" s="47">
        <f>+INDEX('[10]PAGE 2'!$1:$1048576,MATCH("rent",'[10]PAGE 2'!$B:$B,0),8)</f>
        <v>40000</v>
      </c>
      <c r="AM51" s="13">
        <f>+INDEX('[10]PAGE 2'!$1:$1048576,MATCH("rent",'[10]PAGE 2'!$B:$B,0),12)</f>
        <v>218000</v>
      </c>
      <c r="AN51" s="47">
        <f>IFERROR(VLOOKUP("Rent &amp; Equivalent",'[11]PAGE 2'!$B:$S,4,FALSE),0)</f>
        <v>0</v>
      </c>
      <c r="AO51" s="13">
        <f>IFERROR(VLOOKUP("Rent &amp; Equivalent",'[11]PAGE 2'!$B:$S,7,FALSE),0)</f>
        <v>23900</v>
      </c>
      <c r="AP51" s="47">
        <f>IFERROR(VLOOKUP("Rent &amp; Equivalent",'[12]PAGE 2'!$B:$S,4,FALSE),0)</f>
        <v>30000</v>
      </c>
      <c r="AQ51" s="13">
        <f>IFERROR(VLOOKUP("Rent &amp; Equivalent",'[12]PAGE 2'!$B:$S,7,FALSE),0)</f>
        <v>119973</v>
      </c>
      <c r="AR51" s="47">
        <f t="shared" si="0"/>
        <v>493031.82719874621</v>
      </c>
      <c r="AS51" s="13">
        <f t="shared" si="1"/>
        <v>5362876</v>
      </c>
    </row>
    <row r="52" spans="1:45">
      <c r="A52" s="88" t="s">
        <v>38</v>
      </c>
      <c r="B52" s="47">
        <f>INDEX('[4]Page 2'!$B:$DP,MATCH("0510",'[4]Page 2'!$M:$M,0),13)</f>
        <v>-382</v>
      </c>
      <c r="C52" s="13">
        <f>INDEX('[4]Page 2'!$B:$DP,MATCH("0510",'[4]Page 2'!$M:$M,0),24)</f>
        <v>2896</v>
      </c>
      <c r="D52" s="89">
        <f t="shared" si="39"/>
        <v>-4.0288049003767249E-4</v>
      </c>
      <c r="E52" s="89">
        <f t="shared" si="52"/>
        <v>2.6179099026781146E-4</v>
      </c>
      <c r="F52" s="47">
        <f>INDEX('[5]Page 2'!$B:$DP,MATCH("0510",'[5]Page 2'!$M:$M,0),13)</f>
        <v>0</v>
      </c>
      <c r="G52" s="13">
        <f>INDEX('[5]Page 2'!$B:$DP,MATCH("0510",'[5]Page 2'!$M:$M,0),24)</f>
        <v>0</v>
      </c>
      <c r="H52" s="89">
        <f t="shared" si="46"/>
        <v>0</v>
      </c>
      <c r="I52" s="89">
        <f t="shared" si="47"/>
        <v>0</v>
      </c>
      <c r="J52" s="47">
        <f>INDEX('[6]Page 2'!$B:$DP,MATCH("0510",'[6]Page 2'!$M:$M,0),13)</f>
        <v>0</v>
      </c>
      <c r="K52" s="13">
        <f>INDEX('[6]Page 2'!$B:$DP,MATCH("0510",'[6]Page 2'!$M:$M,0),24)</f>
        <v>0</v>
      </c>
      <c r="L52" s="89">
        <f t="shared" si="27"/>
        <v>0</v>
      </c>
      <c r="M52" s="89">
        <f t="shared" si="28"/>
        <v>0</v>
      </c>
      <c r="N52" s="47">
        <f>IFERROR(VLOOKUP("Amortization - Leaseholds",'[7]PAGE 2'!$B:$W,4,FALSE),0)</f>
        <v>0</v>
      </c>
      <c r="O52" s="13">
        <f>IFERROR(VLOOKUP("Amortization - Leaseholds",'[7]PAGE 2'!$B:$W,5,FALSE),0)</f>
        <v>0</v>
      </c>
      <c r="P52" s="89">
        <f t="shared" si="29"/>
        <v>0</v>
      </c>
      <c r="Q52" s="89">
        <f t="shared" si="30"/>
        <v>0</v>
      </c>
      <c r="R52" s="47">
        <f>IFERROR(VLOOKUP("Amortization - Leaseholds",'[8]PAGE 2'!$B:$W,4,FALSE),0)</f>
        <v>0</v>
      </c>
      <c r="S52" s="13">
        <f>IFERROR(VLOOKUP("Amortization - Leaseholds",'[8]PAGE 2'!$B:$W,5,FALSE),0)</f>
        <v>0</v>
      </c>
      <c r="T52" s="90">
        <f t="shared" si="31"/>
        <v>0</v>
      </c>
      <c r="U52" s="90">
        <f t="shared" si="32"/>
        <v>0</v>
      </c>
      <c r="V52" s="47"/>
      <c r="W52" s="13"/>
      <c r="X52" s="90" t="e">
        <f t="shared" si="33"/>
        <v>#DIV/0!</v>
      </c>
      <c r="Y52" s="90" t="e">
        <f t="shared" si="34"/>
        <v>#DIV/0!</v>
      </c>
      <c r="Z52" s="47">
        <f>IFERROR(VLOOKUP(0,'[9]PAGE 2'!$B:$S,4,FALSE),0)</f>
        <v>0</v>
      </c>
      <c r="AA52" s="13">
        <f>IFERROR(VLOOKUP(0,'[9]PAGE 2'!$B:$S,7,FALSE),0)</f>
        <v>0</v>
      </c>
      <c r="AB52" s="89">
        <f t="shared" si="35"/>
        <v>0</v>
      </c>
      <c r="AC52" s="89">
        <f t="shared" si="36"/>
        <v>0</v>
      </c>
      <c r="AD52" s="47">
        <f>'New Vehicle'!P64+'Used Vehicle'!P71+Service!P74+'Parts &amp; Accessories'!P77</f>
        <v>0</v>
      </c>
      <c r="AE52" s="13">
        <f>'New Vehicle'!Q64+'Used Vehicle'!Q71+Service!Q74+'Parts &amp; Accessories'!Q77</f>
        <v>0</v>
      </c>
      <c r="AF52" s="91">
        <f t="shared" si="37"/>
        <v>0</v>
      </c>
      <c r="AG52" s="92">
        <f t="shared" si="38"/>
        <v>0</v>
      </c>
      <c r="AH52" s="47">
        <f>'New Vehicle'!R64+'Used Vehicle'!R71+Service!R74+'Parts &amp; Accessories'!R77</f>
        <v>0</v>
      </c>
      <c r="AI52" s="13">
        <f>'New Vehicle'!S64+'Used Vehicle'!S71+Service!S74+'Parts &amp; Accessories'!S77</f>
        <v>0</v>
      </c>
      <c r="AJ52" s="47">
        <f>IFERROR('Used Vehicle'!T71+Service!T74+'Parts &amp; Accessories'!T77,0)</f>
        <v>0</v>
      </c>
      <c r="AK52" s="13">
        <f>IFERROR('Used Vehicle'!U71+Service!U74+'Parts &amp; Accessories'!U77,0)</f>
        <v>0</v>
      </c>
      <c r="AL52" s="47">
        <f>+INDEX('[10]PAGE 2'!$1:$1048576,MATCH("amortization - leaseholds",'[10]PAGE 2'!$B:$B,0),8)</f>
        <v>0</v>
      </c>
      <c r="AM52" s="13">
        <f>+INDEX('[10]PAGE 2'!$1:$1048576,MATCH("amortization - leaseholds",'[10]PAGE 2'!$B:$B,0),12)</f>
        <v>0</v>
      </c>
      <c r="AN52" s="47">
        <f>IFERROR(VLOOKUP(0,'[11]PAGE 2'!$B:$S,4,FALSE),0)</f>
        <v>0</v>
      </c>
      <c r="AO52" s="13">
        <f>IFERROR(VLOOKUP(0,'[11]PAGE 2'!$B:$S,7,FALSE),0)</f>
        <v>0</v>
      </c>
      <c r="AP52" s="47">
        <f>IFERROR(VLOOKUP(0,'[12]PAGE 2'!$B:$S,4,FALSE),0)</f>
        <v>0</v>
      </c>
      <c r="AQ52" s="13">
        <f>IFERROR(VLOOKUP(0,'[12]PAGE 2'!$B:$S,7,FALSE),0)</f>
        <v>0</v>
      </c>
      <c r="AR52" s="47">
        <f t="shared" si="0"/>
        <v>-382</v>
      </c>
      <c r="AS52" s="13">
        <f t="shared" si="1"/>
        <v>2896</v>
      </c>
    </row>
    <row r="53" spans="1:45">
      <c r="A53" s="88" t="s">
        <v>39</v>
      </c>
      <c r="B53" s="47">
        <f>INDEX('[4]Page 2'!$B:$DP,MATCH("0520",'[4]Page 2'!$M:$M,0),13)</f>
        <v>0</v>
      </c>
      <c r="C53" s="13">
        <f>INDEX('[4]Page 2'!$B:$DP,MATCH("0520",'[4]Page 2'!$M:$M,0),24)</f>
        <v>16350</v>
      </c>
      <c r="D53" s="89">
        <f t="shared" si="39"/>
        <v>0</v>
      </c>
      <c r="E53" s="89">
        <f t="shared" si="52"/>
        <v>1.4779981667398885E-3</v>
      </c>
      <c r="F53" s="47">
        <f>INDEX('[5]Page 2'!$B:$DP,MATCH("0520",'[5]Page 2'!$M:$M,0),13)</f>
        <v>0</v>
      </c>
      <c r="G53" s="13">
        <f>INDEX('[5]Page 2'!$B:$DP,MATCH("0520",'[5]Page 2'!$M:$M,0),24)</f>
        <v>5985</v>
      </c>
      <c r="H53" s="89">
        <f t="shared" si="46"/>
        <v>0</v>
      </c>
      <c r="I53" s="89">
        <f t="shared" si="47"/>
        <v>5.4102868672405093E-4</v>
      </c>
      <c r="J53" s="47">
        <f>INDEX('[6]Page 2'!$B:$DP,MATCH("0520",'[6]Page 2'!$M:$M,0),13)</f>
        <v>0</v>
      </c>
      <c r="K53" s="13">
        <f>INDEX('[6]Page 2'!$B:$DP,MATCH("0520",'[6]Page 2'!$M:$M,0),24)</f>
        <v>2472</v>
      </c>
      <c r="L53" s="89">
        <f t="shared" si="27"/>
        <v>0</v>
      </c>
      <c r="M53" s="89">
        <f t="shared" si="28"/>
        <v>2.323395398004117E-4</v>
      </c>
      <c r="N53" s="47">
        <f>IFERROR(VLOOKUP("Repairs &amp; Maint - Real Estate",'[7]PAGE 2'!$B:$W,4,FALSE),0)</f>
        <v>0</v>
      </c>
      <c r="O53" s="13">
        <f>IFERROR(VLOOKUP("Repairs &amp; Maint - Real Estate",'[7]PAGE 2'!$B:$W,5,FALSE),0)</f>
        <v>1208</v>
      </c>
      <c r="P53" s="89">
        <f t="shared" si="29"/>
        <v>0</v>
      </c>
      <c r="Q53" s="89">
        <f t="shared" si="30"/>
        <v>1.7357935428767587E-4</v>
      </c>
      <c r="R53" s="47">
        <f>IFERROR(VLOOKUP("Repairs &amp; Maint - Real Estate",'[8]PAGE 2'!$B:$W,4,FALSE),0)</f>
        <v>389</v>
      </c>
      <c r="S53" s="13">
        <f>IFERROR(VLOOKUP("Repairs &amp; Maint - Real Estate",'[8]PAGE 2'!$B:$W,5,FALSE),0)</f>
        <v>621</v>
      </c>
      <c r="T53" s="90">
        <f t="shared" si="31"/>
        <v>8.6764122031841764E-4</v>
      </c>
      <c r="U53" s="90">
        <f t="shared" si="32"/>
        <v>1.2232073758025944E-4</v>
      </c>
      <c r="V53" s="47"/>
      <c r="W53" s="13"/>
      <c r="X53" s="90" t="e">
        <f t="shared" si="33"/>
        <v>#DIV/0!</v>
      </c>
      <c r="Y53" s="90" t="e">
        <f t="shared" si="34"/>
        <v>#DIV/0!</v>
      </c>
      <c r="Z53" s="47">
        <f>IFERROR(VLOOKUP(0,'[9]PAGE 2'!$B:$S,4,FALSE),0)</f>
        <v>0</v>
      </c>
      <c r="AA53" s="13">
        <f>IFERROR(VLOOKUP(0,'[9]PAGE 2'!$B:$S,7,FALSE),0)</f>
        <v>0</v>
      </c>
      <c r="AB53" s="89">
        <f t="shared" si="35"/>
        <v>0</v>
      </c>
      <c r="AC53" s="89">
        <f t="shared" si="36"/>
        <v>0</v>
      </c>
      <c r="AD53" s="47">
        <f>'New Vehicle'!P65+'Used Vehicle'!P72+Service!P75+'Parts &amp; Accessories'!P78</f>
        <v>0</v>
      </c>
      <c r="AE53" s="13">
        <f>'New Vehicle'!Q65+'Used Vehicle'!Q72+Service!Q75+'Parts &amp; Accessories'!Q78</f>
        <v>0</v>
      </c>
      <c r="AF53" s="91">
        <f t="shared" si="37"/>
        <v>0</v>
      </c>
      <c r="AG53" s="92">
        <f t="shared" si="38"/>
        <v>0</v>
      </c>
      <c r="AH53" s="47">
        <f>'New Vehicle'!R65+'Used Vehicle'!R72+Service!R75+'Parts &amp; Accessories'!R78</f>
        <v>0</v>
      </c>
      <c r="AI53" s="13">
        <f>'New Vehicle'!S65+'Used Vehicle'!S72+Service!S75+'Parts &amp; Accessories'!S78</f>
        <v>0</v>
      </c>
      <c r="AJ53" s="47">
        <f>IFERROR('Used Vehicle'!T72+Service!T75+'Parts &amp; Accessories'!T78,0)</f>
        <v>0</v>
      </c>
      <c r="AK53" s="13">
        <f>IFERROR('Used Vehicle'!U72+Service!U75+'Parts &amp; Accessories'!U78,0)</f>
        <v>0</v>
      </c>
      <c r="AL53" s="47">
        <f>+INDEX('[10]PAGE 2'!$1:$1048576,MATCH("repairs - real estate",'[10]PAGE 2'!$B:$B,0),8)</f>
        <v>1075</v>
      </c>
      <c r="AM53" s="13">
        <f>+INDEX('[10]PAGE 2'!$1:$1048576,MATCH("repairs - real estate",'[10]PAGE 2'!$B:$B,0),12)</f>
        <v>14394</v>
      </c>
      <c r="AN53" s="47">
        <f>IFERROR(VLOOKUP(0,'[11]PAGE 2'!$B:$S,4,FALSE),0)</f>
        <v>0</v>
      </c>
      <c r="AO53" s="13">
        <f>IFERROR(VLOOKUP(0,'[11]PAGE 2'!$B:$S,7,FALSE),0)</f>
        <v>0</v>
      </c>
      <c r="AP53" s="47">
        <f>IFERROR(VLOOKUP(0,'[12]PAGE 2'!$B:$S,4,FALSE),0)</f>
        <v>0</v>
      </c>
      <c r="AQ53" s="13">
        <f>IFERROR(VLOOKUP(0,'[12]PAGE 2'!$B:$S,7,FALSE),0)</f>
        <v>0</v>
      </c>
      <c r="AR53" s="47">
        <f t="shared" si="0"/>
        <v>1464</v>
      </c>
      <c r="AS53" s="13">
        <f t="shared" si="1"/>
        <v>41030</v>
      </c>
    </row>
    <row r="54" spans="1:45">
      <c r="A54" s="88" t="s">
        <v>40</v>
      </c>
      <c r="B54" s="47">
        <f>INDEX('[4]Page 2'!$B:$DP,MATCH("0530",'[4]Page 2'!$M:$M,0),13)</f>
        <v>0</v>
      </c>
      <c r="C54" s="13">
        <f>INDEX('[4]Page 2'!$B:$DP,MATCH("0530",'[4]Page 2'!$M:$M,0),24)</f>
        <v>0</v>
      </c>
      <c r="D54" s="89">
        <f t="shared" si="39"/>
        <v>0</v>
      </c>
      <c r="E54" s="89">
        <f t="shared" si="52"/>
        <v>0</v>
      </c>
      <c r="F54" s="47">
        <f>INDEX('[5]Page 2'!$B:$DP,MATCH("0530",'[5]Page 2'!$M:$M,0),13)</f>
        <v>2087</v>
      </c>
      <c r="G54" s="13">
        <f>INDEX('[5]Page 2'!$B:$DP,MATCH("0530",'[5]Page 2'!$M:$M,0),24)</f>
        <v>12523</v>
      </c>
      <c r="H54" s="89">
        <f t="shared" si="46"/>
        <v>2.2010774416456086E-3</v>
      </c>
      <c r="I54" s="89">
        <f t="shared" si="47"/>
        <v>1.1320471585372248E-3</v>
      </c>
      <c r="J54" s="47">
        <f>INDEX('[6]Page 2'!$B:$DP,MATCH("0530",'[6]Page 2'!$M:$M,0),13)</f>
        <v>1014</v>
      </c>
      <c r="K54" s="13">
        <f>INDEX('[6]Page 2'!$B:$DP,MATCH("0530",'[6]Page 2'!$M:$M,0),24)</f>
        <v>7506</v>
      </c>
      <c r="L54" s="89">
        <f t="shared" si="27"/>
        <v>1.0711750388749915E-3</v>
      </c>
      <c r="M54" s="89">
        <f t="shared" si="28"/>
        <v>7.0547758322891995E-4</v>
      </c>
      <c r="N54" s="47">
        <f>IFERROR(VLOOKUP("Depreciation - Bldg &amp; Imps",'[7]PAGE 2'!$B:$W,4,FALSE),0)</f>
        <v>0</v>
      </c>
      <c r="O54" s="13">
        <f>IFERROR(VLOOKUP("Depreciation - Bldg &amp; Imps",'[7]PAGE 2'!$B:$W,5,FALSE),0)</f>
        <v>0</v>
      </c>
      <c r="P54" s="89">
        <f t="shared" si="29"/>
        <v>0</v>
      </c>
      <c r="Q54" s="89">
        <f t="shared" si="30"/>
        <v>0</v>
      </c>
      <c r="R54" s="47">
        <f>IFERROR(VLOOKUP("Depreciation - Bldg &amp; Imps",'[8]PAGE 2'!$B:$W,4,FALSE),0)</f>
        <v>0</v>
      </c>
      <c r="S54" s="13">
        <f>IFERROR(VLOOKUP("Depreciation - Bldg &amp; Imps",'[8]PAGE 2'!$B:$W,5,FALSE),0)</f>
        <v>0</v>
      </c>
      <c r="T54" s="90">
        <f t="shared" si="31"/>
        <v>0</v>
      </c>
      <c r="U54" s="90">
        <f t="shared" si="32"/>
        <v>0</v>
      </c>
      <c r="V54" s="47"/>
      <c r="W54" s="13"/>
      <c r="X54" s="90" t="e">
        <f t="shared" si="33"/>
        <v>#DIV/0!</v>
      </c>
      <c r="Y54" s="90" t="e">
        <f t="shared" si="34"/>
        <v>#DIV/0!</v>
      </c>
      <c r="Z54" s="47">
        <f>IFERROR(VLOOKUP(0,'[9]PAGE 2'!$B:$S,4,FALSE),0)</f>
        <v>0</v>
      </c>
      <c r="AA54" s="13">
        <f>IFERROR(VLOOKUP(0,'[9]PAGE 2'!$B:$S,7,FALSE),0)</f>
        <v>0</v>
      </c>
      <c r="AB54" s="89">
        <f t="shared" si="35"/>
        <v>0</v>
      </c>
      <c r="AC54" s="89">
        <f t="shared" si="36"/>
        <v>0</v>
      </c>
      <c r="AD54" s="47">
        <f>'New Vehicle'!P66+'Used Vehicle'!P73+Service!P76+'Parts &amp; Accessories'!P79</f>
        <v>0</v>
      </c>
      <c r="AE54" s="13">
        <f>'New Vehicle'!Q66+'Used Vehicle'!Q73+Service!Q76+'Parts &amp; Accessories'!Q79</f>
        <v>0</v>
      </c>
      <c r="AF54" s="91">
        <f t="shared" si="37"/>
        <v>0</v>
      </c>
      <c r="AG54" s="92">
        <f t="shared" si="38"/>
        <v>0</v>
      </c>
      <c r="AH54" s="47">
        <f>'New Vehicle'!R66+'Used Vehicle'!R73+Service!R76+'Parts &amp; Accessories'!R79</f>
        <v>0</v>
      </c>
      <c r="AI54" s="13">
        <f>'New Vehicle'!S66+'Used Vehicle'!S73+Service!S76+'Parts &amp; Accessories'!S79</f>
        <v>0</v>
      </c>
      <c r="AJ54" s="47">
        <f>IFERROR('Used Vehicle'!T73+Service!T76+'Parts &amp; Accessories'!T79,0)</f>
        <v>0</v>
      </c>
      <c r="AK54" s="13">
        <f>IFERROR('Used Vehicle'!U73+Service!U76+'Parts &amp; Accessories'!U79,0)</f>
        <v>0</v>
      </c>
      <c r="AL54" s="47">
        <f>+INDEX('[10]PAGE 2'!$1:$1048576,MATCH("depreciation - buildings and improvements",'[10]PAGE 2'!$B:$B,0),8)</f>
        <v>0</v>
      </c>
      <c r="AM54" s="13">
        <f>+INDEX('[10]PAGE 2'!$1:$1048576,MATCH("depreciation - buildings and improvements",'[10]PAGE 2'!$B:$B,0),12)</f>
        <v>0</v>
      </c>
      <c r="AN54" s="47">
        <f>IFERROR(VLOOKUP(0,'[11]PAGE 2'!$B:$S,4,FALSE),0)</f>
        <v>0</v>
      </c>
      <c r="AO54" s="13">
        <f>IFERROR(VLOOKUP(0,'[11]PAGE 2'!$B:$S,7,FALSE),0)</f>
        <v>0</v>
      </c>
      <c r="AP54" s="47">
        <f>IFERROR(VLOOKUP(0,'[12]PAGE 2'!$B:$S,4,FALSE),0)</f>
        <v>0</v>
      </c>
      <c r="AQ54" s="13">
        <f>IFERROR(VLOOKUP(0,'[12]PAGE 2'!$B:$S,7,FALSE),0)</f>
        <v>0</v>
      </c>
      <c r="AR54" s="47">
        <f t="shared" si="0"/>
        <v>3101</v>
      </c>
      <c r="AS54" s="13">
        <f t="shared" si="1"/>
        <v>20029</v>
      </c>
    </row>
    <row r="55" spans="1:45">
      <c r="A55" s="88" t="s">
        <v>41</v>
      </c>
      <c r="B55" s="47">
        <f>INDEX('[4]Page 2'!$B:$DP,MATCH("0540",'[4]Page 2'!$M:$M,0),13)</f>
        <v>5732</v>
      </c>
      <c r="C55" s="13">
        <f>INDEX('[4]Page 2'!$B:$DP,MATCH("0540",'[4]Page 2'!$M:$M,0),24)</f>
        <v>53358</v>
      </c>
      <c r="D55" s="89">
        <f t="shared" si="39"/>
        <v>6.0453166725024576E-3</v>
      </c>
      <c r="E55" s="89">
        <f t="shared" si="52"/>
        <v>4.8234266777313134E-3</v>
      </c>
      <c r="F55" s="47">
        <f>INDEX('[5]Page 2'!$B:$DP,MATCH("0540",'[5]Page 2'!$M:$M,0),13)</f>
        <v>1837</v>
      </c>
      <c r="G55" s="13">
        <f>INDEX('[5]Page 2'!$B:$DP,MATCH("0540",'[5]Page 2'!$M:$M,0),24)</f>
        <v>20694</v>
      </c>
      <c r="H55" s="89">
        <f t="shared" si="46"/>
        <v>1.9374121994743571E-3</v>
      </c>
      <c r="I55" s="89">
        <f t="shared" si="47"/>
        <v>1.8706846521416058E-3</v>
      </c>
      <c r="J55" s="47">
        <f>INDEX('[6]Page 2'!$B:$DP,MATCH("0540",'[6]Page 2'!$M:$M,0),13)</f>
        <v>0</v>
      </c>
      <c r="K55" s="13">
        <f>INDEX('[6]Page 2'!$B:$DP,MATCH("0540",'[6]Page 2'!$M:$M,0),24)</f>
        <v>0</v>
      </c>
      <c r="L55" s="89">
        <f t="shared" si="27"/>
        <v>0</v>
      </c>
      <c r="M55" s="89">
        <f t="shared" si="28"/>
        <v>0</v>
      </c>
      <c r="N55" s="47">
        <f>IFERROR(VLOOKUP("Insurance - Bldgs &amp; Imps",'[7]PAGE 2'!$B:$W,4,FALSE),0)</f>
        <v>0</v>
      </c>
      <c r="O55" s="13">
        <f>IFERROR(VLOOKUP("Insurance - Bldgs &amp; Imps",'[7]PAGE 2'!$B:$W,5,FALSE),0)</f>
        <v>0</v>
      </c>
      <c r="P55" s="89">
        <f t="shared" si="29"/>
        <v>0</v>
      </c>
      <c r="Q55" s="89">
        <f t="shared" si="30"/>
        <v>0</v>
      </c>
      <c r="R55" s="47">
        <f>IFERROR(VLOOKUP("Insurance - Bldgs &amp; Imps",'[8]PAGE 2'!$B:$W,4,FALSE),0)</f>
        <v>0</v>
      </c>
      <c r="S55" s="13">
        <f>IFERROR(VLOOKUP("Insurance - Bldgs &amp; Imps",'[8]PAGE 2'!$B:$W,5,FALSE),0)</f>
        <v>0</v>
      </c>
      <c r="T55" s="90">
        <f t="shared" si="31"/>
        <v>0</v>
      </c>
      <c r="U55" s="90">
        <f t="shared" si="32"/>
        <v>0</v>
      </c>
      <c r="V55" s="47"/>
      <c r="W55" s="13"/>
      <c r="X55" s="90" t="e">
        <f t="shared" si="33"/>
        <v>#DIV/0!</v>
      </c>
      <c r="Y55" s="90" t="e">
        <f t="shared" si="34"/>
        <v>#DIV/0!</v>
      </c>
      <c r="Z55" s="47">
        <f>IFERROR(VLOOKUP(0,'[9]PAGE 2'!$B:$S,4,FALSE),0)</f>
        <v>0</v>
      </c>
      <c r="AA55" s="13">
        <f>IFERROR(VLOOKUP(0,'[9]PAGE 2'!$B:$S,7,FALSE),0)</f>
        <v>0</v>
      </c>
      <c r="AB55" s="89">
        <f t="shared" si="35"/>
        <v>0</v>
      </c>
      <c r="AC55" s="89">
        <f t="shared" si="36"/>
        <v>0</v>
      </c>
      <c r="AD55" s="47">
        <f>'New Vehicle'!P67+'Used Vehicle'!P74+Service!P77+'Parts &amp; Accessories'!P80</f>
        <v>0</v>
      </c>
      <c r="AE55" s="13">
        <f>'New Vehicle'!Q67+'Used Vehicle'!Q74+Service!Q77+'Parts &amp; Accessories'!Q80</f>
        <v>0</v>
      </c>
      <c r="AF55" s="91">
        <f t="shared" si="37"/>
        <v>0</v>
      </c>
      <c r="AG55" s="92">
        <f t="shared" si="38"/>
        <v>0</v>
      </c>
      <c r="AH55" s="47">
        <f>'New Vehicle'!R67+'Used Vehicle'!R74+Service!R77+'Parts &amp; Accessories'!R80</f>
        <v>0</v>
      </c>
      <c r="AI55" s="13">
        <f>'New Vehicle'!S67+'Used Vehicle'!S74+Service!S77+'Parts &amp; Accessories'!S80</f>
        <v>0</v>
      </c>
      <c r="AJ55" s="47">
        <f>IFERROR('Used Vehicle'!T74+Service!T77+'Parts &amp; Accessories'!T80,0)</f>
        <v>0</v>
      </c>
      <c r="AK55" s="13">
        <f>IFERROR('Used Vehicle'!U74+Service!U77+'Parts &amp; Accessories'!U80,0)</f>
        <v>0</v>
      </c>
      <c r="AL55" s="47">
        <f>+INDEX('[10]PAGE 2'!$1:$1048576,MATCH("insurance - building and improvements",'[10]PAGE 2'!$B:$B,0),8)</f>
        <v>0</v>
      </c>
      <c r="AM55" s="13">
        <f>+INDEX('[10]PAGE 2'!$1:$1048576,MATCH("insurance - building and improvements",'[10]PAGE 2'!$B:$B,0),12)</f>
        <v>0</v>
      </c>
      <c r="AN55" s="47">
        <f>IFERROR(VLOOKUP(0,'[11]PAGE 2'!$B:$S,4,FALSE),0)</f>
        <v>0</v>
      </c>
      <c r="AO55" s="13">
        <f>IFERROR(VLOOKUP(0,'[11]PAGE 2'!$B:$S,7,FALSE),0)</f>
        <v>0</v>
      </c>
      <c r="AP55" s="47">
        <f>IFERROR(VLOOKUP(0,'[12]PAGE 2'!$B:$S,4,FALSE),0)</f>
        <v>0</v>
      </c>
      <c r="AQ55" s="13">
        <f>IFERROR(VLOOKUP(0,'[12]PAGE 2'!$B:$S,7,FALSE),0)</f>
        <v>0</v>
      </c>
      <c r="AR55" s="47">
        <f t="shared" si="0"/>
        <v>7569</v>
      </c>
      <c r="AS55" s="13">
        <f t="shared" si="1"/>
        <v>74052</v>
      </c>
    </row>
    <row r="56" spans="1:45">
      <c r="A56" s="88" t="s">
        <v>42</v>
      </c>
      <c r="B56" s="47">
        <f>INDEX('[4]Page 2'!$B:$DP,MATCH("0550",'[4]Page 2'!$M:$M,0),13)</f>
        <v>3112</v>
      </c>
      <c r="C56" s="13">
        <f>INDEX('[4]Page 2'!$B:$DP,MATCH("0550",'[4]Page 2'!$M:$M,0),24)</f>
        <v>26046</v>
      </c>
      <c r="D56" s="89">
        <f t="shared" si="39"/>
        <v>3.2821049345477401E-3</v>
      </c>
      <c r="E56" s="89">
        <f t="shared" si="52"/>
        <v>2.3544917584652682E-3</v>
      </c>
      <c r="F56" s="47">
        <f>INDEX('[5]Page 2'!$B:$DP,MATCH("0550",'[5]Page 2'!$M:$M,0),13)</f>
        <v>3808</v>
      </c>
      <c r="G56" s="13">
        <f>INDEX('[5]Page 2'!$B:$DP,MATCH("0550",'[5]Page 2'!$M:$M,0),24)</f>
        <v>45692</v>
      </c>
      <c r="H56" s="89">
        <f t="shared" si="46"/>
        <v>4.0161489687525051E-3</v>
      </c>
      <c r="I56" s="89">
        <f t="shared" si="47"/>
        <v>4.1304398920292964E-3</v>
      </c>
      <c r="J56" s="47">
        <f>INDEX('[6]Page 2'!$B:$DP,MATCH("0550",'[6]Page 2'!$M:$M,0),13)</f>
        <v>4212</v>
      </c>
      <c r="K56" s="13">
        <f>INDEX('[6]Page 2'!$B:$DP,MATCH("0550",'[6]Page 2'!$M:$M,0),24)</f>
        <v>24716</v>
      </c>
      <c r="L56" s="89">
        <f t="shared" si="27"/>
        <v>4.4494963153268877E-3</v>
      </c>
      <c r="M56" s="89">
        <f t="shared" si="28"/>
        <v>2.3230194440562197E-3</v>
      </c>
      <c r="N56" s="47">
        <f>IFERROR(VLOOKUP("Taxes - Real Estate",'[7]PAGE 2'!$B:$W,4,FALSE),0)</f>
        <v>1538</v>
      </c>
      <c r="O56" s="13">
        <f>IFERROR(VLOOKUP("Taxes - Real Estate",'[7]PAGE 2'!$B:$W,5,FALSE),0)</f>
        <v>26781</v>
      </c>
      <c r="P56" s="89">
        <f t="shared" si="29"/>
        <v>2.5371499458917307E-3</v>
      </c>
      <c r="Q56" s="89">
        <f t="shared" si="30"/>
        <v>3.8482025556111324E-3</v>
      </c>
      <c r="R56" s="47">
        <f>IFERROR(VLOOKUP("Taxes - Real Estate",'[8]PAGE 2'!$B:$W,4,FALSE),0)</f>
        <v>253</v>
      </c>
      <c r="S56" s="13">
        <f>IFERROR(VLOOKUP("Taxes - Real Estate",'[8]PAGE 2'!$B:$W,5,FALSE),0)</f>
        <v>18226</v>
      </c>
      <c r="T56" s="90">
        <f t="shared" si="31"/>
        <v>5.6430135923023054E-4</v>
      </c>
      <c r="U56" s="90">
        <f t="shared" si="32"/>
        <v>3.5900447071462297E-3</v>
      </c>
      <c r="V56" s="47"/>
      <c r="W56" s="13"/>
      <c r="X56" s="90" t="e">
        <f t="shared" si="33"/>
        <v>#DIV/0!</v>
      </c>
      <c r="Y56" s="90" t="e">
        <f t="shared" si="34"/>
        <v>#DIV/0!</v>
      </c>
      <c r="Z56" s="47">
        <f>IFERROR(VLOOKUP(0,'[9]PAGE 2'!$B:$S,4,FALSE),0)</f>
        <v>0</v>
      </c>
      <c r="AA56" s="13">
        <f>IFERROR(VLOOKUP(0,'[9]PAGE 2'!$B:$S,7,FALSE),0)</f>
        <v>0</v>
      </c>
      <c r="AB56" s="89">
        <f t="shared" si="35"/>
        <v>0</v>
      </c>
      <c r="AC56" s="89">
        <f t="shared" si="36"/>
        <v>0</v>
      </c>
      <c r="AD56" s="47">
        <f>'New Vehicle'!P68+'Used Vehicle'!P75+Service!P78+'Parts &amp; Accessories'!P81</f>
        <v>0</v>
      </c>
      <c r="AE56" s="13">
        <f>'New Vehicle'!Q68+'Used Vehicle'!Q75+Service!Q78+'Parts &amp; Accessories'!Q81</f>
        <v>0</v>
      </c>
      <c r="AF56" s="91">
        <f t="shared" si="37"/>
        <v>0</v>
      </c>
      <c r="AG56" s="92">
        <f t="shared" si="38"/>
        <v>0</v>
      </c>
      <c r="AH56" s="47">
        <f>'New Vehicle'!R68+'Used Vehicle'!R75+Service!R78+'Parts &amp; Accessories'!R81</f>
        <v>0</v>
      </c>
      <c r="AI56" s="13">
        <f>'New Vehicle'!S68+'Used Vehicle'!S75+Service!S78+'Parts &amp; Accessories'!S81</f>
        <v>0</v>
      </c>
      <c r="AJ56" s="47">
        <f>IFERROR('Used Vehicle'!T75+Service!T78+'Parts &amp; Accessories'!T81,0)</f>
        <v>0</v>
      </c>
      <c r="AK56" s="13">
        <f>IFERROR('Used Vehicle'!U75+Service!U78+'Parts &amp; Accessories'!U81,0)</f>
        <v>0</v>
      </c>
      <c r="AL56" s="47">
        <f>+INDEX('[10]PAGE 2'!$1:$1048576,MATCH("taxes - real estate",'[10]PAGE 2'!$B:$B,0),8)</f>
        <v>0</v>
      </c>
      <c r="AM56" s="13">
        <f>+INDEX('[10]PAGE 2'!$1:$1048576,MATCH("taxes - real estate",'[10]PAGE 2'!$B:$B,0),12)</f>
        <v>0</v>
      </c>
      <c r="AN56" s="47">
        <f>IFERROR(VLOOKUP(0,'[11]PAGE 2'!$B:$S,4,FALSE),0)</f>
        <v>0</v>
      </c>
      <c r="AO56" s="13">
        <f>IFERROR(VLOOKUP(0,'[11]PAGE 2'!$B:$S,7,FALSE),0)</f>
        <v>0</v>
      </c>
      <c r="AP56" s="47">
        <f>IFERROR(VLOOKUP(0,'[12]PAGE 2'!$B:$S,4,FALSE),0)</f>
        <v>0</v>
      </c>
      <c r="AQ56" s="13">
        <f>IFERROR(VLOOKUP(0,'[12]PAGE 2'!$B:$S,7,FALSE),0)</f>
        <v>0</v>
      </c>
      <c r="AR56" s="47">
        <f t="shared" si="0"/>
        <v>12923</v>
      </c>
      <c r="AS56" s="13">
        <f t="shared" si="1"/>
        <v>141461</v>
      </c>
    </row>
    <row r="57" spans="1:45">
      <c r="A57" s="88" t="s">
        <v>255</v>
      </c>
      <c r="B57" s="47"/>
      <c r="C57" s="13"/>
      <c r="D57" s="89">
        <f t="shared" si="39"/>
        <v>0</v>
      </c>
      <c r="E57" s="89">
        <f t="shared" si="52"/>
        <v>0</v>
      </c>
      <c r="F57" s="47"/>
      <c r="G57" s="13"/>
      <c r="H57" s="89">
        <f t="shared" si="46"/>
        <v>0</v>
      </c>
      <c r="I57" s="89">
        <f t="shared" si="47"/>
        <v>0</v>
      </c>
      <c r="J57" s="47"/>
      <c r="K57" s="13"/>
      <c r="L57" s="89">
        <f t="shared" si="27"/>
        <v>0</v>
      </c>
      <c r="M57" s="89">
        <f t="shared" si="28"/>
        <v>0</v>
      </c>
      <c r="N57" s="47">
        <f>IFERROR(VLOOKUP("Mortgage Interest",'[7]PAGE 2'!$B:$W,4,FALSE)+VLOOKUP("Other Interest",'[7]PAGE 2'!$B:$W,4,FALSE),0)</f>
        <v>6258</v>
      </c>
      <c r="O57" s="13">
        <f>IFERROR(VLOOKUP("Mortgage Interest",'[7]PAGE 2'!$B:$W,5,FALSE)+VLOOKUP("Other Interest",'[7]PAGE 2'!$B:$W,5,FALSE),0)</f>
        <v>90472</v>
      </c>
      <c r="P57" s="89">
        <f t="shared" si="29"/>
        <v>1.0323461873465833E-2</v>
      </c>
      <c r="Q57" s="89">
        <f t="shared" si="30"/>
        <v>1.3000059057214084E-2</v>
      </c>
      <c r="R57" s="47">
        <f>IFERROR(VLOOKUP("Mortgage Interest",'[8]PAGE 2'!$B:$W,4,FALSE)+VLOOKUP("Other Interest",'[8]PAGE 2'!$B:$W,4,FALSE),0)</f>
        <v>6258</v>
      </c>
      <c r="S57" s="13">
        <f>IFERROR(VLOOKUP("Mortgage Interest",'[8]PAGE 2'!$B:$W,5,FALSE)+VLOOKUP("Other Interest",'[8]PAGE 2'!$B:$W,5,FALSE),0)</f>
        <v>90472</v>
      </c>
      <c r="T57" s="90">
        <f t="shared" si="31"/>
        <v>1.3958094490366729E-2</v>
      </c>
      <c r="U57" s="90">
        <f t="shared" si="32"/>
        <v>1.782061476708733E-2</v>
      </c>
      <c r="V57" s="47"/>
      <c r="W57" s="13"/>
      <c r="X57" s="90" t="e">
        <f t="shared" si="33"/>
        <v>#DIV/0!</v>
      </c>
      <c r="Y57" s="90" t="e">
        <f t="shared" si="34"/>
        <v>#DIV/0!</v>
      </c>
      <c r="Z57" s="47">
        <f>IFERROR(VLOOKUP("Interest - Other Than Floor Plan &amp; R.E Mortgage",'[9]PAGE 2'!$B:$S,4,FALSE),0)</f>
        <v>4124</v>
      </c>
      <c r="AA57" s="13">
        <f>IFERROR(VLOOKUP("Interest - Other Than Floor Plan &amp; R.E Mortgage",'[9]PAGE 2'!$B:$S,7,FALSE),0)</f>
        <v>132257</v>
      </c>
      <c r="AB57" s="89">
        <f t="shared" si="35"/>
        <v>4.444305544928545E-3</v>
      </c>
      <c r="AC57" s="89">
        <f t="shared" si="36"/>
        <v>1.3505414695380432E-2</v>
      </c>
      <c r="AD57" s="47">
        <f>'New Vehicle'!P69+'Used Vehicle'!P76+Service!P79+'Parts &amp; Accessories'!P82</f>
        <v>13999.999999999998</v>
      </c>
      <c r="AE57" s="13">
        <f>'New Vehicle'!Q69+'Used Vehicle'!Q76+Service!Q79+'Parts &amp; Accessories'!Q82</f>
        <v>178940</v>
      </c>
      <c r="AF57" s="91">
        <f t="shared" si="37"/>
        <v>2.2065521991444879E-2</v>
      </c>
      <c r="AG57" s="92">
        <f t="shared" si="38"/>
        <v>2.4031355990816676E-2</v>
      </c>
      <c r="AH57" s="47">
        <f>'New Vehicle'!R69+'Used Vehicle'!R76+Service!R79+'Parts &amp; Accessories'!R82</f>
        <v>3658.578403311888</v>
      </c>
      <c r="AI57" s="13">
        <f>'New Vehicle'!S69+'Used Vehicle'!S76+Service!S79+'Parts &amp; Accessories'!S82</f>
        <v>53824</v>
      </c>
      <c r="AJ57" s="47">
        <f>IFERROR('Used Vehicle'!T76+Service!T79+'Parts &amp; Accessories'!T82,0)</f>
        <v>3658.5838383048595</v>
      </c>
      <c r="AK57" s="13">
        <f>IFERROR('Used Vehicle'!U76+Service!U79+'Parts &amp; Accessories'!U82,0)</f>
        <v>53825</v>
      </c>
      <c r="AL57" s="47">
        <f>+INDEX('[10]PAGE 2'!$1:$1048576,MATCH("interest - real estate mortgage",'[10]PAGE 2'!$B:$B,0),8)</f>
        <v>0</v>
      </c>
      <c r="AM57" s="13">
        <f>+INDEX('[10]PAGE 2'!$1:$1048576,MATCH("interest - real estate mortgage",'[10]PAGE 2'!$B:$B,0),12)</f>
        <v>0</v>
      </c>
      <c r="AN57" s="47">
        <f>IFERROR(VLOOKUP("Interest - Other Than Floor Plan &amp; R.E Mortgage",'[11]PAGE 2'!$B:$S,4,FALSE),0)</f>
        <v>0</v>
      </c>
      <c r="AO57" s="13">
        <f>IFERROR(VLOOKUP("Interest - Other Than Floor Plan &amp; R.E Mortgage",'[11]PAGE 2'!$B:$S,7,FALSE),0)</f>
        <v>0</v>
      </c>
      <c r="AP57" s="47">
        <f>IFERROR(VLOOKUP("Interest - Other Than Floor Plan &amp; R.E Mortgage",'[12]PAGE 2'!$B:$S,4,FALSE),0)</f>
        <v>26566</v>
      </c>
      <c r="AQ57" s="13">
        <f>IFERROR(VLOOKUP("Interest - Other Than Floor Plan &amp; R.E Mortgage",'[12]PAGE 2'!$B:$S,7,FALSE),0)</f>
        <v>26566</v>
      </c>
      <c r="AR57" s="47">
        <f t="shared" si="0"/>
        <v>64523.162241616752</v>
      </c>
      <c r="AS57" s="13">
        <f t="shared" si="1"/>
        <v>626356</v>
      </c>
    </row>
    <row r="58" spans="1:45">
      <c r="A58" s="88" t="s">
        <v>44</v>
      </c>
      <c r="B58" s="47">
        <f>INDEX('[4]Page 2'!$B:$DP,MATCH("0570",'[4]Page 2'!$M:$M,0),13)</f>
        <v>6333</v>
      </c>
      <c r="C58" s="13">
        <f>INDEX('[4]Page 2'!$B:$DP,MATCH("0570",'[4]Page 2'!$M:$M,0),24)</f>
        <v>100203</v>
      </c>
      <c r="D58" s="89">
        <f t="shared" si="39"/>
        <v>6.6791679146821466E-3</v>
      </c>
      <c r="E58" s="89">
        <f t="shared" si="52"/>
        <v>9.0580948196842242E-3</v>
      </c>
      <c r="F58" s="47">
        <f>INDEX('[5]Page 2'!$B:$DP,MATCH("0570",'[5]Page 2'!$M:$M,0),13)</f>
        <v>10052</v>
      </c>
      <c r="G58" s="13">
        <f>INDEX('[5]Page 2'!$B:$DP,MATCH("0570",'[5]Page 2'!$M:$M,0),24)</f>
        <v>130402</v>
      </c>
      <c r="H58" s="89">
        <f t="shared" si="46"/>
        <v>1.0601452057221685E-2</v>
      </c>
      <c r="I58" s="89">
        <f t="shared" si="47"/>
        <v>1.1788007152245563E-2</v>
      </c>
      <c r="J58" s="47">
        <f>INDEX('[6]Page 2'!$B:$DP,MATCH("0570",'[6]Page 2'!$M:$M,0),13)</f>
        <v>11264</v>
      </c>
      <c r="K58" s="13">
        <f>INDEX('[6]Page 2'!$B:$DP,MATCH("0570",'[6]Page 2'!$M:$M,0),24)</f>
        <v>127467</v>
      </c>
      <c r="L58" s="89">
        <f t="shared" si="27"/>
        <v>1.1899127848015684E-2</v>
      </c>
      <c r="M58" s="89">
        <f t="shared" si="28"/>
        <v>1.1980430469150111E-2</v>
      </c>
      <c r="N58" s="47">
        <f>IFERROR(VLOOKUP("Utilities",'[7]PAGE 2'!$B:$W,4,FALSE),0)</f>
        <v>7760</v>
      </c>
      <c r="O58" s="13">
        <f>IFERROR(VLOOKUP("Utilities",'[7]PAGE 2'!$B:$W,5,FALSE),0)</f>
        <v>65097</v>
      </c>
      <c r="P58" s="89">
        <f t="shared" si="29"/>
        <v>1.2801224694486236E-2</v>
      </c>
      <c r="Q58" s="89">
        <f t="shared" si="30"/>
        <v>9.3538867765437395E-3</v>
      </c>
      <c r="R58" s="47">
        <f>IFERROR(VLOOKUP("Utilities",'[8]PAGE 2'!$B:$W,4,FALSE),0)</f>
        <v>3347</v>
      </c>
      <c r="S58" s="13">
        <f>IFERROR(VLOOKUP("Utilities",'[8]PAGE 2'!$B:$W,5,FALSE),0)</f>
        <v>63814</v>
      </c>
      <c r="T58" s="90">
        <f t="shared" si="31"/>
        <v>7.4652831989864884E-3</v>
      </c>
      <c r="U58" s="90">
        <f t="shared" si="32"/>
        <v>1.2569686872699961E-2</v>
      </c>
      <c r="V58" s="47"/>
      <c r="W58" s="13"/>
      <c r="X58" s="90" t="e">
        <f t="shared" si="33"/>
        <v>#DIV/0!</v>
      </c>
      <c r="Y58" s="90" t="e">
        <f t="shared" si="34"/>
        <v>#DIV/0!</v>
      </c>
      <c r="Z58" s="47">
        <f>IFERROR(VLOOKUP("Heat, Light, Power &amp; Water",'[9]PAGE 2'!$B:$S,4,FALSE),0)</f>
        <v>7492</v>
      </c>
      <c r="AA58" s="13">
        <f>IFERROR(VLOOKUP("Heat, Light, Power &amp; Water",'[9]PAGE 2'!$B:$S,7,FALSE),0)</f>
        <v>99749</v>
      </c>
      <c r="AB58" s="89">
        <f t="shared" si="35"/>
        <v>8.0738935845307124E-3</v>
      </c>
      <c r="AC58" s="89">
        <f t="shared" si="36"/>
        <v>1.0185862453023302E-2</v>
      </c>
      <c r="AD58" s="47">
        <f>'New Vehicle'!P70+'Used Vehicle'!P77+Service!P80+'Parts &amp; Accessories'!P83</f>
        <v>8910.9999999999982</v>
      </c>
      <c r="AE58" s="13">
        <f>'New Vehicle'!Q70+'Used Vehicle'!Q77+Service!Q80+'Parts &amp; Accessories'!Q83</f>
        <v>99829</v>
      </c>
      <c r="AF58" s="91">
        <f t="shared" si="37"/>
        <v>1.4044704747554664E-2</v>
      </c>
      <c r="AG58" s="92">
        <f t="shared" si="38"/>
        <v>1.3406875138075544E-2</v>
      </c>
      <c r="AH58" s="47">
        <f>'New Vehicle'!R70+'Used Vehicle'!R77+Service!R80+'Parts &amp; Accessories'!R83</f>
        <v>7582.1181394272608</v>
      </c>
      <c r="AI58" s="13">
        <f>'New Vehicle'!S70+'Used Vehicle'!S77+Service!S80+'Parts &amp; Accessories'!S83</f>
        <v>90412</v>
      </c>
      <c r="AJ58" s="47">
        <f>IFERROR('Used Vehicle'!T77+Service!T80+'Parts &amp; Accessories'!T83,0)</f>
        <v>3054.7399038273584</v>
      </c>
      <c r="AK58" s="13">
        <f>IFERROR('Used Vehicle'!U77+Service!U80+'Parts &amp; Accessories'!U83,0)</f>
        <v>37617</v>
      </c>
      <c r="AL58" s="47">
        <f>+INDEX('[10]PAGE 2'!$1:$1048576,MATCH("heat, light, power and water",'[10]PAGE 2'!$B:$B,0),8)</f>
        <v>4987</v>
      </c>
      <c r="AM58" s="13">
        <f>+INDEX('[10]PAGE 2'!$1:$1048576,MATCH("heat, light, power and water",'[10]PAGE 2'!$B:$B,0),12)</f>
        <v>28703</v>
      </c>
      <c r="AN58" s="47">
        <f>IFERROR(VLOOKUP("Heat, Light, Power &amp; Water",'[11]PAGE 2'!$B:$S,4,FALSE),0)</f>
        <v>3759</v>
      </c>
      <c r="AO58" s="13">
        <f>IFERROR(VLOOKUP("Heat, Light, Power &amp; Water",'[11]PAGE 2'!$B:$S,7,FALSE),0)</f>
        <v>27686</v>
      </c>
      <c r="AP58" s="47">
        <f>IFERROR(VLOOKUP("Heat, Light, Power &amp; Water",'[12]PAGE 2'!$B:$S,4,FALSE),0)</f>
        <v>2015</v>
      </c>
      <c r="AQ58" s="13">
        <f>IFERROR(VLOOKUP("Heat, Light, Power &amp; Water",'[12]PAGE 2'!$B:$S,7,FALSE),0)</f>
        <v>19852</v>
      </c>
      <c r="AR58" s="47">
        <f t="shared" si="0"/>
        <v>76556.858043254615</v>
      </c>
      <c r="AS58" s="13">
        <f t="shared" si="1"/>
        <v>890831</v>
      </c>
    </row>
    <row r="59" spans="1:45">
      <c r="A59" s="4" t="s">
        <v>57</v>
      </c>
      <c r="B59" s="24">
        <f t="shared" ref="B59:C59" si="53">SUM(B51:B58)</f>
        <v>71295</v>
      </c>
      <c r="C59" s="25">
        <f t="shared" si="53"/>
        <v>882353</v>
      </c>
      <c r="D59" s="99">
        <f t="shared" si="39"/>
        <v>7.5192053762397543E-2</v>
      </c>
      <c r="E59" s="99">
        <f t="shared" si="52"/>
        <v>7.9762453603513209E-2</v>
      </c>
      <c r="F59" s="24">
        <f t="shared" ref="F59:G59" si="54">SUM(F51:F58)</f>
        <v>47784</v>
      </c>
      <c r="G59" s="25">
        <f t="shared" si="54"/>
        <v>575296</v>
      </c>
      <c r="H59" s="99">
        <f t="shared" si="46"/>
        <v>5.0395919727644352E-2</v>
      </c>
      <c r="I59" s="99">
        <f t="shared" si="47"/>
        <v>5.2005286442372532E-2</v>
      </c>
      <c r="J59" s="24">
        <f t="shared" ref="J59:K59" si="55">SUM(J51:J58)</f>
        <v>89490</v>
      </c>
      <c r="K59" s="25">
        <f t="shared" si="55"/>
        <v>1026872</v>
      </c>
      <c r="L59" s="99">
        <f t="shared" si="27"/>
        <v>9.4535950916097622E-2</v>
      </c>
      <c r="M59" s="99">
        <f t="shared" si="28"/>
        <v>9.6514145596249337E-2</v>
      </c>
      <c r="N59" s="24">
        <f>SUM(N51:N58)</f>
        <v>66136</v>
      </c>
      <c r="O59" s="25">
        <f>SUM(O51:O58)</f>
        <v>774203</v>
      </c>
      <c r="P59" s="99">
        <f t="shared" si="29"/>
        <v>0.10910074695805949</v>
      </c>
      <c r="Q59" s="99">
        <f t="shared" si="30"/>
        <v>0.11124640465859398</v>
      </c>
      <c r="R59" s="24">
        <f>SUM(R51:R58)</f>
        <v>59638</v>
      </c>
      <c r="S59" s="25">
        <f>SUM(S51:S58)</f>
        <v>722576</v>
      </c>
      <c r="T59" s="100">
        <f t="shared" si="31"/>
        <v>0.13301898996748018</v>
      </c>
      <c r="U59" s="100">
        <f t="shared" si="32"/>
        <v>0.14232854956166432</v>
      </c>
      <c r="V59" s="24"/>
      <c r="W59" s="25"/>
      <c r="X59" s="100" t="e">
        <f t="shared" si="33"/>
        <v>#DIV/0!</v>
      </c>
      <c r="Y59" s="100" t="e">
        <f t="shared" si="34"/>
        <v>#DIV/0!</v>
      </c>
      <c r="Z59" s="24">
        <f>SUM(Z51:Z58)</f>
        <v>91587</v>
      </c>
      <c r="AA59" s="25">
        <f>SUM(AA51:AA58)</f>
        <v>1051405</v>
      </c>
      <c r="AB59" s="99">
        <f t="shared" si="35"/>
        <v>9.8700439365511802E-2</v>
      </c>
      <c r="AC59" s="99">
        <f t="shared" si="36"/>
        <v>0.10736415114358003</v>
      </c>
      <c r="AD59" s="24">
        <f>SUM(AD51:AD58)</f>
        <v>64371.000000000007</v>
      </c>
      <c r="AE59" s="25">
        <f>SUM(AE51:AE58)</f>
        <v>779807</v>
      </c>
      <c r="AF59" s="101">
        <f t="shared" si="37"/>
        <v>0.1014556940079499</v>
      </c>
      <c r="AG59" s="102">
        <f t="shared" si="38"/>
        <v>0.10472683369358879</v>
      </c>
      <c r="AH59" s="24">
        <f>SUM(AH51:AH58)</f>
        <v>43085.976730265233</v>
      </c>
      <c r="AI59" s="25">
        <f>SUM(AI51:AI58)</f>
        <v>576493</v>
      </c>
      <c r="AJ59" s="24">
        <f>SUM(AJ51:AJ58)</f>
        <v>16997.870753352359</v>
      </c>
      <c r="AK59" s="25">
        <f>SUM(AK51:AK58)</f>
        <v>291452</v>
      </c>
      <c r="AL59" s="24">
        <f t="shared" ref="AL59:AM59" si="56">SUM(AL51:AL58)</f>
        <v>46062</v>
      </c>
      <c r="AM59" s="25">
        <f t="shared" si="56"/>
        <v>261097</v>
      </c>
      <c r="AN59" s="24">
        <f>SUM(AN51:AN58)</f>
        <v>3759</v>
      </c>
      <c r="AO59" s="25">
        <f>SUM(AO51:AO58)</f>
        <v>51586</v>
      </c>
      <c r="AP59" s="24">
        <f>SUM(AP51:AP58)</f>
        <v>58581</v>
      </c>
      <c r="AQ59" s="25">
        <f>SUM(AQ51:AQ58)</f>
        <v>166391</v>
      </c>
      <c r="AR59" s="24">
        <f t="shared" si="0"/>
        <v>658786.8474836176</v>
      </c>
      <c r="AS59" s="25">
        <f t="shared" si="1"/>
        <v>7159531</v>
      </c>
    </row>
    <row r="60" spans="1:45">
      <c r="A60" s="103" t="s">
        <v>45</v>
      </c>
      <c r="B60" s="47">
        <f>INDEX('[4]Page 2'!$B:$DP,MATCH("0600",'[4]Page 2'!$M:$M,0),13)</f>
        <v>0</v>
      </c>
      <c r="C60" s="13">
        <f>INDEX('[4]Page 2'!$B:$DP,MATCH("0600",'[4]Page 2'!$M:$M,0),24)</f>
        <v>0</v>
      </c>
      <c r="D60" s="89">
        <f t="shared" si="39"/>
        <v>0</v>
      </c>
      <c r="E60" s="89">
        <f t="shared" ref="E60:E66" si="57">C60/$C$9</f>
        <v>0</v>
      </c>
      <c r="F60" s="47">
        <f>INDEX('[5]Page 2'!$B:$DP,MATCH("0600",'[5]Page 2'!$M:$M,0),13)</f>
        <v>583</v>
      </c>
      <c r="G60" s="13">
        <f>INDEX('[5]Page 2'!$B:$DP,MATCH("0600",'[5]Page 2'!$M:$M,0),24)</f>
        <v>8128</v>
      </c>
      <c r="H60" s="89">
        <f t="shared" si="46"/>
        <v>6.1486734474335881E-4</v>
      </c>
      <c r="I60" s="89">
        <f t="shared" si="47"/>
        <v>7.3475040362457576E-4</v>
      </c>
      <c r="J60" s="47">
        <f>INDEX('[6]Page 2'!$B:$DP,MATCH("0600",'[6]Page 2'!$M:$M,0),13)</f>
        <v>0</v>
      </c>
      <c r="K60" s="13">
        <f>INDEX('[6]Page 2'!$B:$DP,MATCH("0600",'[6]Page 2'!$M:$M,0),24)</f>
        <v>0</v>
      </c>
      <c r="L60" s="89">
        <f t="shared" si="27"/>
        <v>0</v>
      </c>
      <c r="M60" s="89">
        <f t="shared" si="28"/>
        <v>0</v>
      </c>
      <c r="N60" s="47">
        <f>IFERROR(VLOOKUP(0,'[7]PAGE 2'!$B:$W,4,FALSE),0)</f>
        <v>0</v>
      </c>
      <c r="O60" s="13">
        <f>IFERROR(VLOOKUP(0,'[7]PAGE 2'!$B:$W,5,FALSE),0)</f>
        <v>0</v>
      </c>
      <c r="P60" s="89">
        <f t="shared" si="29"/>
        <v>0</v>
      </c>
      <c r="Q60" s="89">
        <f t="shared" si="30"/>
        <v>0</v>
      </c>
      <c r="R60" s="47">
        <f>IFERROR(VLOOKUP(0,'[8]PAGE 2'!$B:$W,4,FALSE),0)</f>
        <v>0</v>
      </c>
      <c r="S60" s="13">
        <f>IFERROR(VLOOKUP(0,'[8]PAGE 2'!$B:$W,5,FALSE),0)</f>
        <v>0</v>
      </c>
      <c r="T60" s="90">
        <f t="shared" si="31"/>
        <v>0</v>
      </c>
      <c r="U60" s="90">
        <f t="shared" si="32"/>
        <v>0</v>
      </c>
      <c r="V60" s="47"/>
      <c r="W60" s="13"/>
      <c r="X60" s="90" t="e">
        <f t="shared" si="33"/>
        <v>#DIV/0!</v>
      </c>
      <c r="Y60" s="90" t="e">
        <f t="shared" si="34"/>
        <v>#DIV/0!</v>
      </c>
      <c r="Z60" s="47">
        <f>IFERROR(VLOOKUP(0,'[9]PAGE 2'!$B:$S,4,FALSE),0)</f>
        <v>0</v>
      </c>
      <c r="AA60" s="13">
        <f>IFERROR(VLOOKUP(0,'[9]PAGE 2'!$B:$S,7,FALSE),0)</f>
        <v>0</v>
      </c>
      <c r="AB60" s="89">
        <f t="shared" si="35"/>
        <v>0</v>
      </c>
      <c r="AC60" s="89">
        <f t="shared" si="36"/>
        <v>0</v>
      </c>
      <c r="AD60" s="47">
        <f>'New Vehicle'!P72+'Used Vehicle'!P79+Service!P82+'Parts &amp; Accessories'!P85</f>
        <v>0</v>
      </c>
      <c r="AE60" s="13">
        <f>'New Vehicle'!Q72+'Used Vehicle'!Q79+Service!Q82+'Parts &amp; Accessories'!Q85</f>
        <v>0</v>
      </c>
      <c r="AF60" s="91">
        <f t="shared" si="37"/>
        <v>0</v>
      </c>
      <c r="AG60" s="92">
        <f t="shared" si="38"/>
        <v>0</v>
      </c>
      <c r="AH60" s="47">
        <f>'New Vehicle'!R72+'Used Vehicle'!R79+Service!R82+'Parts &amp; Accessories'!R85</f>
        <v>0</v>
      </c>
      <c r="AI60" s="13">
        <f>'New Vehicle'!S72+'Used Vehicle'!S79+Service!S82+'Parts &amp; Accessories'!S85</f>
        <v>0</v>
      </c>
      <c r="AJ60" s="47">
        <f>IFERROR('Used Vehicle'!T79+Service!T82+'Parts &amp; Accessories'!T85,0)</f>
        <v>0</v>
      </c>
      <c r="AK60" s="13">
        <f>IFERROR('Used Vehicle'!U79+Service!U82+'Parts &amp; Accessories'!U85,0)</f>
        <v>0</v>
      </c>
      <c r="AL60" s="47"/>
      <c r="AM60" s="13"/>
      <c r="AN60" s="47">
        <f>IFERROR(VLOOKUP(0,'[11]PAGE 2'!$B:$S,4,FALSE),0)</f>
        <v>0</v>
      </c>
      <c r="AO60" s="13">
        <f>IFERROR(VLOOKUP(0,'[11]PAGE 2'!$B:$S,7,FALSE),0)</f>
        <v>0</v>
      </c>
      <c r="AP60" s="47">
        <f>IFERROR(VLOOKUP(0,'[12]PAGE 2'!$B:$S,4,FALSE),0)</f>
        <v>0</v>
      </c>
      <c r="AQ60" s="13">
        <f>IFERROR(VLOOKUP(0,'[12]PAGE 2'!$B:$S,7,FALSE),0)</f>
        <v>0</v>
      </c>
      <c r="AR60" s="47">
        <f t="shared" si="0"/>
        <v>583</v>
      </c>
      <c r="AS60" s="13">
        <f t="shared" si="1"/>
        <v>8128</v>
      </c>
    </row>
    <row r="61" spans="1:45">
      <c r="A61" s="88" t="s">
        <v>46</v>
      </c>
      <c r="B61" s="47">
        <f>INDEX('[4]Page 2'!$B:$DP,MATCH("0620",'[4]Page 2'!$M:$M,0),13)</f>
        <v>940</v>
      </c>
      <c r="C61" s="13">
        <f>INDEX('[4]Page 2'!$B:$DP,MATCH("0620",'[4]Page 2'!$M:$M,0),24)</f>
        <v>14233</v>
      </c>
      <c r="D61" s="89">
        <f t="shared" si="39"/>
        <v>9.9138131056390614E-4</v>
      </c>
      <c r="E61" s="89">
        <f t="shared" si="57"/>
        <v>1.286626783315525E-3</v>
      </c>
      <c r="F61" s="47">
        <f>INDEX('[5]Page 2'!$B:$DP,MATCH("0620",'[5]Page 2'!$M:$M,0),13)</f>
        <v>5687</v>
      </c>
      <c r="G61" s="13">
        <f>INDEX('[5]Page 2'!$B:$DP,MATCH("0620",'[5]Page 2'!$M:$M,0),24)</f>
        <v>36314</v>
      </c>
      <c r="H61" s="89">
        <f t="shared" si="46"/>
        <v>5.9978569289116318E-3</v>
      </c>
      <c r="I61" s="89">
        <f t="shared" si="47"/>
        <v>3.2826926866661968E-3</v>
      </c>
      <c r="J61" s="47">
        <f>INDEX('[6]Page 2'!$B:$DP,MATCH("0620",'[6]Page 2'!$M:$M,0),13)</f>
        <v>3172</v>
      </c>
      <c r="K61" s="13">
        <f>INDEX('[6]Page 2'!$B:$DP,MATCH("0620",'[6]Page 2'!$M:$M,0),24)</f>
        <v>49749</v>
      </c>
      <c r="L61" s="89">
        <f t="shared" si="27"/>
        <v>3.3508552498140759E-3</v>
      </c>
      <c r="M61" s="89">
        <f t="shared" si="28"/>
        <v>4.6758332384832851E-3</v>
      </c>
      <c r="N61" s="47">
        <f>IFERROR(VLOOKUP("Equipment Repairs &amp; Rentals",'[7]PAGE 2'!$B:$W,4,FALSE),0)</f>
        <v>1687</v>
      </c>
      <c r="O61" s="13">
        <f>IFERROR(VLOOKUP("Equipment Repairs &amp; Rentals",'[7]PAGE 2'!$B:$W,5,FALSE),0)</f>
        <v>10036</v>
      </c>
      <c r="P61" s="89">
        <f t="shared" si="29"/>
        <v>2.7829466571647268E-3</v>
      </c>
      <c r="Q61" s="89">
        <f t="shared" si="30"/>
        <v>1.4420880791648305E-3</v>
      </c>
      <c r="R61" s="47">
        <f>IFERROR(VLOOKUP("Equipment Repairs &amp; Rentals",'[8]PAGE 2'!$B:$W,4,FALSE),0)</f>
        <v>4816</v>
      </c>
      <c r="S61" s="13">
        <f>IFERROR(VLOOKUP("Equipment Repairs &amp; Rentals",'[8]PAGE 2'!$B:$W,5,FALSE),0)</f>
        <v>43448</v>
      </c>
      <c r="T61" s="90">
        <f t="shared" si="31"/>
        <v>1.0741799786769922E-2</v>
      </c>
      <c r="U61" s="90">
        <f t="shared" si="32"/>
        <v>8.5581182067425311E-3</v>
      </c>
      <c r="V61" s="47"/>
      <c r="W61" s="13"/>
      <c r="X61" s="90" t="e">
        <f t="shared" si="33"/>
        <v>#DIV/0!</v>
      </c>
      <c r="Y61" s="90" t="e">
        <f t="shared" si="34"/>
        <v>#DIV/0!</v>
      </c>
      <c r="Z61" s="47">
        <f>IFERROR(VLOOKUP("Equip. - Maint., Repair &amp; Rental - Dept'l.",'[9]PAGE 2'!$B:$S,4,FALSE),0)</f>
        <v>2836</v>
      </c>
      <c r="AA61" s="13">
        <f>IFERROR(VLOOKUP("Equip. - Maint., Repair &amp; Rental - Dept'l.",'[9]PAGE 2'!$B:$S,7,FALSE),0)</f>
        <v>29256</v>
      </c>
      <c r="AB61" s="89">
        <f t="shared" si="35"/>
        <v>3.0562683136317543E-3</v>
      </c>
      <c r="AC61" s="89">
        <f t="shared" si="36"/>
        <v>2.9874744802018036E-3</v>
      </c>
      <c r="AD61" s="47">
        <f>'New Vehicle'!P73+'Used Vehicle'!P80+Service!P83+'Parts &amp; Accessories'!P86</f>
        <v>130</v>
      </c>
      <c r="AE61" s="13">
        <f>'New Vehicle'!Q73+'Used Vehicle'!Q80+Service!Q83+'Parts &amp; Accessories'!Q86</f>
        <v>2047</v>
      </c>
      <c r="AF61" s="91">
        <f t="shared" si="37"/>
        <v>2.0489413277770247E-4</v>
      </c>
      <c r="AG61" s="92">
        <f t="shared" si="38"/>
        <v>2.7490882817258149E-4</v>
      </c>
      <c r="AH61" s="47">
        <f>'New Vehicle'!R73+'Used Vehicle'!R80+Service!R83+'Parts &amp; Accessories'!R86</f>
        <v>1305.0426511199753</v>
      </c>
      <c r="AI61" s="13">
        <f>'New Vehicle'!S73+'Used Vehicle'!S80+Service!S83+'Parts &amp; Accessories'!S86</f>
        <v>22686</v>
      </c>
      <c r="AJ61" s="47">
        <f>IFERROR('Used Vehicle'!T80+Service!T83+'Parts &amp; Accessories'!T86,0)</f>
        <v>189.72066929903437</v>
      </c>
      <c r="AK61" s="13">
        <f>IFERROR('Used Vehicle'!U80+Service!U83+'Parts &amp; Accessories'!U86,0)</f>
        <v>2495</v>
      </c>
      <c r="AL61" s="47">
        <f>+INDEX('[10]PAGE 2'!$1:$1048576,MATCH("repairs - equipment",'[10]PAGE 2'!$B:$B,0),8)+INDEX('[10]PAGE 2'!$1:$1048576,MATCH("equipment rental",'[10]PAGE 2'!$B:$B,0),8)</f>
        <v>255</v>
      </c>
      <c r="AM61" s="13">
        <f>+INDEX('[10]PAGE 2'!$1:$1048576,MATCH("repairs - equipment",'[10]PAGE 2'!$B:$B,0),12)+INDEX('[10]PAGE 2'!$1:$1048576,MATCH("equipment rental",'[10]PAGE 2'!$B:$B,0),12)</f>
        <v>3671</v>
      </c>
      <c r="AN61" s="47">
        <f>IFERROR(VLOOKUP("Equip. - Maint., Repair &amp; Rental - Dept'l.",'[11]PAGE 2'!$B:$S,4,FALSE),0)</f>
        <v>2584</v>
      </c>
      <c r="AO61" s="13">
        <f>IFERROR(VLOOKUP("Equip. - Maint., Repair &amp; Rental - Dept'l.",'[11]PAGE 2'!$B:$S,7,FALSE),0)</f>
        <v>14099</v>
      </c>
      <c r="AP61" s="47">
        <f>IFERROR(VLOOKUP("Equip. - Maint., Repair &amp; Rental - Dept'l.",'[12]PAGE 2'!$B:$S,4,FALSE),0)</f>
        <v>1905</v>
      </c>
      <c r="AQ61" s="13">
        <f>IFERROR(VLOOKUP("Equip. - Maint., Repair &amp; Rental - Dept'l.",'[12]PAGE 2'!$B:$S,7,FALSE),0)</f>
        <v>3039</v>
      </c>
      <c r="AR61" s="47">
        <f t="shared" si="0"/>
        <v>25506.76332041901</v>
      </c>
      <c r="AS61" s="13">
        <f t="shared" si="1"/>
        <v>231073</v>
      </c>
    </row>
    <row r="62" spans="1:45">
      <c r="A62" s="94" t="s">
        <v>47</v>
      </c>
      <c r="B62" s="47">
        <f>INDEX('[4]Page 2'!$B:$DP,MATCH("0630",'[4]Page 2'!$M:$M,0),13)</f>
        <v>-44804</v>
      </c>
      <c r="C62" s="13">
        <f>INDEX('[4]Page 2'!$B:$DP,MATCH("0630",'[4]Page 2'!$M:$M,0),24)</f>
        <v>85362</v>
      </c>
      <c r="D62" s="89">
        <f t="shared" si="39"/>
        <v>-4.7253030040963033E-2</v>
      </c>
      <c r="E62" s="89">
        <f t="shared" si="57"/>
        <v>7.7165063920030807E-3</v>
      </c>
      <c r="F62" s="47">
        <f>INDEX('[5]Page 2'!$B:$DP,MATCH("0630",'[5]Page 2'!$M:$M,0),13)</f>
        <v>16677</v>
      </c>
      <c r="G62" s="13">
        <f>INDEX('[5]Page 2'!$B:$DP,MATCH("0630",'[5]Page 2'!$M:$M,0),24)</f>
        <v>193600</v>
      </c>
      <c r="H62" s="89">
        <f t="shared" si="46"/>
        <v>1.7588580974759852E-2</v>
      </c>
      <c r="I62" s="89">
        <f t="shared" si="47"/>
        <v>1.7500944653262535E-2</v>
      </c>
      <c r="J62" s="47">
        <f>INDEX('[6]Page 2'!$B:$DP,MATCH("0630",'[6]Page 2'!$M:$M,0),13)</f>
        <v>11268</v>
      </c>
      <c r="K62" s="13">
        <f>INDEX('[6]Page 2'!$B:$DP,MATCH("0630",'[6]Page 2'!$M:$M,0),24)</f>
        <v>129200</v>
      </c>
      <c r="L62" s="89">
        <f t="shared" si="27"/>
        <v>1.190335339057535E-2</v>
      </c>
      <c r="M62" s="89">
        <f t="shared" si="28"/>
        <v>1.2143312517076532E-2</v>
      </c>
      <c r="N62" s="47">
        <f>IFERROR(VLOOKUP("Depreciation - Other",'[7]PAGE 2'!$B:$W,4,FALSE),0)</f>
        <v>6824</v>
      </c>
      <c r="O62" s="13">
        <f>IFERROR(VLOOKUP("Depreciation - Other",'[7]PAGE 2'!$B:$W,5,FALSE),0)</f>
        <v>80316</v>
      </c>
      <c r="P62" s="89">
        <f t="shared" si="29"/>
        <v>1.125715944783171E-2</v>
      </c>
      <c r="Q62" s="89">
        <f t="shared" si="30"/>
        <v>1.1540727995835245E-2</v>
      </c>
      <c r="R62" s="47">
        <f>IFERROR(VLOOKUP("Depreciation - Other",'[8]PAGE 2'!$B:$W,4,FALSE),0)</f>
        <v>4370</v>
      </c>
      <c r="S62" s="13">
        <f>IFERROR(VLOOKUP("Depreciation - Other",'[8]PAGE 2'!$B:$W,5,FALSE),0)</f>
        <v>49495</v>
      </c>
      <c r="T62" s="90">
        <f t="shared" si="31"/>
        <v>9.7470234776130728E-3</v>
      </c>
      <c r="U62" s="90">
        <f t="shared" si="32"/>
        <v>9.7492188511029646E-3</v>
      </c>
      <c r="V62" s="47"/>
      <c r="W62" s="13"/>
      <c r="X62" s="90" t="e">
        <f t="shared" si="33"/>
        <v>#DIV/0!</v>
      </c>
      <c r="Y62" s="90" t="e">
        <f t="shared" si="34"/>
        <v>#DIV/0!</v>
      </c>
      <c r="Z62" s="47">
        <f>IFERROR(VLOOKUP("Depr. - Equip. &amp; Vehicles - Dept'l.",'[9]PAGE 2'!$B:$S,4,FALSE)+VLOOKUP("Furniture, Signs, Fixtures &amp; Equipment - Depreciation, Maintenance, Repair &amp; Rental",'[9]PAGE 2'!$B:$S,4,FALSE),0)</f>
        <v>1874</v>
      </c>
      <c r="AA62" s="13">
        <f>IFERROR(VLOOKUP("Depr. - Equip. &amp; Vehicles - Dept'l.",'[9]PAGE 2'!$B:$S,7,FALSE)+VLOOKUP("Furniture, Signs, Fixtures &amp; Equipment - Depreciation, Maintenance, Repair &amp; Rental",'[9]PAGE 2'!$B:$S,7,FALSE),0)</f>
        <v>72782</v>
      </c>
      <c r="AB62" s="89">
        <f t="shared" si="35"/>
        <v>2.0195510647905172E-3</v>
      </c>
      <c r="AC62" s="89">
        <f t="shared" si="36"/>
        <v>7.4321290544861794E-3</v>
      </c>
      <c r="AD62" s="47">
        <f>'New Vehicle'!P74+'Used Vehicle'!P81+Service!P84+'Parts &amp; Accessories'!P87</f>
        <v>6770.9999999999991</v>
      </c>
      <c r="AE62" s="13">
        <f>'New Vehicle'!Q74+'Used Vehicle'!Q81+Service!Q84+'Parts &amp; Accessories'!Q87</f>
        <v>84187</v>
      </c>
      <c r="AF62" s="91">
        <f t="shared" si="37"/>
        <v>1.0671832100290948E-2</v>
      </c>
      <c r="AG62" s="92">
        <f t="shared" si="38"/>
        <v>1.130617953950421E-2</v>
      </c>
      <c r="AH62" s="47">
        <f>'New Vehicle'!R74+'Used Vehicle'!R81+Service!R84+'Parts &amp; Accessories'!R87</f>
        <v>8761.0040694369691</v>
      </c>
      <c r="AI62" s="13">
        <f>'New Vehicle'!S74+'Used Vehicle'!S81+Service!S84+'Parts &amp; Accessories'!S87</f>
        <v>105135</v>
      </c>
      <c r="AJ62" s="47">
        <f>IFERROR('Used Vehicle'!T81+Service!T84+'Parts &amp; Accessories'!T87,0)</f>
        <v>1894.0923413737833</v>
      </c>
      <c r="AK62" s="13">
        <f>IFERROR('Used Vehicle'!U81+Service!U84+'Parts &amp; Accessories'!U87,0)</f>
        <v>22727</v>
      </c>
      <c r="AL62" s="47">
        <f>+INDEX('[10]PAGE 2'!$1:$1048576,MATCH("depreciation - other than bldgs. &amp; improvs.",'[10]PAGE 2'!$B:$B,0),8)</f>
        <v>0</v>
      </c>
      <c r="AM62" s="13">
        <f>+INDEX('[10]PAGE 2'!$1:$1048576,MATCH("depreciation - other than bldgs. &amp; improvs.",'[10]PAGE 2'!$B:$B,0),12)</f>
        <v>2282</v>
      </c>
      <c r="AN62" s="47">
        <f>IFERROR(VLOOKUP("Depr. - Equip. &amp; Vehicles - Dept'l.",'[11]PAGE 2'!$B:$S,4,FALSE)+VLOOKUP("Furniture, Signs, Fixtures &amp; Equipment - Depreciation, Maintenance, Repair &amp; Rental",'[11]PAGE 2'!$B:$S,4,FALSE),0)</f>
        <v>6524</v>
      </c>
      <c r="AO62" s="13">
        <f>IFERROR(VLOOKUP("Depr. - Equip. &amp; Vehicles - Dept'l.",'[11]PAGE 2'!$B:$S,7,FALSE)+VLOOKUP("Furniture, Signs, Fixtures &amp; Equipment - Depreciation, Maintenance, Repair &amp; Rental",'[11]PAGE 2'!$B:$S,7,FALSE),0)</f>
        <v>33204</v>
      </c>
      <c r="AP62" s="47">
        <f>IFERROR(VLOOKUP("Depr. - Equip. &amp; Vehicles - Dept'l.",'[12]PAGE 2'!$B:$S,4,FALSE)+VLOOKUP("Furniture, Signs, Fixtures &amp; Equipment - Depreciation, Maintenance, Repair &amp; Rental",'[12]PAGE 2'!$B:$S,4,FALSE),0)</f>
        <v>2078</v>
      </c>
      <c r="AQ62" s="13">
        <f>IFERROR(VLOOKUP("Depr. - Equip. &amp; Vehicles - Dept'l.",'[12]PAGE 2'!$B:$S,7,FALSE)+VLOOKUP("Furniture, Signs, Fixtures &amp; Equipment - Depreciation, Maintenance, Repair &amp; Rental",'[12]PAGE 2'!$B:$S,7,FALSE),0)</f>
        <v>13844</v>
      </c>
      <c r="AR62" s="47">
        <f t="shared" si="0"/>
        <v>22237.096410810751</v>
      </c>
      <c r="AS62" s="13">
        <f t="shared" si="1"/>
        <v>872134</v>
      </c>
    </row>
    <row r="63" spans="1:45">
      <c r="A63" s="94" t="s">
        <v>48</v>
      </c>
      <c r="B63" s="47">
        <f>INDEX('[4]Page 2'!$B:$DP,MATCH("0640",'[4]Page 2'!$M:$M,0),13)</f>
        <v>5853</v>
      </c>
      <c r="C63" s="13">
        <f>INDEX('[4]Page 2'!$B:$DP,MATCH("0640",'[4]Page 2'!$M:$M,0),24)</f>
        <v>60351</v>
      </c>
      <c r="D63" s="89">
        <f t="shared" si="39"/>
        <v>6.1729306497133431E-3</v>
      </c>
      <c r="E63" s="89">
        <f t="shared" si="57"/>
        <v>5.45557598537731E-3</v>
      </c>
      <c r="F63" s="47">
        <f>INDEX('[5]Page 2'!$B:$DP,MATCH("0640",'[5]Page 2'!$M:$M,0),13)</f>
        <v>14197</v>
      </c>
      <c r="G63" s="13">
        <f>INDEX('[5]Page 2'!$B:$DP,MATCH("0640",'[5]Page 2'!$M:$M,0),24)</f>
        <v>138292</v>
      </c>
      <c r="H63" s="89">
        <f t="shared" si="46"/>
        <v>1.4973021772421038E-2</v>
      </c>
      <c r="I63" s="89">
        <f t="shared" si="47"/>
        <v>1.2501242964819123E-2</v>
      </c>
      <c r="J63" s="47">
        <f>INDEX('[6]Page 2'!$B:$DP,MATCH("0640",'[6]Page 2'!$M:$M,0),13)</f>
        <v>14918</v>
      </c>
      <c r="K63" s="13">
        <f>INDEX('[6]Page 2'!$B:$DP,MATCH("0640",'[6]Page 2'!$M:$M,0),24)</f>
        <v>153207</v>
      </c>
      <c r="L63" s="89">
        <f t="shared" si="27"/>
        <v>1.5759160976269351E-2</v>
      </c>
      <c r="M63" s="89">
        <f t="shared" si="28"/>
        <v>1.4399694123867992E-2</v>
      </c>
      <c r="N63" s="47">
        <f>IFERROR(VLOOKUP("Insurance - Other",'[7]PAGE 2'!$B:$W,4,FALSE),0)</f>
        <v>7919</v>
      </c>
      <c r="O63" s="13">
        <f>IFERROR(VLOOKUP("Insurance - Other",'[7]PAGE 2'!$B:$W,5,FALSE),0)</f>
        <v>88737</v>
      </c>
      <c r="P63" s="89">
        <f t="shared" si="29"/>
        <v>1.3063517829334599E-2</v>
      </c>
      <c r="Q63" s="89">
        <f t="shared" si="30"/>
        <v>1.2750754272703224E-2</v>
      </c>
      <c r="R63" s="47">
        <f>IFERROR(VLOOKUP("Insurance - Other",'[8]PAGE 2'!$B:$W,4,FALSE),0)</f>
        <v>6993</v>
      </c>
      <c r="S63" s="13">
        <f>IFERROR(VLOOKUP("Insurance - Other",'[8]PAGE 2'!$B:$W,5,FALSE),0)</f>
        <v>81089</v>
      </c>
      <c r="T63" s="90">
        <f t="shared" si="31"/>
        <v>1.5597468004335976E-2</v>
      </c>
      <c r="U63" s="90">
        <f t="shared" si="32"/>
        <v>1.5972409484131495E-2</v>
      </c>
      <c r="V63" s="47"/>
      <c r="W63" s="13"/>
      <c r="X63" s="90" t="e">
        <f t="shared" si="33"/>
        <v>#DIV/0!</v>
      </c>
      <c r="Y63" s="90" t="e">
        <f t="shared" si="34"/>
        <v>#DIV/0!</v>
      </c>
      <c r="Z63" s="47">
        <f>IFERROR(VLOOKUP("Ins. - Other Than Bldgs. &amp; Improvements",'[9]PAGE 2'!$B:$S,4,FALSE),0)</f>
        <v>8495</v>
      </c>
      <c r="AA63" s="13">
        <f>IFERROR(VLOOKUP("Ins. - Other Than Bldgs. &amp; Improvements",'[9]PAGE 2'!$B:$S,7,FALSE),0)</f>
        <v>96660</v>
      </c>
      <c r="AB63" s="89">
        <f t="shared" si="35"/>
        <v>9.1547952483433531E-3</v>
      </c>
      <c r="AC63" s="89">
        <f t="shared" si="36"/>
        <v>9.8704294249489458E-3</v>
      </c>
      <c r="AD63" s="47">
        <f>'New Vehicle'!P75+'Used Vehicle'!P82+Service!P85+'Parts &amp; Accessories'!P88</f>
        <v>6581</v>
      </c>
      <c r="AE63" s="13">
        <f>'New Vehicle'!Q75+'Used Vehicle'!Q82+Service!Q85+'Parts &amp; Accessories'!Q88</f>
        <v>76090</v>
      </c>
      <c r="AF63" s="91">
        <f t="shared" si="37"/>
        <v>1.0372371444692769E-2</v>
      </c>
      <c r="AG63" s="92">
        <f t="shared" si="38"/>
        <v>1.0218765381363813E-2</v>
      </c>
      <c r="AH63" s="47">
        <f>'New Vehicle'!R75+'Used Vehicle'!R82+Service!R85+'Parts &amp; Accessories'!R88</f>
        <v>6030.7503357662763</v>
      </c>
      <c r="AI63" s="13">
        <f>'New Vehicle'!S75+'Used Vehicle'!S82+Service!S85+'Parts &amp; Accessories'!S88</f>
        <v>70055</v>
      </c>
      <c r="AJ63" s="47">
        <f>IFERROR('Used Vehicle'!T82+Service!T85+'Parts &amp; Accessories'!T88,0)</f>
        <v>1241.2880878845929</v>
      </c>
      <c r="AK63" s="13">
        <f>IFERROR('Used Vehicle'!U82+Service!U85+'Parts &amp; Accessories'!U88,0)</f>
        <v>16106</v>
      </c>
      <c r="AL63" s="47">
        <f>+INDEX('[10]PAGE 2'!$1:$1048576,MATCH("worker's compensation",'[10]PAGE 2'!$B:$B,0),8)+INDEX('[10]PAGE 2'!$1:$1048576,MATCH("insurance - other than bldgs. &amp; improvs.",'[10]PAGE 2'!$B:$B,0),8)</f>
        <v>7732</v>
      </c>
      <c r="AM63" s="13">
        <f>+INDEX('[10]PAGE 2'!$1:$1048576,MATCH("worker's compensation",'[10]PAGE 2'!$B:$B,0),12)+INDEX('[10]PAGE 2'!$1:$1048576,MATCH("insurance - other than bldgs. &amp; improvs.",'[10]PAGE 2'!$B:$B,0),12)</f>
        <v>41313</v>
      </c>
      <c r="AN63" s="47">
        <f>IFERROR(VLOOKUP("Ins. - Other Than Bldgs. &amp; Improvements",'[11]PAGE 2'!$B:$S,4,FALSE),0)</f>
        <v>4438</v>
      </c>
      <c r="AO63" s="13">
        <f>IFERROR(VLOOKUP("Ins. - Other Than Bldgs. &amp; Improvements",'[11]PAGE 2'!$B:$S,7,FALSE),0)</f>
        <v>17428</v>
      </c>
      <c r="AP63" s="47">
        <f>IFERROR(VLOOKUP("Ins. - Other Than Bldgs. &amp; Improvements",'[12]PAGE 2'!$B:$S,4,FALSE),0)</f>
        <v>5265</v>
      </c>
      <c r="AQ63" s="13">
        <f>IFERROR(VLOOKUP("Ins. - Other Than Bldgs. &amp; Improvements",'[12]PAGE 2'!$B:$S,7,FALSE),0)</f>
        <v>15794</v>
      </c>
      <c r="AR63" s="47">
        <f t="shared" si="0"/>
        <v>89663.038423650869</v>
      </c>
      <c r="AS63" s="13">
        <f t="shared" si="1"/>
        <v>855122</v>
      </c>
    </row>
    <row r="64" spans="1:45">
      <c r="A64" s="94" t="s">
        <v>49</v>
      </c>
      <c r="B64" s="47">
        <f>INDEX('[4]Page 2'!$B:$DP,MATCH("0650",'[4]Page 2'!$M:$M,0),13)</f>
        <v>0</v>
      </c>
      <c r="C64" s="13">
        <f>INDEX('[4]Page 2'!$B:$DP,MATCH("0650",'[4]Page 2'!$M:$M,0),24)</f>
        <v>468</v>
      </c>
      <c r="D64" s="89">
        <f t="shared" si="39"/>
        <v>0</v>
      </c>
      <c r="E64" s="89">
        <f t="shared" si="57"/>
        <v>4.2306002570903232E-5</v>
      </c>
      <c r="F64" s="47">
        <f>INDEX('[5]Page 2'!$B:$DP,MATCH("0650",'[5]Page 2'!$M:$M,0),13)</f>
        <v>5942</v>
      </c>
      <c r="G64" s="13">
        <f>INDEX('[5]Page 2'!$B:$DP,MATCH("0650",'[5]Page 2'!$M:$M,0),24)</f>
        <v>74888</v>
      </c>
      <c r="H64" s="89">
        <f t="shared" si="46"/>
        <v>6.2667954759263091E-3</v>
      </c>
      <c r="I64" s="89">
        <f t="shared" si="47"/>
        <v>6.7696835908756438E-3</v>
      </c>
      <c r="J64" s="47">
        <f>INDEX('[6]Page 2'!$B:$DP,MATCH("0650",'[6]Page 2'!$M:$M,0),13)</f>
        <v>5956</v>
      </c>
      <c r="K64" s="13">
        <f>INDEX('[6]Page 2'!$B:$DP,MATCH("0650",'[6]Page 2'!$M:$M,0),24)</f>
        <v>88942</v>
      </c>
      <c r="L64" s="89">
        <f t="shared" si="27"/>
        <v>6.29183287134068E-3</v>
      </c>
      <c r="M64" s="89">
        <f t="shared" si="28"/>
        <v>8.3595240084661064E-3</v>
      </c>
      <c r="N64" s="47">
        <f>IFERROR(VLOOKUP("Taxes - Other",'[7]PAGE 2'!$B:$W,4,FALSE),0)</f>
        <v>5871</v>
      </c>
      <c r="O64" s="13">
        <f>IFERROR(VLOOKUP("Taxes - Other",'[7]PAGE 2'!$B:$W,5,FALSE),0)</f>
        <v>67172</v>
      </c>
      <c r="P64" s="89">
        <f t="shared" si="29"/>
        <v>9.6850502810990578E-3</v>
      </c>
      <c r="Q64" s="89">
        <f t="shared" si="30"/>
        <v>9.6520466773276185E-3</v>
      </c>
      <c r="R64" s="47">
        <f>IFERROR(VLOOKUP("Taxes - Other",'[8]PAGE 2'!$B:$W,4,FALSE),0)</f>
        <v>8406</v>
      </c>
      <c r="S64" s="13">
        <f>IFERROR(VLOOKUP("Taxes - Other",'[8]PAGE 2'!$B:$W,5,FALSE),0)</f>
        <v>49047</v>
      </c>
      <c r="T64" s="90">
        <f t="shared" si="31"/>
        <v>1.8749079943436036E-2</v>
      </c>
      <c r="U64" s="90">
        <f t="shared" si="32"/>
        <v>9.6609745830901535E-3</v>
      </c>
      <c r="V64" s="47"/>
      <c r="W64" s="13"/>
      <c r="X64" s="90" t="e">
        <f t="shared" si="33"/>
        <v>#DIV/0!</v>
      </c>
      <c r="Y64" s="90" t="e">
        <f t="shared" si="34"/>
        <v>#DIV/0!</v>
      </c>
      <c r="Z64" s="47">
        <f>IFERROR(VLOOKUP("Taxes - Other Than R.E., Pay. &amp; Inc.",'[9]PAGE 2'!$B:$S,4,FALSE),0)</f>
        <v>17649</v>
      </c>
      <c r="AA64" s="13">
        <f>IFERROR(VLOOKUP("Taxes - Other Than R.E., Pay. &amp; Inc.",'[9]PAGE 2'!$B:$S,7,FALSE),0)</f>
        <v>149329</v>
      </c>
      <c r="AB64" s="89">
        <f t="shared" si="35"/>
        <v>1.901977414220269E-2</v>
      </c>
      <c r="AC64" s="89">
        <f t="shared" si="36"/>
        <v>1.5248720831762892E-2</v>
      </c>
      <c r="AD64" s="47">
        <f>'New Vehicle'!P76+'Used Vehicle'!P83+Service!P86+'Parts &amp; Accessories'!P89</f>
        <v>5946</v>
      </c>
      <c r="AE64" s="13">
        <f>'New Vehicle'!Q76+'Used Vehicle'!Q83+Service!Q86+'Parts &amp; Accessories'!Q89</f>
        <v>85177</v>
      </c>
      <c r="AF64" s="91">
        <f t="shared" si="37"/>
        <v>9.371542411509377E-3</v>
      </c>
      <c r="AG64" s="92">
        <f t="shared" si="38"/>
        <v>1.1439134957135307E-2</v>
      </c>
      <c r="AH64" s="47">
        <f>'New Vehicle'!R76+'Used Vehicle'!R83+Service!R86+'Parts &amp; Accessories'!R89</f>
        <v>4624.3432612840106</v>
      </c>
      <c r="AI64" s="13">
        <f>'New Vehicle'!S76+'Used Vehicle'!S83+Service!S86+'Parts &amp; Accessories'!S89</f>
        <v>104413</v>
      </c>
      <c r="AJ64" s="47">
        <f>IFERROR('Used Vehicle'!T83+Service!T86+'Parts &amp; Accessories'!T89,0)</f>
        <v>-6770.9241174400877</v>
      </c>
      <c r="AK64" s="13">
        <f>IFERROR('Used Vehicle'!U83+Service!U86+'Parts &amp; Accessories'!U89,0)</f>
        <v>10422</v>
      </c>
      <c r="AL64" s="47">
        <f>+INDEX('[10]PAGE 2'!$1:$1048576,MATCH("taxes - other than real estate, income &amp; payroll",'[10]PAGE 2'!$B:$B,0),8)</f>
        <v>0</v>
      </c>
      <c r="AM64" s="13">
        <f>+INDEX('[10]PAGE 2'!$1:$1048576,MATCH("taxes - other than real estate, income &amp; payroll",'[10]PAGE 2'!$B:$B,0),12)</f>
        <v>23877</v>
      </c>
      <c r="AN64" s="47">
        <f>IFERROR(VLOOKUP("Taxes - Other Than R.E., Pay. &amp; Inc.",'[11]PAGE 2'!$B:$S,4,FALSE),0)</f>
        <v>0</v>
      </c>
      <c r="AO64" s="13">
        <f>IFERROR(VLOOKUP("Taxes - Other Than R.E., Pay. &amp; Inc.",'[11]PAGE 2'!$B:$S,7,FALSE),0)</f>
        <v>1432</v>
      </c>
      <c r="AP64" s="47">
        <f>IFERROR(VLOOKUP("Taxes - Other Than R.E., Pay. &amp; Inc.",'[12]PAGE 2'!$B:$S,4,FALSE),0)</f>
        <v>-3538</v>
      </c>
      <c r="AQ64" s="13">
        <f>IFERROR(VLOOKUP("Taxes - Other Than R.E., Pay. &amp; Inc.",'[12]PAGE 2'!$B:$S,7,FALSE),0)</f>
        <v>586</v>
      </c>
      <c r="AR64" s="47">
        <f t="shared" si="0"/>
        <v>44085.419143843923</v>
      </c>
      <c r="AS64" s="13">
        <f t="shared" si="1"/>
        <v>655753</v>
      </c>
    </row>
    <row r="65" spans="1:45">
      <c r="A65" s="4" t="s">
        <v>58</v>
      </c>
      <c r="B65" s="24">
        <f t="shared" ref="B65:C65" si="58">SUM(B59:B64)</f>
        <v>33284</v>
      </c>
      <c r="C65" s="25">
        <f t="shared" si="58"/>
        <v>1042767</v>
      </c>
      <c r="D65" s="99">
        <f t="shared" si="39"/>
        <v>3.5103335681711756E-2</v>
      </c>
      <c r="E65" s="99">
        <f t="shared" si="57"/>
        <v>9.4263468766780031E-2</v>
      </c>
      <c r="F65" s="24">
        <f t="shared" ref="F65:G65" si="59">SUM(F59:F64)</f>
        <v>90870</v>
      </c>
      <c r="G65" s="25">
        <f t="shared" si="59"/>
        <v>1026518</v>
      </c>
      <c r="H65" s="99">
        <f t="shared" si="46"/>
        <v>9.5837042224406546E-2</v>
      </c>
      <c r="I65" s="99">
        <f t="shared" si="47"/>
        <v>9.2794600741620603E-2</v>
      </c>
      <c r="J65" s="24">
        <f t="shared" ref="J65:K65" si="60">SUM(J59:J64)</f>
        <v>124804</v>
      </c>
      <c r="K65" s="25">
        <f t="shared" si="60"/>
        <v>1447970</v>
      </c>
      <c r="L65" s="99">
        <f t="shared" si="27"/>
        <v>0.13184115340409708</v>
      </c>
      <c r="M65" s="99">
        <f t="shared" si="28"/>
        <v>0.13609250948414325</v>
      </c>
      <c r="N65" s="24">
        <f>SUM(N59:N64)</f>
        <v>88437</v>
      </c>
      <c r="O65" s="25">
        <f>SUM(O59:O64)</f>
        <v>1020464</v>
      </c>
      <c r="P65" s="99">
        <f t="shared" si="29"/>
        <v>0.14588942117348958</v>
      </c>
      <c r="Q65" s="99">
        <f t="shared" si="30"/>
        <v>0.14663202168362491</v>
      </c>
      <c r="R65" s="24">
        <f>SUM(R59:R64)</f>
        <v>84223</v>
      </c>
      <c r="S65" s="25">
        <f>SUM(S59:S64)</f>
        <v>945655</v>
      </c>
      <c r="T65" s="100">
        <f t="shared" si="31"/>
        <v>0.18785436117963519</v>
      </c>
      <c r="U65" s="100">
        <f t="shared" si="32"/>
        <v>0.18626927068673146</v>
      </c>
      <c r="V65" s="24"/>
      <c r="W65" s="25"/>
      <c r="X65" s="100" t="e">
        <f t="shared" si="33"/>
        <v>#DIV/0!</v>
      </c>
      <c r="Y65" s="100" t="e">
        <f t="shared" si="34"/>
        <v>#DIV/0!</v>
      </c>
      <c r="Z65" s="24">
        <f>SUM(Z59:Z64)</f>
        <v>122441</v>
      </c>
      <c r="AA65" s="25">
        <f>SUM(AA59:AA64)</f>
        <v>1399432</v>
      </c>
      <c r="AB65" s="99">
        <f t="shared" si="35"/>
        <v>0.13195082813448011</v>
      </c>
      <c r="AC65" s="99">
        <f t="shared" si="36"/>
        <v>0.14290290493497984</v>
      </c>
      <c r="AD65" s="24">
        <f>SUM(AD59:AD64)</f>
        <v>83799</v>
      </c>
      <c r="AE65" s="25">
        <f>SUM(AE59:AE64)</f>
        <v>1027308</v>
      </c>
      <c r="AF65" s="101">
        <f t="shared" si="37"/>
        <v>0.13207633409722069</v>
      </c>
      <c r="AG65" s="102">
        <f t="shared" si="38"/>
        <v>0.13796582239976471</v>
      </c>
      <c r="AH65" s="24">
        <f>SUM(AH59:AH64)+'Body Shop'!R12</f>
        <v>71759.117047872467</v>
      </c>
      <c r="AI65" s="25">
        <f>SUM(AI59:AI64)+'Body Shop'!S12</f>
        <v>981316</v>
      </c>
      <c r="AJ65" s="24">
        <f>SUM(AJ59:AJ64)+'Body Shop'!T12</f>
        <v>15598.047734469681</v>
      </c>
      <c r="AK65" s="25">
        <f>SUM(AK59:AK64)+'Body Shop'!U12</f>
        <v>379962</v>
      </c>
      <c r="AL65" s="24">
        <f>SUM(AL59:AL64)+'Body Shop'!V12</f>
        <v>54049</v>
      </c>
      <c r="AM65" s="25">
        <f>SUM(AM59:AM64)+'Body Shop'!W12</f>
        <v>332240</v>
      </c>
      <c r="AN65" s="24">
        <f>SUM(AN59:AN64)</f>
        <v>17305</v>
      </c>
      <c r="AO65" s="25">
        <f>SUM(AO59:AO64)</f>
        <v>117749</v>
      </c>
      <c r="AP65" s="24">
        <f>SUM(AP59:AP64)</f>
        <v>64291</v>
      </c>
      <c r="AQ65" s="25">
        <f>SUM(AQ59:AQ64)</f>
        <v>199654</v>
      </c>
      <c r="AR65" s="24">
        <f t="shared" si="0"/>
        <v>850860.16478234215</v>
      </c>
      <c r="AS65" s="25">
        <f t="shared" si="1"/>
        <v>9921035</v>
      </c>
    </row>
    <row r="66" spans="1:45">
      <c r="A66" s="11" t="s">
        <v>59</v>
      </c>
      <c r="B66" s="16">
        <f t="shared" ref="B66:C66" si="61">SUM(B65+B50+B33)</f>
        <v>466628</v>
      </c>
      <c r="C66" s="17">
        <f t="shared" si="61"/>
        <v>5983808</v>
      </c>
      <c r="D66" s="104">
        <f t="shared" si="39"/>
        <v>0.49213433849554722</v>
      </c>
      <c r="E66" s="99">
        <f t="shared" si="57"/>
        <v>0.54092093297391308</v>
      </c>
      <c r="F66" s="16">
        <f t="shared" ref="F66:G66" si="62">SUM(F65+F50+F33)</f>
        <v>548668</v>
      </c>
      <c r="G66" s="17">
        <f t="shared" si="62"/>
        <v>5824114</v>
      </c>
      <c r="H66" s="104">
        <f t="shared" si="46"/>
        <v>0.57865872436646515</v>
      </c>
      <c r="I66" s="99">
        <f t="shared" si="47"/>
        <v>0.52648500396844766</v>
      </c>
      <c r="J66" s="16">
        <f t="shared" ref="J66:K66" si="63">SUM(J65+J50+J33)</f>
        <v>686100</v>
      </c>
      <c r="K66" s="17">
        <f t="shared" si="63"/>
        <v>7102278</v>
      </c>
      <c r="L66" s="104">
        <f t="shared" si="27"/>
        <v>0.72478618754648094</v>
      </c>
      <c r="M66" s="99">
        <f t="shared" si="28"/>
        <v>0.6675323632906911</v>
      </c>
      <c r="N66" s="16">
        <f>SUM(N65+N50+N33)</f>
        <v>386053</v>
      </c>
      <c r="O66" s="17">
        <f>SUM(O65+O50+O33)</f>
        <v>4586954</v>
      </c>
      <c r="P66" s="104">
        <f t="shared" si="29"/>
        <v>0.63684938105418742</v>
      </c>
      <c r="Q66" s="99">
        <f t="shared" si="30"/>
        <v>0.65910638532058941</v>
      </c>
      <c r="R66" s="16">
        <f>SUM(R65+R50+R33)</f>
        <v>326582</v>
      </c>
      <c r="S66" s="17">
        <f>SUM(S65+S50+S33)</f>
        <v>3591233</v>
      </c>
      <c r="T66" s="105">
        <f t="shared" si="31"/>
        <v>0.72842160671987011</v>
      </c>
      <c r="U66" s="106">
        <f t="shared" si="32"/>
        <v>0.70737885568851511</v>
      </c>
      <c r="V66" s="16"/>
      <c r="W66" s="17"/>
      <c r="X66" s="105" t="e">
        <f t="shared" si="33"/>
        <v>#DIV/0!</v>
      </c>
      <c r="Y66" s="106" t="e">
        <f t="shared" si="34"/>
        <v>#DIV/0!</v>
      </c>
      <c r="Z66" s="16">
        <f>SUM(Z65+Z50+Z33)</f>
        <v>512333</v>
      </c>
      <c r="AA66" s="17">
        <f>SUM(AA65+AA50+AA33)</f>
        <v>5731318</v>
      </c>
      <c r="AB66" s="104">
        <f t="shared" si="35"/>
        <v>0.55212521647669166</v>
      </c>
      <c r="AC66" s="99">
        <f t="shared" si="36"/>
        <v>0.58525315364100494</v>
      </c>
      <c r="AD66" s="16">
        <f>SUM(AD65+AD50+AD33)</f>
        <v>360615</v>
      </c>
      <c r="AE66" s="17">
        <f>SUM(AE65+AE50+AE33)</f>
        <v>4500936</v>
      </c>
      <c r="AF66" s="107">
        <f t="shared" si="37"/>
        <v>0.56836844378177831</v>
      </c>
      <c r="AG66" s="108">
        <f t="shared" si="38"/>
        <v>0.60446851071801966</v>
      </c>
      <c r="AH66" s="16">
        <f t="shared" ref="AH66:AM66" si="64">SUM(AH65+AH50+AH33)</f>
        <v>373780</v>
      </c>
      <c r="AI66" s="17">
        <f t="shared" si="64"/>
        <v>4380776</v>
      </c>
      <c r="AJ66" s="16">
        <f t="shared" si="64"/>
        <v>85239</v>
      </c>
      <c r="AK66" s="17">
        <f t="shared" si="64"/>
        <v>1450865</v>
      </c>
      <c r="AL66" s="16">
        <f t="shared" si="64"/>
        <v>231525</v>
      </c>
      <c r="AM66" s="17">
        <f t="shared" si="64"/>
        <v>1322719</v>
      </c>
      <c r="AN66" s="16">
        <f>SUM(AN65+AN50+AN33)</f>
        <v>152024</v>
      </c>
      <c r="AO66" s="17">
        <f>SUM(AO65+AO50+AO33)</f>
        <v>951284</v>
      </c>
      <c r="AP66" s="16">
        <f>SUM(AP65+AP50+AP33)</f>
        <v>303454</v>
      </c>
      <c r="AQ66" s="17">
        <f>SUM(AQ65+AQ50+AQ33)</f>
        <v>1013154</v>
      </c>
      <c r="AR66" s="16">
        <f t="shared" si="0"/>
        <v>4433001</v>
      </c>
      <c r="AS66" s="17">
        <f t="shared" si="1"/>
        <v>46439439</v>
      </c>
    </row>
    <row r="67" spans="1:45">
      <c r="A67" s="4"/>
      <c r="B67" s="24"/>
      <c r="C67" s="25"/>
      <c r="D67" s="82"/>
      <c r="E67" s="82"/>
      <c r="F67" s="24"/>
      <c r="G67" s="25"/>
      <c r="H67" s="82"/>
      <c r="I67" s="82"/>
      <c r="J67" s="24"/>
      <c r="K67" s="25"/>
      <c r="L67" s="82"/>
      <c r="M67" s="82"/>
      <c r="N67" s="24"/>
      <c r="O67" s="25"/>
      <c r="P67" s="82"/>
      <c r="Q67" s="82"/>
      <c r="R67" s="24"/>
      <c r="S67" s="25"/>
      <c r="T67" s="109"/>
      <c r="U67" s="109"/>
      <c r="V67" s="24"/>
      <c r="W67" s="25"/>
      <c r="X67" s="109"/>
      <c r="Y67" s="109"/>
      <c r="Z67" s="24"/>
      <c r="AA67" s="25"/>
      <c r="AB67" s="82"/>
      <c r="AC67" s="82"/>
      <c r="AD67" s="24"/>
      <c r="AE67" s="25"/>
      <c r="AF67" s="24"/>
      <c r="AG67" s="25"/>
      <c r="AH67" s="24"/>
      <c r="AI67" s="25"/>
      <c r="AJ67" s="24"/>
      <c r="AK67" s="25"/>
      <c r="AL67" s="24"/>
      <c r="AM67" s="25"/>
      <c r="AN67" s="24"/>
      <c r="AO67" s="25"/>
      <c r="AP67" s="24"/>
      <c r="AQ67" s="25"/>
      <c r="AR67" s="24">
        <f t="shared" si="0"/>
        <v>0</v>
      </c>
      <c r="AS67" s="25">
        <f t="shared" si="1"/>
        <v>0</v>
      </c>
    </row>
    <row r="68" spans="1:45">
      <c r="A68" s="12" t="s">
        <v>60</v>
      </c>
      <c r="B68" s="20">
        <f t="shared" ref="B68:C68" si="65">B66+B23</f>
        <v>753591</v>
      </c>
      <c r="C68" s="21">
        <f t="shared" si="65"/>
        <v>9232154</v>
      </c>
      <c r="D68" s="99">
        <f>B68/$B$9</f>
        <v>0.79478301405230278</v>
      </c>
      <c r="E68" s="99">
        <f>C68/$C$9</f>
        <v>0.83456310012601398</v>
      </c>
      <c r="F68" s="20">
        <f t="shared" ref="F68:G68" si="66">F66+F23</f>
        <v>772259</v>
      </c>
      <c r="G68" s="21">
        <f t="shared" si="66"/>
        <v>8349710</v>
      </c>
      <c r="H68" s="99">
        <f>F68/$B$9</f>
        <v>0.81447142501571446</v>
      </c>
      <c r="I68" s="99">
        <f>G68/$C$9</f>
        <v>0.75479242035533423</v>
      </c>
      <c r="J68" s="20">
        <f t="shared" ref="J68:K68" si="67">J66+J23</f>
        <v>965850</v>
      </c>
      <c r="K68" s="21">
        <f t="shared" si="67"/>
        <v>10285499</v>
      </c>
      <c r="L68" s="99">
        <f>J68/$J$9</f>
        <v>1.0203100703130281</v>
      </c>
      <c r="M68" s="99">
        <f>K68/$K$9</f>
        <v>0.96671848878543476</v>
      </c>
      <c r="N68" s="20">
        <f>N66+N23</f>
        <v>539408</v>
      </c>
      <c r="O68" s="21">
        <f>O66+O23</f>
        <v>6123489</v>
      </c>
      <c r="P68" s="99">
        <f>N68/$N$9</f>
        <v>0.88983028479425663</v>
      </c>
      <c r="Q68" s="99">
        <f>O68/$O$9</f>
        <v>0.87989343262225672</v>
      </c>
      <c r="R68" s="20">
        <f>R66+R23</f>
        <v>432676</v>
      </c>
      <c r="S68" s="21">
        <f>S66+S23</f>
        <v>4697171</v>
      </c>
      <c r="T68" s="110">
        <f>R68/$R$9</f>
        <v>0.96505792453082695</v>
      </c>
      <c r="U68" s="110">
        <f>S68/$S$9</f>
        <v>0.92521967996876786</v>
      </c>
      <c r="V68" s="20"/>
      <c r="W68" s="21"/>
      <c r="X68" s="110" t="e">
        <f>V68/$V$9</f>
        <v>#DIV/0!</v>
      </c>
      <c r="Y68" s="110" t="e">
        <f>W68/$W$9</f>
        <v>#DIV/0!</v>
      </c>
      <c r="Z68" s="20">
        <f>Z66+Z23</f>
        <v>761772</v>
      </c>
      <c r="AA68" s="21">
        <f>AA66+AA23</f>
        <v>8256193</v>
      </c>
      <c r="AB68" s="99">
        <f>Z68/$Z$9</f>
        <v>0.8209378088194248</v>
      </c>
      <c r="AC68" s="99">
        <f>AA68/$AA$9</f>
        <v>0.84308059512991418</v>
      </c>
      <c r="AD68" s="20">
        <f>AD66+AD23</f>
        <v>524661</v>
      </c>
      <c r="AE68" s="21">
        <f>AE66+AE23</f>
        <v>6197504</v>
      </c>
      <c r="AF68" s="110">
        <f>AD68/$AD$9</f>
        <v>0.82692277382524737</v>
      </c>
      <c r="AG68" s="110">
        <f>AE68/$AE$9</f>
        <v>0.83231488140443899</v>
      </c>
      <c r="AH68" s="20">
        <f t="shared" ref="AH68:AM68" si="68">AH66+AH23</f>
        <v>531915</v>
      </c>
      <c r="AI68" s="21">
        <f t="shared" si="68"/>
        <v>6165957</v>
      </c>
      <c r="AJ68" s="20">
        <f t="shared" si="68"/>
        <v>153347</v>
      </c>
      <c r="AK68" s="21">
        <f t="shared" si="68"/>
        <v>2439965</v>
      </c>
      <c r="AL68" s="20">
        <f t="shared" si="68"/>
        <v>338369</v>
      </c>
      <c r="AM68" s="21">
        <f t="shared" si="68"/>
        <v>1943974</v>
      </c>
      <c r="AN68" s="20">
        <f>AN66+AN23</f>
        <v>208561</v>
      </c>
      <c r="AO68" s="21">
        <f>AO66+AO23</f>
        <v>1434850</v>
      </c>
      <c r="AP68" s="20">
        <f>AP66+AP23</f>
        <v>325404</v>
      </c>
      <c r="AQ68" s="21">
        <f>AQ66+AQ23</f>
        <v>1416379</v>
      </c>
      <c r="AR68" s="20">
        <f t="shared" si="0"/>
        <v>6307813</v>
      </c>
      <c r="AS68" s="21">
        <f t="shared" si="1"/>
        <v>66542845</v>
      </c>
    </row>
    <row r="69" spans="1:45">
      <c r="A69" s="4"/>
      <c r="B69" s="22"/>
      <c r="C69" s="23"/>
      <c r="D69" s="98"/>
      <c r="E69" s="98"/>
      <c r="F69" s="22"/>
      <c r="G69" s="23"/>
      <c r="H69" s="98"/>
      <c r="I69" s="98"/>
      <c r="J69" s="22"/>
      <c r="K69" s="23"/>
      <c r="L69" s="98"/>
      <c r="M69" s="98"/>
      <c r="N69" s="22"/>
      <c r="O69" s="23"/>
      <c r="P69" s="98"/>
      <c r="Q69" s="98"/>
      <c r="R69" s="22"/>
      <c r="S69" s="23"/>
      <c r="T69" s="4"/>
      <c r="U69" s="4"/>
      <c r="V69" s="22"/>
      <c r="W69" s="23"/>
      <c r="X69" s="4"/>
      <c r="Y69" s="4"/>
      <c r="Z69" s="22"/>
      <c r="AA69" s="23"/>
      <c r="AB69" s="98"/>
      <c r="AC69" s="98"/>
      <c r="AD69" s="22"/>
      <c r="AE69" s="23"/>
      <c r="AF69" s="22"/>
      <c r="AG69" s="23"/>
      <c r="AH69" s="22"/>
      <c r="AI69" s="23"/>
      <c r="AJ69" s="22"/>
      <c r="AK69" s="23"/>
      <c r="AL69" s="22"/>
      <c r="AM69" s="23"/>
      <c r="AN69" s="22"/>
      <c r="AO69" s="23"/>
      <c r="AP69" s="22"/>
      <c r="AQ69" s="23"/>
      <c r="AR69" s="22">
        <f t="shared" si="0"/>
        <v>0</v>
      </c>
      <c r="AS69" s="23">
        <f t="shared" si="1"/>
        <v>0</v>
      </c>
    </row>
    <row r="70" spans="1:45">
      <c r="A70" s="4" t="s">
        <v>62</v>
      </c>
      <c r="B70" s="24">
        <f>B9-B68</f>
        <v>194581</v>
      </c>
      <c r="C70" s="25">
        <f>C9-C68</f>
        <v>1830106</v>
      </c>
      <c r="D70" s="82"/>
      <c r="E70" s="82"/>
      <c r="F70" s="24">
        <f>F9-F68</f>
        <v>-88605</v>
      </c>
      <c r="G70" s="25">
        <f>G9-G68</f>
        <v>-74873</v>
      </c>
      <c r="H70" s="82"/>
      <c r="I70" s="82"/>
      <c r="J70" s="24">
        <f>J9-J68</f>
        <v>-19226</v>
      </c>
      <c r="K70" s="25">
        <f>K9-K68</f>
        <v>354102</v>
      </c>
      <c r="L70" s="82"/>
      <c r="M70" s="82"/>
      <c r="N70" s="24">
        <f>N9-N68</f>
        <v>66784</v>
      </c>
      <c r="O70" s="25">
        <f>O9-O68</f>
        <v>835864</v>
      </c>
      <c r="P70" s="82"/>
      <c r="Q70" s="82"/>
      <c r="R70" s="24">
        <f>R9-R68</f>
        <v>15666</v>
      </c>
      <c r="S70" s="25">
        <f>S9-S68</f>
        <v>379646</v>
      </c>
      <c r="T70" s="109"/>
      <c r="U70" s="109"/>
      <c r="V70" s="24"/>
      <c r="W70" s="25"/>
      <c r="X70" s="109"/>
      <c r="Y70" s="109"/>
      <c r="Z70" s="24">
        <f>Z9-Z68</f>
        <v>166157</v>
      </c>
      <c r="AA70" s="25">
        <f>AA9-AA68</f>
        <v>1536694</v>
      </c>
      <c r="AB70" s="82"/>
      <c r="AC70" s="82"/>
      <c r="AD70" s="24">
        <f>AD9-AD68</f>
        <v>109813</v>
      </c>
      <c r="AE70" s="25">
        <f>AE9-AE68</f>
        <v>1248601</v>
      </c>
      <c r="AF70" s="24"/>
      <c r="AG70" s="25"/>
      <c r="AH70" s="24">
        <f t="shared" ref="AH70:AM70" si="69">AH9-AH68</f>
        <v>64032</v>
      </c>
      <c r="AI70" s="25">
        <f t="shared" si="69"/>
        <v>571469</v>
      </c>
      <c r="AJ70" s="24">
        <f t="shared" si="69"/>
        <v>-34285</v>
      </c>
      <c r="AK70" s="25">
        <f t="shared" si="69"/>
        <v>-610331</v>
      </c>
      <c r="AL70" s="24">
        <f t="shared" si="69"/>
        <v>-129110</v>
      </c>
      <c r="AM70" s="25">
        <f t="shared" si="69"/>
        <v>-404692</v>
      </c>
      <c r="AN70" s="24">
        <f>AN9-AN68</f>
        <v>-32195</v>
      </c>
      <c r="AO70" s="25">
        <f>AO9-AO68</f>
        <v>-314550</v>
      </c>
      <c r="AP70" s="24">
        <f>AP9-AP68</f>
        <v>14176</v>
      </c>
      <c r="AQ70" s="25">
        <f>AQ9-AQ68</f>
        <v>70820</v>
      </c>
      <c r="AR70" s="24">
        <f t="shared" si="0"/>
        <v>327788</v>
      </c>
      <c r="AS70" s="25">
        <f t="shared" si="1"/>
        <v>5422856</v>
      </c>
    </row>
    <row r="71" spans="1:45">
      <c r="A71" s="111" t="s">
        <v>61</v>
      </c>
      <c r="B71" s="47">
        <f>INDEX('[4]Page 2'!$B:$DP,MATCH("TT31",'[4]Page 2'!$M:$M,0),13)+INDEX('[4]Page 2'!$B:$DP,MATCH("8030",'[4]Page 2'!$M:$M,0),13)-B73</f>
        <v>222353</v>
      </c>
      <c r="C71" s="13">
        <f>INDEX('[4]Page 2'!$B:$DP,MATCH("TT31",'[4]Page 2'!$M:$M,0),24)+INDEX('[4]Page 2'!$B:$DP,MATCH("8030",'[4]Page 2'!$M:$M,0),24)-C73</f>
        <v>2258087</v>
      </c>
      <c r="D71" s="72"/>
      <c r="E71" s="72"/>
      <c r="F71" s="47">
        <f>INDEX('[5]Page 2'!$B:$DP,MATCH("TT31",'[5]Page 2'!$M:$M,0),13)+INDEX('[5]Page 2'!$B:$DP,MATCH("8030",'[5]Page 2'!$M:$M,0),13)-F73</f>
        <v>120086</v>
      </c>
      <c r="G71" s="13">
        <f>INDEX('[5]Page 2'!$B:$DP,MATCH("TT31",'[5]Page 2'!$M:$M,0),24)+INDEX('[5]Page 2'!$B:$DP,MATCH("8030",'[5]Page 2'!$M:$M,0),24)-G73</f>
        <v>1056060</v>
      </c>
      <c r="H71" s="72"/>
      <c r="I71" s="72"/>
      <c r="J71" s="47">
        <f>INDEX('[6]Page 2'!$B:$DP,MATCH("TT31",'[6]Page 2'!$M:$M,0),13)+INDEX('[6]Page 2'!$B:$DP,MATCH("8030",'[6]Page 2'!$M:$M,0),13)-J73</f>
        <v>163373</v>
      </c>
      <c r="K71" s="13">
        <f>INDEX('[6]Page 2'!$B:$DP,MATCH("TT31",'[6]Page 2'!$M:$M,0),24)+INDEX('[6]Page 2'!$B:$DP,MATCH("8030",'[6]Page 2'!$M:$M,0),24)-K73</f>
        <v>1459333</v>
      </c>
      <c r="L71" s="72"/>
      <c r="M71" s="72"/>
      <c r="N71" s="47">
        <f>IFERROR(VLOOKUP("NET ADDITIONS &amp; DEDUCTIONS",'[7]PAGE 2'!$B:$W,4,FALSE),0)-N73</f>
        <v>50326</v>
      </c>
      <c r="O71" s="13">
        <f>IFERROR(VLOOKUP("NET ADDITIONS &amp; DEDUCTIONS",'[7]PAGE 2'!$B:$W,5,FALSE),0)-O73</f>
        <v>573341</v>
      </c>
      <c r="P71" s="72"/>
      <c r="Q71" s="72"/>
      <c r="R71" s="47">
        <f>IFERROR(VLOOKUP("NET ADDITIONS &amp; DEDUCTIONS",'[8]PAGE 2'!$B:$W,4,FALSE),0)-R73</f>
        <v>45358</v>
      </c>
      <c r="S71" s="13">
        <f>IFERROR(VLOOKUP("NET ADDITIONS &amp; DEDUCTIONS",'[8]PAGE 2'!$B:$W,5,FALSE),0)-S73</f>
        <v>495353</v>
      </c>
      <c r="T71" s="1"/>
      <c r="U71" s="1"/>
      <c r="V71" s="47"/>
      <c r="W71" s="13"/>
      <c r="X71" s="1"/>
      <c r="Y71" s="1"/>
      <c r="Z71" s="47">
        <f>IFERROR(VLOOKUP("NET ADDITIONS OR DEDUCTIONS",'[9]PAGE 2'!$B:$S,4,FALSE),0)-Z73-Z8</f>
        <v>89414</v>
      </c>
      <c r="AA71" s="13">
        <f>IFERROR(VLOOKUP("NET ADDITIONS OR DEDUCTIONS",'[9]PAGE 2'!$B:$S,7,FALSE),0)-AA73-AA8</f>
        <v>833363</v>
      </c>
      <c r="AB71" s="72"/>
      <c r="AC71" s="72"/>
      <c r="AD71" s="47">
        <f>'[2]PAGE 2'!$L$24+AD73</f>
        <v>42298</v>
      </c>
      <c r="AE71" s="13">
        <f>'[2]PAGE 2'!$X$24+AE73</f>
        <v>504193</v>
      </c>
      <c r="AF71" s="47"/>
      <c r="AG71" s="13"/>
      <c r="AH71" s="47">
        <f>[3]P2!$J$47-AH73</f>
        <v>202925</v>
      </c>
      <c r="AI71" s="13">
        <f>[3]P2!$R$47-AI73</f>
        <v>1742791</v>
      </c>
      <c r="AJ71" s="47">
        <f>[13]P2!$J$47-AJ73</f>
        <v>54889</v>
      </c>
      <c r="AK71" s="13">
        <f>[13]P2!$R$47-AK73</f>
        <v>903308</v>
      </c>
      <c r="AL71" s="47">
        <f>SUM('[10]PAGE 2'!$H$68:$I$68,'[10]PAGE 2'!$H$70:$I$71)</f>
        <v>83508</v>
      </c>
      <c r="AM71" s="13">
        <f>SUM('[10]PAGE 2'!$L$68:$M$68,'[10]PAGE 2'!$L$70:$M$71)</f>
        <v>454639</v>
      </c>
      <c r="AN71" s="47">
        <f>IFERROR(VLOOKUP("NET ADDITIONS OR DEDUCTIONS",'[11]PAGE 2'!$B:$S,4,FALSE),0)-AN73-AN8</f>
        <v>5287</v>
      </c>
      <c r="AO71" s="13">
        <f>IFERROR(VLOOKUP("NET ADDITIONS OR DEDUCTIONS",'[11]PAGE 2'!$B:$S,7,FALSE),0)-AO73-AO8</f>
        <v>20313</v>
      </c>
      <c r="AP71" s="47">
        <f>IFERROR(VLOOKUP("NET ADDITIONS OR DEDUCTIONS",'[12]PAGE 2'!$B:$S,4,FALSE),0)-AP73-AP8</f>
        <v>130156</v>
      </c>
      <c r="AQ71" s="13">
        <f>IFERROR(VLOOKUP("NET ADDITIONS OR DEDUCTIONS",'[12]PAGE 2'!$B:$S,7,FALSE),0)-AQ73-AQ8</f>
        <v>526095</v>
      </c>
      <c r="AR71" s="47">
        <f t="shared" ref="AR71:AR76" si="70">IFERROR(SUMIF($A$5:$AQ$5,"Month",$A71:$AQ71),"")</f>
        <v>1209973</v>
      </c>
      <c r="AS71" s="13">
        <f t="shared" ref="AS71:AS76" si="71">IFERROR(SUMIF($A$5:$AQ$5,"YTD",$A71:$AQ71),"")</f>
        <v>10826876</v>
      </c>
    </row>
    <row r="72" spans="1:45" hidden="1">
      <c r="A72" s="4" t="s">
        <v>69</v>
      </c>
      <c r="B72" s="24">
        <f t="shared" ref="B72:C72" si="72">SUM(B70:B71)</f>
        <v>416934</v>
      </c>
      <c r="C72" s="25">
        <f t="shared" si="72"/>
        <v>4088193</v>
      </c>
      <c r="D72" s="82"/>
      <c r="E72" s="82"/>
      <c r="F72" s="24">
        <f t="shared" ref="F72:G72" si="73">SUM(F70:F71)</f>
        <v>31481</v>
      </c>
      <c r="G72" s="25">
        <f t="shared" si="73"/>
        <v>981187</v>
      </c>
      <c r="H72" s="82"/>
      <c r="I72" s="82"/>
      <c r="J72" s="24">
        <f t="shared" ref="J72:K72" si="74">SUM(J70:J71)</f>
        <v>144147</v>
      </c>
      <c r="K72" s="25">
        <f t="shared" si="74"/>
        <v>1813435</v>
      </c>
      <c r="L72" s="82"/>
      <c r="M72" s="82"/>
      <c r="N72" s="24">
        <f>SUM(N70:N71)</f>
        <v>117110</v>
      </c>
      <c r="O72" s="25">
        <f>SUM(O70:O71)</f>
        <v>1409205</v>
      </c>
      <c r="P72" s="82"/>
      <c r="Q72" s="82"/>
      <c r="R72" s="24">
        <f>SUM(R70:R71)</f>
        <v>61024</v>
      </c>
      <c r="S72" s="25">
        <f>SUM(S70:S71)</f>
        <v>874999</v>
      </c>
      <c r="T72" s="109"/>
      <c r="U72" s="109"/>
      <c r="V72" s="24"/>
      <c r="W72" s="25"/>
      <c r="X72" s="109"/>
      <c r="Y72" s="109"/>
      <c r="Z72" s="24">
        <f>SUM(Z70:Z71)</f>
        <v>255571</v>
      </c>
      <c r="AA72" s="25">
        <f>SUM(AA70:AA71)</f>
        <v>2370057</v>
      </c>
      <c r="AB72" s="82"/>
      <c r="AC72" s="82"/>
      <c r="AD72" s="24">
        <f>SUM(AD70:AD71)</f>
        <v>152111</v>
      </c>
      <c r="AE72" s="25">
        <f>SUM(AE70:AE71)</f>
        <v>1752794</v>
      </c>
      <c r="AF72" s="24"/>
      <c r="AG72" s="25"/>
      <c r="AH72" s="24">
        <f t="shared" ref="AH72:AM72" si="75">SUM(AH70:AH71)</f>
        <v>266957</v>
      </c>
      <c r="AI72" s="25">
        <f t="shared" si="75"/>
        <v>2314260</v>
      </c>
      <c r="AJ72" s="24">
        <f t="shared" si="75"/>
        <v>20604</v>
      </c>
      <c r="AK72" s="25">
        <f t="shared" si="75"/>
        <v>292977</v>
      </c>
      <c r="AL72" s="24">
        <f t="shared" si="75"/>
        <v>-45602</v>
      </c>
      <c r="AM72" s="25">
        <f t="shared" si="75"/>
        <v>49947</v>
      </c>
      <c r="AN72" s="24">
        <f>SUM(AN70:AN71)</f>
        <v>-26908</v>
      </c>
      <c r="AO72" s="25">
        <f>SUM(AO70:AO71)</f>
        <v>-294237</v>
      </c>
      <c r="AP72" s="24">
        <f>SUM(AP70:AP71)</f>
        <v>144332</v>
      </c>
      <c r="AQ72" s="25">
        <f>SUM(AQ70:AQ71)</f>
        <v>596915</v>
      </c>
      <c r="AR72" s="24">
        <f t="shared" si="70"/>
        <v>1537761</v>
      </c>
      <c r="AS72" s="25">
        <f t="shared" si="71"/>
        <v>16249732</v>
      </c>
    </row>
    <row r="73" spans="1:45" hidden="1">
      <c r="A73" s="112" t="s">
        <v>50</v>
      </c>
      <c r="B73" s="47">
        <f>INDEX('[4]Page 2'!$B:$DP,MATCH("0970/0980",'[4]Page 2'!$M:$M,0),13)</f>
        <v>67605</v>
      </c>
      <c r="C73" s="47">
        <f>INDEX('[4]Page 2'!$B:$DP,MATCH("0970/0980",'[4]Page 2'!$M:$M,0),24)</f>
        <v>686481</v>
      </c>
      <c r="D73" s="72"/>
      <c r="E73" s="72"/>
      <c r="F73" s="47">
        <f>INDEX('[5]Page 2'!$B:$DP,MATCH("0970/0980",'[5]Page 2'!$M:$M,0),13)</f>
        <v>16490</v>
      </c>
      <c r="G73" s="47">
        <f>INDEX('[5]Page 2'!$B:$DP,MATCH("0970/0980",'[5]Page 2'!$M:$M,0),24)</f>
        <v>268195</v>
      </c>
      <c r="H73" s="72"/>
      <c r="I73" s="72"/>
      <c r="J73" s="47">
        <f>INDEX('[6]Page 2'!$B:$DP,MATCH("0970/0980",'[6]Page 2'!$M:$M,0),13)</f>
        <v>37438</v>
      </c>
      <c r="K73" s="47">
        <f>INDEX('[6]Page 2'!$B:$DP,MATCH("0970/0980",'[6]Page 2'!$M:$M,0),24)</f>
        <v>461565</v>
      </c>
      <c r="L73" s="72"/>
      <c r="M73" s="72"/>
      <c r="N73" s="47">
        <f>IFERROR(VLOOKUP("Bonuses - Employees",'[7]PAGE 2'!$B:$W,4,FALSE)+VLOOKUP("Bonuses - Owners",'[7]PAGE 2'!$B:$W,4,FALSE),0)</f>
        <v>25970</v>
      </c>
      <c r="O73" s="13">
        <f>IFERROR(VLOOKUP("Bonuses - Employees",'[7]PAGE 2'!$B:$W,5,FALSE)+VLOOKUP("Bonuses - Owners",'[7]PAGE 2'!$B:$W,5,FALSE),0)</f>
        <v>312165</v>
      </c>
      <c r="P73" s="72"/>
      <c r="Q73" s="72"/>
      <c r="R73" s="47">
        <f>IFERROR(VLOOKUP("Bonuses - Employees",'[8]PAGE 2'!$B:$W,4,FALSE)+VLOOKUP("Bonuses - Owners",'[8]PAGE 2'!$B:$W,4,FALSE),0)</f>
        <v>18321</v>
      </c>
      <c r="S73" s="13">
        <f>IFERROR(VLOOKUP("Bonuses - Employees",'[8]PAGE 2'!$B:$W,5,FALSE)+VLOOKUP("Bonuses - Owners",'[8]PAGE 2'!$B:$W,5,FALSE),0)</f>
        <v>234779</v>
      </c>
      <c r="T73" s="1"/>
      <c r="U73" s="1"/>
      <c r="V73" s="47"/>
      <c r="W73" s="13"/>
      <c r="X73" s="1"/>
      <c r="Y73" s="1"/>
      <c r="Z73" s="47">
        <f>IFERROR(VLOOKUP("BONUSES - EMPLOYEES",'[9]PAGE 2'!$B:$S,4,FALSE)+VLOOKUP("BONUSES - Owners",'[9]PAGE 2'!$B:$S,4,FALSE),0)</f>
        <v>45511</v>
      </c>
      <c r="AA73" s="13">
        <f>IFERROR(VLOOKUP("BONUSES - EMPLOYEES",'[9]PAGE 2'!$B:$S,7,FALSE)+VLOOKUP("BONUSES - Owners",'[9]PAGE 2'!$B:$S,7,FALSE),0)</f>
        <v>451851</v>
      </c>
      <c r="AB73" s="72"/>
      <c r="AC73" s="72"/>
      <c r="AD73" s="47">
        <f>-('[2]PAGE 2'!$L$27+'[2]PAGE 2'!$L$28)</f>
        <v>-30743</v>
      </c>
      <c r="AE73" s="13">
        <f>-('[2]PAGE 2'!$X$27+'[2]PAGE 2'!$X$28)</f>
        <v>-359018</v>
      </c>
      <c r="AF73" s="47"/>
      <c r="AG73" s="13"/>
      <c r="AH73" s="47">
        <f>[3]P2!$J$55</f>
        <v>25951</v>
      </c>
      <c r="AI73" s="13">
        <f>[3]P2!$R$55</f>
        <v>244147</v>
      </c>
      <c r="AJ73" s="47">
        <f>[13]P2!$J$55</f>
        <v>3944</v>
      </c>
      <c r="AK73" s="13">
        <f>[13]P2!$R$55</f>
        <v>52694</v>
      </c>
      <c r="AL73" s="47"/>
      <c r="AM73" s="13"/>
      <c r="AN73" s="47">
        <f>IFERROR(VLOOKUP("BONUSES - EMPLOYEES",'[11]PAGE 2'!$B:$S,4,FALSE)+VLOOKUP("BONUSES - Owners",'[11]PAGE 2'!$B:$S,4,FALSE),0)</f>
        <v>0</v>
      </c>
      <c r="AO73" s="13">
        <f>IFERROR(VLOOKUP("BONUSES - EMPLOYEES",'[11]PAGE 2'!$B:$S,7,FALSE)+VLOOKUP("BONUSES - Owners",'[11]PAGE 2'!$B:$S,7,FALSE),0)</f>
        <v>0</v>
      </c>
      <c r="AP73" s="47">
        <f>IFERROR(VLOOKUP("BONUSES - EMPLOYEES",'[12]PAGE 2'!$B:$S,4,FALSE)+VLOOKUP("BONUSES - Owners",'[12]PAGE 2'!$B:$S,4,FALSE),0)</f>
        <v>25917</v>
      </c>
      <c r="AQ73" s="13">
        <f>IFERROR(VLOOKUP("BONUSES - EMPLOYEES",'[12]PAGE 2'!$B:$S,7,FALSE)+VLOOKUP("BONUSES - Owners",'[12]PAGE 2'!$B:$S,7,FALSE),0)</f>
        <v>107318</v>
      </c>
      <c r="AR73" s="47">
        <f t="shared" si="70"/>
        <v>236404</v>
      </c>
      <c r="AS73" s="13">
        <f t="shared" si="71"/>
        <v>2460177</v>
      </c>
    </row>
    <row r="74" spans="1:45" hidden="1">
      <c r="A74" s="4" t="s">
        <v>69</v>
      </c>
      <c r="B74" s="24">
        <f>B72-B73</f>
        <v>349329</v>
      </c>
      <c r="C74" s="25">
        <f>C72-C73</f>
        <v>3401712</v>
      </c>
      <c r="D74" s="82"/>
      <c r="E74" s="82"/>
      <c r="F74" s="24">
        <f>F72-F73</f>
        <v>14991</v>
      </c>
      <c r="G74" s="25">
        <f>G72-G73</f>
        <v>712992</v>
      </c>
      <c r="H74" s="82"/>
      <c r="I74" s="82"/>
      <c r="J74" s="24">
        <f>J72-J73</f>
        <v>106709</v>
      </c>
      <c r="K74" s="25">
        <f>K72-K73</f>
        <v>1351870</v>
      </c>
      <c r="L74" s="82"/>
      <c r="M74" s="82"/>
      <c r="N74" s="24">
        <f>N72-N73</f>
        <v>91140</v>
      </c>
      <c r="O74" s="25">
        <f>O72-O73</f>
        <v>1097040</v>
      </c>
      <c r="P74" s="82"/>
      <c r="Q74" s="82"/>
      <c r="R74" s="24">
        <f>R72-R73</f>
        <v>42703</v>
      </c>
      <c r="S74" s="25">
        <f>S72-S73</f>
        <v>640220</v>
      </c>
      <c r="T74" s="109"/>
      <c r="U74" s="109"/>
      <c r="V74" s="24"/>
      <c r="W74" s="25"/>
      <c r="X74" s="109"/>
      <c r="Y74" s="109"/>
      <c r="Z74" s="24">
        <f>Z72-Z73</f>
        <v>210060</v>
      </c>
      <c r="AA74" s="25">
        <f>AA72-AA73</f>
        <v>1918206</v>
      </c>
      <c r="AB74" s="82"/>
      <c r="AC74" s="82"/>
      <c r="AD74" s="24">
        <f>AD72+AD73</f>
        <v>121368</v>
      </c>
      <c r="AE74" s="25">
        <f>AE72+AE73</f>
        <v>1393776</v>
      </c>
      <c r="AF74" s="24"/>
      <c r="AG74" s="25"/>
      <c r="AH74" s="24">
        <f t="shared" ref="AH74:AM74" si="76">AH72+AH73</f>
        <v>292908</v>
      </c>
      <c r="AI74" s="25">
        <f t="shared" si="76"/>
        <v>2558407</v>
      </c>
      <c r="AJ74" s="24">
        <f t="shared" si="76"/>
        <v>24548</v>
      </c>
      <c r="AK74" s="25">
        <f t="shared" si="76"/>
        <v>345671</v>
      </c>
      <c r="AL74" s="24">
        <f t="shared" si="76"/>
        <v>-45602</v>
      </c>
      <c r="AM74" s="25">
        <f t="shared" si="76"/>
        <v>49947</v>
      </c>
      <c r="AN74" s="24">
        <f>AN72-AN73</f>
        <v>-26908</v>
      </c>
      <c r="AO74" s="25">
        <f>AO72-AO73</f>
        <v>-294237</v>
      </c>
      <c r="AP74" s="24">
        <f>AP72-AP73</f>
        <v>118415</v>
      </c>
      <c r="AQ74" s="25">
        <f>AQ72-AQ73</f>
        <v>489597</v>
      </c>
      <c r="AR74" s="24">
        <f t="shared" si="70"/>
        <v>1299661</v>
      </c>
      <c r="AS74" s="25">
        <f t="shared" si="71"/>
        <v>13665201</v>
      </c>
    </row>
    <row r="75" spans="1:45" hidden="1">
      <c r="A75" s="112" t="s">
        <v>51</v>
      </c>
      <c r="B75" s="47">
        <f>IFERROR(VLOOKUP("LESS Income Taxes",'[4]Page 2'!$D:$BJ,11,FALSE),0)</f>
        <v>0</v>
      </c>
      <c r="C75" s="13">
        <f>IFERROR(VLOOKUP("LESS Income Taxes",'[4]Page 2'!$D:$BJ,22,FALSE),0)</f>
        <v>0</v>
      </c>
      <c r="D75" s="72"/>
      <c r="E75" s="72"/>
      <c r="F75" s="47">
        <f>IFERROR(VLOOKUP("LESS Income Taxes",'[5]Page 2'!$D:$BJ,11,FALSE),0)</f>
        <v>0</v>
      </c>
      <c r="G75" s="13">
        <f>IFERROR(VLOOKUP("LESS Income Taxes",'[5]Page 2'!$D:$BJ,22,FALSE),0)</f>
        <v>0</v>
      </c>
      <c r="H75" s="72"/>
      <c r="I75" s="72"/>
      <c r="J75" s="47">
        <f>IFERROR(VLOOKUP("LESS Income Taxes",'[6]Page 2'!$D:$BJ,11,FALSE),0)</f>
        <v>0</v>
      </c>
      <c r="K75" s="13">
        <f>IFERROR(VLOOKUP("LESS Income Taxes",'[6]Page 2'!$D:$BJ,22,FALSE),0)</f>
        <v>0</v>
      </c>
      <c r="L75" s="72"/>
      <c r="M75" s="72"/>
      <c r="N75" s="47"/>
      <c r="O75" s="13"/>
      <c r="P75" s="72"/>
      <c r="Q75" s="72"/>
      <c r="R75" s="47"/>
      <c r="S75" s="13"/>
      <c r="T75" s="1"/>
      <c r="U75" s="1"/>
      <c r="V75" s="47"/>
      <c r="W75" s="13"/>
      <c r="X75" s="1"/>
      <c r="Y75" s="1"/>
      <c r="Z75" s="47">
        <f>IFERROR(VLOOKUP("ESTIMATED INCOME TAXES",'[9]PAGE 2'!$B:$S,4,FALSE),0)</f>
        <v>0</v>
      </c>
      <c r="AA75" s="13">
        <f>IFERROR(VLOOKUP("ESTIMATED INCOME TAXES",'[9]PAGE 2'!$B:$S,7,FALSE),0)</f>
        <v>0</v>
      </c>
      <c r="AB75" s="72"/>
      <c r="AC75" s="72"/>
      <c r="AD75" s="47"/>
      <c r="AE75" s="13"/>
      <c r="AF75" s="47"/>
      <c r="AG75" s="13"/>
      <c r="AH75" s="47"/>
      <c r="AI75" s="13"/>
      <c r="AJ75" s="47"/>
      <c r="AK75" s="13"/>
      <c r="AL75" s="47"/>
      <c r="AM75" s="13"/>
      <c r="AN75" s="47">
        <f>IFERROR(VLOOKUP("ESTIMATED INCOME TAXES",'[11]PAGE 2'!$B:$S,4,FALSE),0)</f>
        <v>0</v>
      </c>
      <c r="AO75" s="13">
        <f>IFERROR(VLOOKUP("ESTIMATED INCOME TAXES",'[11]PAGE 2'!$B:$S,7,FALSE),0)</f>
        <v>0</v>
      </c>
      <c r="AP75" s="47">
        <f>IFERROR(VLOOKUP("ESTIMATED INCOME TAXES",'[12]PAGE 2'!$B:$S,4,FALSE),0)</f>
        <v>0</v>
      </c>
      <c r="AQ75" s="13">
        <f>IFERROR(VLOOKUP("ESTIMATED INCOME TAXES",'[12]PAGE 2'!$B:$S,7,FALSE),0)</f>
        <v>0</v>
      </c>
      <c r="AR75" s="47">
        <f t="shared" si="70"/>
        <v>0</v>
      </c>
      <c r="AS75" s="13">
        <f t="shared" si="71"/>
        <v>0</v>
      </c>
    </row>
    <row r="76" spans="1:45">
      <c r="A76" s="12" t="s">
        <v>70</v>
      </c>
      <c r="B76" s="20">
        <f>B72-B75</f>
        <v>416934</v>
      </c>
      <c r="C76" s="20">
        <f>C72-C75</f>
        <v>4088193</v>
      </c>
      <c r="D76" s="82"/>
      <c r="E76" s="82"/>
      <c r="F76" s="20">
        <f>F72-F75</f>
        <v>31481</v>
      </c>
      <c r="G76" s="20">
        <f>G72-G75</f>
        <v>981187</v>
      </c>
      <c r="H76" s="82"/>
      <c r="I76" s="82"/>
      <c r="J76" s="20">
        <f>J72-J75</f>
        <v>144147</v>
      </c>
      <c r="K76" s="20">
        <f>K72-K75</f>
        <v>1813435</v>
      </c>
      <c r="L76" s="82"/>
      <c r="M76" s="82"/>
      <c r="N76" s="20">
        <f>N72-N75</f>
        <v>117110</v>
      </c>
      <c r="O76" s="20">
        <f>O72-O75</f>
        <v>1409205</v>
      </c>
      <c r="P76" s="82"/>
      <c r="Q76" s="82"/>
      <c r="R76" s="20">
        <f>R72-R75</f>
        <v>61024</v>
      </c>
      <c r="S76" s="20">
        <f>S72-S75</f>
        <v>874999</v>
      </c>
      <c r="T76" s="113"/>
      <c r="U76" s="113"/>
      <c r="V76" s="20"/>
      <c r="W76" s="20"/>
      <c r="X76" s="113"/>
      <c r="Y76" s="113"/>
      <c r="Z76" s="20">
        <f>Z72-Z75</f>
        <v>255571</v>
      </c>
      <c r="AA76" s="20">
        <f>AA72-AA75</f>
        <v>2370057</v>
      </c>
      <c r="AB76" s="82"/>
      <c r="AC76" s="82"/>
      <c r="AD76" s="20">
        <f>AD72-AD75</f>
        <v>152111</v>
      </c>
      <c r="AE76" s="20">
        <f>AE72-AE75</f>
        <v>1752794</v>
      </c>
      <c r="AF76" s="20"/>
      <c r="AG76" s="21"/>
      <c r="AH76" s="20">
        <f t="shared" ref="AH76:AM76" si="77">AH72-AH75</f>
        <v>266957</v>
      </c>
      <c r="AI76" s="20">
        <f t="shared" si="77"/>
        <v>2314260</v>
      </c>
      <c r="AJ76" s="20">
        <f t="shared" si="77"/>
        <v>20604</v>
      </c>
      <c r="AK76" s="20">
        <f t="shared" si="77"/>
        <v>292977</v>
      </c>
      <c r="AL76" s="20">
        <f>AL72-AL75</f>
        <v>-45602</v>
      </c>
      <c r="AM76" s="20">
        <f t="shared" si="77"/>
        <v>49947</v>
      </c>
      <c r="AN76" s="20">
        <f>AN72-AN75</f>
        <v>-26908</v>
      </c>
      <c r="AO76" s="20">
        <f>AO72-AO75</f>
        <v>-294237</v>
      </c>
      <c r="AP76" s="20">
        <f>AP72-AP75</f>
        <v>144332</v>
      </c>
      <c r="AQ76" s="20">
        <f>AQ72-AQ75</f>
        <v>596915</v>
      </c>
      <c r="AR76" s="20">
        <f t="shared" si="70"/>
        <v>1537761</v>
      </c>
      <c r="AS76" s="20">
        <f t="shared" si="71"/>
        <v>16249732</v>
      </c>
    </row>
    <row r="77" spans="1:45">
      <c r="AR77">
        <f t="shared" ref="AR77:AR82" si="78">IFERROR(SUMIF($A$5:$AM$5,"Month",$A77:$AM77),"")</f>
        <v>0</v>
      </c>
      <c r="AS77">
        <f t="shared" ref="AS77:AS81" si="79">IFERROR(SUMIF($A$5:$AM$5,"YTD",$A77:$AM77),"")</f>
        <v>0</v>
      </c>
    </row>
    <row r="78" spans="1:45" s="127" customFormat="1">
      <c r="A78" s="127" t="s">
        <v>274</v>
      </c>
      <c r="B78" s="124"/>
      <c r="C78" s="124">
        <v>96479</v>
      </c>
      <c r="D78" s="124"/>
      <c r="E78" s="124"/>
      <c r="F78" s="124"/>
      <c r="G78" s="124">
        <v>0</v>
      </c>
      <c r="H78" s="124"/>
      <c r="I78" s="124"/>
      <c r="J78" s="124"/>
      <c r="K78" s="124">
        <v>7344</v>
      </c>
      <c r="L78" s="124"/>
      <c r="M78" s="124"/>
      <c r="N78" s="124"/>
      <c r="O78" s="124">
        <v>97314</v>
      </c>
      <c r="P78" s="124"/>
      <c r="Q78" s="124"/>
      <c r="R78" s="124"/>
      <c r="S78" s="124">
        <v>41280</v>
      </c>
      <c r="T78" s="124"/>
      <c r="U78" s="124"/>
      <c r="V78" s="124"/>
      <c r="W78" s="124"/>
      <c r="X78" s="124"/>
      <c r="Y78" s="124"/>
      <c r="Z78" s="124"/>
      <c r="AA78" s="124">
        <v>116483</v>
      </c>
      <c r="AB78" s="124"/>
      <c r="AC78" s="124"/>
      <c r="AD78" s="124"/>
      <c r="AE78" s="124">
        <v>66367</v>
      </c>
      <c r="AF78" s="124"/>
      <c r="AG78" s="124"/>
      <c r="AH78" s="124"/>
      <c r="AI78" s="124">
        <v>0</v>
      </c>
      <c r="AJ78" s="124"/>
      <c r="AK78" s="124">
        <v>0</v>
      </c>
      <c r="AL78" s="124"/>
      <c r="AM78" s="124">
        <v>0</v>
      </c>
      <c r="AN78" s="124"/>
      <c r="AO78" s="124">
        <v>16450</v>
      </c>
      <c r="AP78" s="124"/>
      <c r="AQ78" s="124">
        <v>84405</v>
      </c>
      <c r="AR78" s="127">
        <f t="shared" si="78"/>
        <v>0</v>
      </c>
      <c r="AS78" s="127">
        <f>IFERROR(SUMIF($A$5:$AQ$5,"YTD",$A78:$AQ78),"")</f>
        <v>526122</v>
      </c>
    </row>
    <row r="79" spans="1:45">
      <c r="AA79" t="s">
        <v>277</v>
      </c>
      <c r="AQ79" t="s">
        <v>277</v>
      </c>
      <c r="AR79">
        <f t="shared" si="78"/>
        <v>0</v>
      </c>
      <c r="AS79">
        <f t="shared" si="79"/>
        <v>0</v>
      </c>
    </row>
    <row r="80" spans="1:45">
      <c r="A80" s="114" t="s">
        <v>272</v>
      </c>
      <c r="B80" s="115">
        <f>$B$76+$B$62+$B$57+$B$54+$B$52+$B$78</f>
        <v>371748</v>
      </c>
      <c r="C80" s="115">
        <f>$C$76+$C$62+$C$57+$C$54+$C$52+$C$78</f>
        <v>4272930</v>
      </c>
      <c r="D80" s="115">
        <f t="shared" ref="D80:AE80" si="80">D76+D62+D57+D54+D52+D78</f>
        <v>-4.7655910531000704E-2</v>
      </c>
      <c r="E80" s="115">
        <f t="shared" si="80"/>
        <v>7.9782973822708925E-3</v>
      </c>
      <c r="F80" s="115">
        <f>F76+F62+F57+F54+F52+F78</f>
        <v>50245</v>
      </c>
      <c r="G80" s="115">
        <f t="shared" ref="G80:I80" si="81">G76+G62+G57+G54+G52+G78</f>
        <v>1187310</v>
      </c>
      <c r="H80" s="115">
        <f t="shared" si="81"/>
        <v>1.978965841640546E-2</v>
      </c>
      <c r="I80" s="115">
        <f t="shared" si="81"/>
        <v>1.8632991811799761E-2</v>
      </c>
      <c r="J80" s="115">
        <f>J76+J62+J57+J54+J52+J78</f>
        <v>156429</v>
      </c>
      <c r="K80" s="115">
        <f t="shared" ref="K80" si="82">K76+K62+K57+K54+K52+K78</f>
        <v>1957485</v>
      </c>
      <c r="L80" s="115">
        <f t="shared" si="80"/>
        <v>1.2974528429450342E-2</v>
      </c>
      <c r="M80" s="115">
        <f t="shared" si="80"/>
        <v>1.2848790100305452E-2</v>
      </c>
      <c r="N80" s="115">
        <f t="shared" si="80"/>
        <v>130192</v>
      </c>
      <c r="O80" s="115">
        <f t="shared" si="80"/>
        <v>1677307</v>
      </c>
      <c r="P80" s="115">
        <f t="shared" si="80"/>
        <v>2.1580621321297545E-2</v>
      </c>
      <c r="Q80" s="115">
        <f t="shared" si="80"/>
        <v>2.454078705304933E-2</v>
      </c>
      <c r="R80" s="115">
        <f>R76+R62+R57+R54+R52+R78</f>
        <v>71652</v>
      </c>
      <c r="S80" s="115">
        <f>S76+S62+S57+S54+S52+S78</f>
        <v>1056246</v>
      </c>
      <c r="T80" s="115">
        <f t="shared" si="80"/>
        <v>2.3705117967979802E-2</v>
      </c>
      <c r="U80" s="115">
        <f t="shared" si="80"/>
        <v>2.7569833618190293E-2</v>
      </c>
      <c r="V80" s="115"/>
      <c r="W80" s="115"/>
      <c r="X80" s="115" t="e">
        <f t="shared" si="80"/>
        <v>#DIV/0!</v>
      </c>
      <c r="Y80" s="115" t="e">
        <f t="shared" si="80"/>
        <v>#DIV/0!</v>
      </c>
      <c r="Z80" s="115">
        <f t="shared" si="80"/>
        <v>261569</v>
      </c>
      <c r="AA80" s="115">
        <f t="shared" si="80"/>
        <v>2691579</v>
      </c>
      <c r="AB80" s="115">
        <f t="shared" si="80"/>
        <v>6.4638566097190622E-3</v>
      </c>
      <c r="AC80" s="115">
        <f t="shared" si="80"/>
        <v>2.0937543749866613E-2</v>
      </c>
      <c r="AD80" s="115">
        <f t="shared" si="80"/>
        <v>172882</v>
      </c>
      <c r="AE80" s="115">
        <f t="shared" si="80"/>
        <v>2082288</v>
      </c>
      <c r="AF80" s="1">
        <f>AF76+AF62+AF57+AF54+AF52</f>
        <v>3.2737354091735824E-2</v>
      </c>
      <c r="AG80" s="1">
        <f>AG76+AG62+AG57+AG54+AG52</f>
        <v>3.5337535530320888E-2</v>
      </c>
      <c r="AH80" s="115">
        <f t="shared" ref="AH80:AI80" si="83">AH76+AH62+AH57+AH54+AH52+AH78</f>
        <v>279376.58247274888</v>
      </c>
      <c r="AI80" s="115">
        <f t="shared" si="83"/>
        <v>2473219</v>
      </c>
      <c r="AJ80" s="115">
        <f t="shared" ref="AJ80:AK80" si="84">AJ76+AJ62+AJ57+AJ54+AJ52+AJ78</f>
        <v>26156.676179678645</v>
      </c>
      <c r="AK80" s="115">
        <f t="shared" si="84"/>
        <v>369529</v>
      </c>
      <c r="AL80" s="115">
        <f t="shared" ref="AL80:AQ80" si="85">AL76+AL62+AL57+AL54+AL52+AL78</f>
        <v>-45602</v>
      </c>
      <c r="AM80" s="115">
        <f t="shared" si="85"/>
        <v>52229</v>
      </c>
      <c r="AN80" s="115">
        <f t="shared" si="85"/>
        <v>-20384</v>
      </c>
      <c r="AO80" s="115">
        <f t="shared" si="85"/>
        <v>-244583</v>
      </c>
      <c r="AP80" s="115">
        <f t="shared" si="85"/>
        <v>172976</v>
      </c>
      <c r="AQ80" s="115">
        <f t="shared" si="85"/>
        <v>721730</v>
      </c>
      <c r="AR80" s="115">
        <f>IFERROR(SUMIF($A$5:$AM$5,"Month",$A80:$AQ80),"")</f>
        <v>1474648.2586524275</v>
      </c>
      <c r="AS80" s="115">
        <f>IFERROR(SUMIF($A$5:$AQ$5,"YTD",$A80:$AQ80),"")</f>
        <v>18297269</v>
      </c>
    </row>
    <row r="81" spans="1:45">
      <c r="AR81">
        <f t="shared" si="78"/>
        <v>0</v>
      </c>
      <c r="AS81">
        <f t="shared" si="79"/>
        <v>0</v>
      </c>
    </row>
    <row r="82" spans="1:45" s="117" customFormat="1">
      <c r="A82" s="116" t="s">
        <v>273</v>
      </c>
      <c r="B82" s="116"/>
      <c r="C82" s="116">
        <f>((C80-C78)/C83)*12+C78</f>
        <v>5108220.1999999993</v>
      </c>
      <c r="D82" s="116"/>
      <c r="E82" s="116"/>
      <c r="F82" s="116"/>
      <c r="G82" s="116">
        <f>((G80-G78)/G83)*12+G78</f>
        <v>1424772</v>
      </c>
      <c r="H82" s="116"/>
      <c r="I82" s="116"/>
      <c r="J82" s="116"/>
      <c r="K82" s="116">
        <f>((K80-K78)/K83)*12+K78</f>
        <v>2347513.2000000002</v>
      </c>
      <c r="L82" s="116"/>
      <c r="M82" s="116"/>
      <c r="N82" s="116"/>
      <c r="O82" s="116">
        <f>((O80-O78)/O83)*12+O78</f>
        <v>1993305.5999999999</v>
      </c>
      <c r="P82" s="116"/>
      <c r="Q82" s="116"/>
      <c r="R82" s="116"/>
      <c r="S82" s="116">
        <f>((S80-S78)/S83)*12+S78</f>
        <v>1259239.2000000002</v>
      </c>
      <c r="T82" s="116"/>
      <c r="U82" s="116"/>
      <c r="V82" s="116"/>
      <c r="W82" s="116"/>
      <c r="X82" s="116"/>
      <c r="Y82" s="116"/>
      <c r="Z82" s="116"/>
      <c r="AA82" s="116">
        <f>((AA80-AA78)/AA83)*12+AA78</f>
        <v>3206598.2</v>
      </c>
      <c r="AB82" s="116"/>
      <c r="AC82" s="116"/>
      <c r="AD82" s="116"/>
      <c r="AE82" s="116">
        <f>((AE80-AE78)/AE83)*12+AE78</f>
        <v>2485472.2000000002</v>
      </c>
      <c r="AH82" s="116"/>
      <c r="AI82" s="116">
        <f>((AI80-AI78)/AI83)*12+AI78</f>
        <v>2967862.8</v>
      </c>
      <c r="AJ82" s="116"/>
      <c r="AK82" s="116">
        <f>((AK80-AK78)/AK83)*12+AK78</f>
        <v>443434.80000000005</v>
      </c>
      <c r="AL82" s="116"/>
      <c r="AM82" s="116">
        <f>((AM80-AM78)/AM83)*12+AM78</f>
        <v>62674.799999999996</v>
      </c>
      <c r="AN82" s="116"/>
      <c r="AO82" s="116">
        <f>((AO80-AO78)/AO83)*12+AO78</f>
        <v>-296789.59999999998</v>
      </c>
      <c r="AP82" s="116"/>
      <c r="AQ82" s="116">
        <f>((AQ80-AQ78)/AQ83)*12+AQ78</f>
        <v>849195</v>
      </c>
      <c r="AR82" s="116">
        <f t="shared" si="78"/>
        <v>0</v>
      </c>
      <c r="AS82" s="116">
        <f>IFERROR(SUMIF($A$5:$AQ$5,"YTD",$A82:$AQ82),"")</f>
        <v>21851498.399999999</v>
      </c>
    </row>
    <row r="83" spans="1:45" s="74" customFormat="1">
      <c r="C83" s="74">
        <f>MONTH(DATEVALUE(("October"&amp;" 1")))</f>
        <v>10</v>
      </c>
      <c r="D83" s="75"/>
      <c r="E83" s="75"/>
      <c r="G83" s="74">
        <f>MONTH(DATEVALUE(("October"&amp;" 1")))</f>
        <v>10</v>
      </c>
      <c r="H83" s="75"/>
      <c r="I83" s="75"/>
      <c r="K83" s="74">
        <f>MONTH(DATEVALUE(("October"&amp;" 1")))</f>
        <v>10</v>
      </c>
      <c r="L83" s="75"/>
      <c r="M83" s="75"/>
      <c r="O83" s="74">
        <f>MONTH(DATEVALUE(("October"&amp;" 1")))</f>
        <v>10</v>
      </c>
      <c r="P83" s="75"/>
      <c r="Q83" s="75"/>
      <c r="S83" s="74">
        <f>MONTH(DATEVALUE(("October"&amp;" 1")))</f>
        <v>10</v>
      </c>
      <c r="AA83" s="74">
        <f>MONTH(DATEVALUE(("October"&amp;" 1")))</f>
        <v>10</v>
      </c>
      <c r="AB83" s="75"/>
      <c r="AC83" s="75"/>
      <c r="AE83" s="74">
        <f>MONTH(DATEVALUE(("October"&amp;" 1")))</f>
        <v>10</v>
      </c>
      <c r="AG83" s="74">
        <f>MONTH(DATEVALUE(("November"&amp;" 1")))-5</f>
        <v>6</v>
      </c>
      <c r="AI83" s="74">
        <f>MONTH(DATEVALUE(("October"&amp;" 1")))</f>
        <v>10</v>
      </c>
      <c r="AK83" s="74">
        <f>MONTH(DATEVALUE(("October"&amp;" 1")))</f>
        <v>10</v>
      </c>
      <c r="AM83" s="74">
        <f>MONTH(DATEVALUE(("October"&amp;" 1")))</f>
        <v>10</v>
      </c>
      <c r="AO83" s="74">
        <f>MONTH(DATEVALUE(("October"&amp;" 1")))</f>
        <v>10</v>
      </c>
      <c r="AQ83" s="74">
        <f>MONTH(DATEVALUE(("October"&amp;" 1")))</f>
        <v>10</v>
      </c>
    </row>
    <row r="84" spans="1:45">
      <c r="A84" s="114" t="s">
        <v>286</v>
      </c>
      <c r="B84" s="115">
        <f>B76+B62+B57+B54+B52+B78+B51</f>
        <v>428248</v>
      </c>
      <c r="C84" s="115">
        <f>C76+C62+C57+C54+C52+C78+C51</f>
        <v>4956430</v>
      </c>
      <c r="D84" s="115"/>
      <c r="E84" s="115"/>
      <c r="F84" s="115">
        <f t="shared" ref="F84:AK84" si="86">F76+F62+F57+F54+F52+F78+F51</f>
        <v>80245</v>
      </c>
      <c r="G84" s="115">
        <f t="shared" si="86"/>
        <v>1547310</v>
      </c>
      <c r="H84" s="115">
        <f t="shared" si="86"/>
        <v>5.1429487476955658E-2</v>
      </c>
      <c r="I84" s="115">
        <f t="shared" si="86"/>
        <v>5.1176070712494554E-2</v>
      </c>
      <c r="J84" s="115">
        <f t="shared" si="86"/>
        <v>229429</v>
      </c>
      <c r="K84" s="115">
        <f t="shared" si="86"/>
        <v>2822196</v>
      </c>
      <c r="L84" s="115">
        <f t="shared" si="86"/>
        <v>9.0090680143330409E-2</v>
      </c>
      <c r="M84" s="115">
        <f t="shared" si="86"/>
        <v>9.4121668660319124E-2</v>
      </c>
      <c r="N84" s="115">
        <f t="shared" si="86"/>
        <v>180772</v>
      </c>
      <c r="O84" s="115">
        <f t="shared" si="86"/>
        <v>2267952</v>
      </c>
      <c r="P84" s="115">
        <f t="shared" si="86"/>
        <v>0.10501953176551324</v>
      </c>
      <c r="Q84" s="115">
        <f t="shared" si="86"/>
        <v>0.10941146396798668</v>
      </c>
      <c r="R84" s="115">
        <f t="shared" si="86"/>
        <v>121043</v>
      </c>
      <c r="S84" s="115">
        <f t="shared" si="86"/>
        <v>1605689</v>
      </c>
      <c r="T84" s="115">
        <f t="shared" si="86"/>
        <v>0.1338687876665581</v>
      </c>
      <c r="U84" s="115">
        <f t="shared" si="86"/>
        <v>0.13579571609534086</v>
      </c>
      <c r="V84" s="115">
        <f t="shared" si="86"/>
        <v>0</v>
      </c>
      <c r="W84" s="115">
        <f t="shared" si="86"/>
        <v>0</v>
      </c>
      <c r="X84" s="115" t="e">
        <f t="shared" si="86"/>
        <v>#DIV/0!</v>
      </c>
      <c r="Y84" s="115" t="e">
        <f t="shared" si="86"/>
        <v>#DIV/0!</v>
      </c>
      <c r="Z84" s="115">
        <f t="shared" si="86"/>
        <v>341540</v>
      </c>
      <c r="AA84" s="115">
        <f t="shared" si="86"/>
        <v>3510978</v>
      </c>
      <c r="AB84" s="115">
        <f t="shared" si="86"/>
        <v>9.2646096845771603E-2</v>
      </c>
      <c r="AC84" s="115">
        <f t="shared" si="86"/>
        <v>0.10461041774504291</v>
      </c>
      <c r="AD84" s="115">
        <f t="shared" si="86"/>
        <v>214342</v>
      </c>
      <c r="AE84" s="115">
        <f t="shared" si="86"/>
        <v>2583326</v>
      </c>
      <c r="AF84" s="1">
        <f t="shared" si="86"/>
        <v>9.8082821360686176E-2</v>
      </c>
      <c r="AG84" s="1">
        <f t="shared" si="86"/>
        <v>0.10262613809501746</v>
      </c>
      <c r="AH84" s="115">
        <f t="shared" si="86"/>
        <v>311221.86266027496</v>
      </c>
      <c r="AI84" s="115">
        <f t="shared" si="86"/>
        <v>2905476</v>
      </c>
      <c r="AJ84" s="115">
        <f t="shared" si="86"/>
        <v>36441.223190898789</v>
      </c>
      <c r="AK84" s="115">
        <f t="shared" si="86"/>
        <v>569539</v>
      </c>
      <c r="AL84" s="115">
        <f t="shared" ref="AL84:AQ84" si="87">AL76+AL62+AL57+AL54+AL52+AL78+AL51</f>
        <v>-5602</v>
      </c>
      <c r="AM84" s="115">
        <f t="shared" si="87"/>
        <v>270229</v>
      </c>
      <c r="AN84" s="115">
        <f t="shared" si="87"/>
        <v>-20384</v>
      </c>
      <c r="AO84" s="115">
        <f t="shared" si="87"/>
        <v>-220683</v>
      </c>
      <c r="AP84" s="115">
        <f t="shared" si="87"/>
        <v>202976</v>
      </c>
      <c r="AQ84" s="115">
        <f t="shared" si="87"/>
        <v>841703</v>
      </c>
      <c r="AR84" s="115">
        <f>AR76+AR62+AR57+AR54+AR52+AR78+AR51</f>
        <v>2120272.0858511738</v>
      </c>
      <c r="AS84" s="115">
        <f>AS76+AS62+AS57+AS54+AS52+AS78+AS51</f>
        <v>23660145</v>
      </c>
    </row>
    <row r="86" spans="1:45" s="117" customFormat="1">
      <c r="A86" s="116" t="s">
        <v>294</v>
      </c>
      <c r="B86" s="116"/>
      <c r="C86" s="116">
        <f>((C84-C82)/C87)*12+C82</f>
        <v>4926071.96</v>
      </c>
      <c r="D86" s="116"/>
      <c r="E86" s="116"/>
      <c r="F86" s="116"/>
      <c r="G86" s="116">
        <f>((G84-G78)/G87)*12+G78</f>
        <v>1856772</v>
      </c>
      <c r="H86" s="116"/>
      <c r="I86" s="116"/>
      <c r="J86" s="116"/>
      <c r="K86" s="116">
        <f>((K84-K78)/K87)*12+K78</f>
        <v>3385166.4000000004</v>
      </c>
      <c r="L86" s="116"/>
      <c r="M86" s="116"/>
      <c r="N86" s="116"/>
      <c r="O86" s="116">
        <f>((O84-O78)/O87)*12+O78</f>
        <v>2702079.5999999996</v>
      </c>
      <c r="P86" s="116"/>
      <c r="Q86" s="116"/>
      <c r="R86" s="116"/>
      <c r="S86" s="116">
        <f>((S84-S78)/S87)*12+S78</f>
        <v>1918570.7999999998</v>
      </c>
      <c r="T86" s="116"/>
      <c r="U86" s="116"/>
      <c r="V86" s="116"/>
      <c r="W86" s="116"/>
      <c r="X86" s="116"/>
      <c r="Y86" s="116"/>
      <c r="Z86" s="116"/>
      <c r="AA86" s="116">
        <f>((AA84-AA78)/AA87)*12+AA78</f>
        <v>4189877</v>
      </c>
      <c r="AB86" s="116"/>
      <c r="AC86" s="116"/>
      <c r="AD86" s="116"/>
      <c r="AE86" s="116">
        <f>((AE84-AE78)/AE87)*12+AE78</f>
        <v>3086717.8</v>
      </c>
      <c r="AH86" s="116"/>
      <c r="AI86" s="116">
        <f>((AI84-AI78)/AI87)*12+AI78</f>
        <v>3486571.1999999997</v>
      </c>
      <c r="AJ86" s="116"/>
      <c r="AK86" s="116">
        <f>((AK84-AK78)/AK87)*12+AK78</f>
        <v>683446.8</v>
      </c>
      <c r="AL86" s="116"/>
      <c r="AM86" s="116">
        <f>((AM84-AM78)/AM87)*12+AM78</f>
        <v>324274.80000000005</v>
      </c>
      <c r="AN86" s="116"/>
      <c r="AO86" s="116">
        <f>((AO84-AO78)/AO87)*12+AO78</f>
        <v>-268109.59999999998</v>
      </c>
      <c r="AP86" s="116"/>
      <c r="AQ86" s="116">
        <f>((AQ84-AQ78)/AQ87)*12+AQ78</f>
        <v>993162.60000000009</v>
      </c>
      <c r="AR86" s="116">
        <f t="shared" ref="AR86" si="88">IFERROR(SUMIF($A$5:$AM$5,"Month",$A86:$AM86),"")</f>
        <v>0</v>
      </c>
      <c r="AS86" s="116">
        <f>IFERROR(SUMIF($A$5:$AQ$5,"YTD",$A86:$AQ86),"")</f>
        <v>27284601.359999999</v>
      </c>
    </row>
    <row r="87" spans="1:45" s="74" customFormat="1">
      <c r="C87" s="74">
        <f>MONTH(DATEVALUE(("October"&amp;" 1")))</f>
        <v>10</v>
      </c>
      <c r="D87" s="75"/>
      <c r="E87" s="75"/>
      <c r="G87" s="74">
        <f>MONTH(DATEVALUE(("October"&amp;" 1")))</f>
        <v>10</v>
      </c>
      <c r="H87" s="75"/>
      <c r="I87" s="75"/>
      <c r="K87" s="74">
        <f>MONTH(DATEVALUE(("October"&amp;" 1")))</f>
        <v>10</v>
      </c>
      <c r="L87" s="75"/>
      <c r="M87" s="75"/>
      <c r="O87" s="74">
        <f>MONTH(DATEVALUE(("October"&amp;" 1")))</f>
        <v>10</v>
      </c>
      <c r="P87" s="75"/>
      <c r="Q87" s="75"/>
      <c r="S87" s="74">
        <f>MONTH(DATEVALUE(("October"&amp;" 1")))</f>
        <v>10</v>
      </c>
      <c r="AA87" s="74">
        <f>MONTH(DATEVALUE(("October"&amp;" 1")))</f>
        <v>10</v>
      </c>
      <c r="AB87" s="75"/>
      <c r="AC87" s="75"/>
      <c r="AE87" s="74">
        <f>MONTH(DATEVALUE(("October"&amp;" 1")))</f>
        <v>10</v>
      </c>
      <c r="AG87" s="74">
        <f>MONTH(DATEVALUE(("November"&amp;" 1")))-5</f>
        <v>6</v>
      </c>
      <c r="AI87" s="74">
        <f>MONTH(DATEVALUE(("October"&amp;" 1")))</f>
        <v>10</v>
      </c>
      <c r="AK87" s="74">
        <f>MONTH(DATEVALUE(("October"&amp;" 1")))</f>
        <v>10</v>
      </c>
      <c r="AM87" s="74">
        <f>MONTH(DATEVALUE(("October"&amp;" 1")))</f>
        <v>10</v>
      </c>
      <c r="AO87" s="74">
        <f>MONTH(DATEVALUE(("October"&amp;" 1")))</f>
        <v>10</v>
      </c>
      <c r="AQ87" s="74">
        <f>MONTH(DATEVALUE(("October"&amp;" 1")))</f>
        <v>10</v>
      </c>
    </row>
  </sheetData>
  <sheetProtection sheet="1" objects="1" scenarios="1"/>
  <mergeCells count="30">
    <mergeCell ref="D10:E10"/>
    <mergeCell ref="D8:E8"/>
    <mergeCell ref="L8:M8"/>
    <mergeCell ref="L10:M10"/>
    <mergeCell ref="P10:Q10"/>
    <mergeCell ref="H8:I8"/>
    <mergeCell ref="H10:I10"/>
    <mergeCell ref="P8:Q8"/>
    <mergeCell ref="B4:C4"/>
    <mergeCell ref="J4:K4"/>
    <mergeCell ref="N4:O4"/>
    <mergeCell ref="R4:S4"/>
    <mergeCell ref="V4:W4"/>
    <mergeCell ref="F4:G4"/>
    <mergeCell ref="T8:U8"/>
    <mergeCell ref="X8:Y8"/>
    <mergeCell ref="AB8:AC8"/>
    <mergeCell ref="AB10:AC10"/>
    <mergeCell ref="T10:U10"/>
    <mergeCell ref="X10:Y10"/>
    <mergeCell ref="AD4:AE4"/>
    <mergeCell ref="Z4:AA4"/>
    <mergeCell ref="AR4:AS4"/>
    <mergeCell ref="AF8:AG8"/>
    <mergeCell ref="AF10:AG10"/>
    <mergeCell ref="AH4:AI4"/>
    <mergeCell ref="AJ4:AK4"/>
    <mergeCell ref="AN4:AO4"/>
    <mergeCell ref="AL4:AM4"/>
    <mergeCell ref="AP4:AQ4"/>
  </mergeCells>
  <pageMargins left="0" right="0" top="0" bottom="0" header="0" footer="0"/>
  <pageSetup scale="10" orientation="landscape" r:id="rId1"/>
  <rowBreaks count="1" manualBreakCount="1">
    <brk id="2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F26"/>
  <sheetViews>
    <sheetView workbookViewId="0"/>
  </sheetViews>
  <sheetFormatPr defaultColWidth="8.85546875" defaultRowHeight="15"/>
  <cols>
    <col min="1" max="1" width="8.85546875" style="134"/>
    <col min="2" max="2" width="25.7109375" style="134" customWidth="1"/>
    <col min="3" max="5" width="13.7109375" style="134" customWidth="1"/>
    <col min="6" max="6" width="12.28515625" style="134" customWidth="1"/>
    <col min="7" max="16384" width="8.85546875" style="134"/>
  </cols>
  <sheetData>
    <row r="1" spans="1:6" ht="18" customHeight="1">
      <c r="B1" s="341" t="s">
        <v>295</v>
      </c>
      <c r="C1" s="342"/>
      <c r="D1" s="342"/>
      <c r="E1" s="342"/>
      <c r="F1" s="342"/>
    </row>
    <row r="2" spans="1:6" ht="5.85" customHeight="1"/>
    <row r="3" spans="1:6" ht="2.25" customHeight="1">
      <c r="B3" s="343" t="s">
        <v>296</v>
      </c>
      <c r="C3" s="344"/>
      <c r="D3" s="344"/>
      <c r="E3" s="345"/>
    </row>
    <row r="4" spans="1:6">
      <c r="B4" s="135" t="s">
        <v>297</v>
      </c>
      <c r="C4" s="135" t="s">
        <v>298</v>
      </c>
      <c r="D4" s="135" t="s">
        <v>299</v>
      </c>
      <c r="E4" s="135" t="s">
        <v>300</v>
      </c>
    </row>
    <row r="5" spans="1:6">
      <c r="A5" s="134" t="s">
        <v>282</v>
      </c>
      <c r="B5" s="136" t="s">
        <v>301</v>
      </c>
      <c r="C5" s="137">
        <v>-181267.86</v>
      </c>
      <c r="D5" s="137">
        <v>-86485.91</v>
      </c>
      <c r="E5" s="137">
        <v>-267753.77</v>
      </c>
    </row>
    <row r="6" spans="1:6">
      <c r="A6" s="134" t="s">
        <v>213</v>
      </c>
      <c r="B6" s="136" t="s">
        <v>302</v>
      </c>
      <c r="C6" s="137">
        <v>-599581.97</v>
      </c>
      <c r="D6" s="137">
        <v>-145241.07</v>
      </c>
      <c r="E6" s="137">
        <v>-744823.04</v>
      </c>
    </row>
    <row r="7" spans="1:6">
      <c r="A7" s="134" t="s">
        <v>317</v>
      </c>
      <c r="B7" s="136" t="s">
        <v>303</v>
      </c>
      <c r="C7" s="137">
        <v>0</v>
      </c>
      <c r="D7" s="137">
        <v>0</v>
      </c>
      <c r="E7" s="137">
        <v>0</v>
      </c>
    </row>
    <row r="8" spans="1:6">
      <c r="A8" s="134" t="s">
        <v>204</v>
      </c>
      <c r="B8" s="136" t="s">
        <v>304</v>
      </c>
      <c r="C8" s="137">
        <v>-177434.93</v>
      </c>
      <c r="D8" s="137">
        <v>-100208.13</v>
      </c>
      <c r="E8" s="137">
        <v>-277643.06</v>
      </c>
    </row>
    <row r="9" spans="1:6">
      <c r="A9" s="134" t="s">
        <v>205</v>
      </c>
      <c r="B9" s="136" t="s">
        <v>305</v>
      </c>
      <c r="C9" s="137">
        <v>-97725.62</v>
      </c>
      <c r="D9" s="137">
        <v>-68960.13</v>
      </c>
      <c r="E9" s="137">
        <v>-166685.75</v>
      </c>
    </row>
    <row r="10" spans="1:6">
      <c r="A10" s="134" t="s">
        <v>203</v>
      </c>
      <c r="B10" s="136" t="s">
        <v>306</v>
      </c>
      <c r="C10" s="137">
        <v>-392718.04</v>
      </c>
      <c r="D10" s="137">
        <v>-141384.14000000001</v>
      </c>
      <c r="E10" s="137">
        <v>-534102.18000000005</v>
      </c>
    </row>
    <row r="11" spans="1:6">
      <c r="A11" s="134" t="s">
        <v>208</v>
      </c>
      <c r="B11" s="136" t="s">
        <v>307</v>
      </c>
      <c r="C11" s="137">
        <v>-259719.18</v>
      </c>
      <c r="D11" s="137">
        <v>-76283.5</v>
      </c>
      <c r="E11" s="137">
        <v>-336002.68</v>
      </c>
    </row>
    <row r="12" spans="1:6">
      <c r="A12" s="134" t="s">
        <v>207</v>
      </c>
      <c r="B12" s="136" t="s">
        <v>308</v>
      </c>
      <c r="C12" s="137">
        <v>-217522.27</v>
      </c>
      <c r="D12" s="137">
        <v>-165827.48000000001</v>
      </c>
      <c r="E12" s="137">
        <v>-383349.75</v>
      </c>
    </row>
    <row r="13" spans="1:6">
      <c r="A13" s="134" t="s">
        <v>278</v>
      </c>
      <c r="B13" s="136" t="s">
        <v>309</v>
      </c>
      <c r="C13" s="137">
        <v>-58340.14</v>
      </c>
      <c r="D13" s="137">
        <v>-62570.34</v>
      </c>
      <c r="E13" s="137">
        <v>-120910.48</v>
      </c>
    </row>
    <row r="14" spans="1:6">
      <c r="A14" s="134" t="s">
        <v>279</v>
      </c>
      <c r="B14" s="136" t="s">
        <v>310</v>
      </c>
      <c r="C14" s="137">
        <v>0</v>
      </c>
      <c r="D14" s="137">
        <v>0</v>
      </c>
      <c r="E14" s="137">
        <v>0</v>
      </c>
    </row>
    <row r="15" spans="1:6">
      <c r="A15" s="134" t="s">
        <v>287</v>
      </c>
      <c r="B15" s="136" t="s">
        <v>311</v>
      </c>
      <c r="C15" s="137">
        <v>-13229.06</v>
      </c>
      <c r="D15" s="137">
        <v>-10939</v>
      </c>
      <c r="E15" s="137">
        <v>-24168.06</v>
      </c>
    </row>
    <row r="16" spans="1:6">
      <c r="A16" s="134" t="s">
        <v>293</v>
      </c>
      <c r="B16" s="136" t="s">
        <v>312</v>
      </c>
      <c r="C16" s="137">
        <v>-11396.65</v>
      </c>
      <c r="D16" s="137">
        <v>-7610.76</v>
      </c>
      <c r="E16" s="137">
        <v>-19007.41</v>
      </c>
    </row>
    <row r="17" spans="1:5">
      <c r="A17" s="134" t="s">
        <v>292</v>
      </c>
      <c r="B17" s="136" t="s">
        <v>313</v>
      </c>
      <c r="C17" s="137">
        <v>0</v>
      </c>
      <c r="D17" s="137">
        <v>-11522.44</v>
      </c>
      <c r="E17" s="137">
        <v>-11522.44</v>
      </c>
    </row>
    <row r="18" spans="1:5">
      <c r="B18" s="138" t="s">
        <v>314</v>
      </c>
      <c r="C18" s="139">
        <v>-2008935.72</v>
      </c>
      <c r="D18" s="139">
        <v>-877032.9</v>
      </c>
      <c r="E18" s="139">
        <v>-2885968.62</v>
      </c>
    </row>
    <row r="19" spans="1:5" ht="28.15" customHeight="1"/>
    <row r="20" spans="1:5">
      <c r="B20" s="134" t="s">
        <v>315</v>
      </c>
      <c r="C20" s="140">
        <f>+'New Vehicle'!AC19</f>
        <v>15713590</v>
      </c>
      <c r="D20" s="140">
        <f>+'Used Vehicle'!AC23</f>
        <v>9383099</v>
      </c>
      <c r="E20" s="141">
        <f>SUM(C20:D20)</f>
        <v>25096689</v>
      </c>
    </row>
    <row r="22" spans="1:5">
      <c r="C22" s="142">
        <f>+C18/C20</f>
        <v>-0.12784702413643223</v>
      </c>
      <c r="D22" s="142">
        <f>+D18/D20</f>
        <v>-9.346942838394863E-2</v>
      </c>
      <c r="E22" s="142">
        <f>+E18/E20</f>
        <v>-0.11499399861073308</v>
      </c>
    </row>
    <row r="25" spans="1:5">
      <c r="B25" s="143" t="s">
        <v>316</v>
      </c>
      <c r="E25" s="140">
        <v>1017000</v>
      </c>
    </row>
    <row r="26" spans="1:5">
      <c r="E26" s="142">
        <f>+E25/E20</f>
        <v>4.0523273807154404E-2</v>
      </c>
    </row>
  </sheetData>
  <sortState xmlns:xlrd2="http://schemas.microsoft.com/office/spreadsheetml/2017/richdata2" ref="G21:G45">
    <sortCondition ref="G21"/>
  </sortState>
  <mergeCells count="2">
    <mergeCell ref="B1:F1"/>
    <mergeCell ref="B3:E3"/>
  </mergeCells>
  <hyperlinks>
    <hyperlink ref="B5" r:id="rId1" xr:uid="{00000000-0004-0000-0E00-000000000000}"/>
    <hyperlink ref="B6" r:id="rId2" xr:uid="{00000000-0004-0000-0E00-000001000000}"/>
    <hyperlink ref="B7" r:id="rId3" xr:uid="{00000000-0004-0000-0E00-000002000000}"/>
    <hyperlink ref="B8" r:id="rId4" xr:uid="{00000000-0004-0000-0E00-000003000000}"/>
    <hyperlink ref="B9" r:id="rId5" xr:uid="{00000000-0004-0000-0E00-000004000000}"/>
    <hyperlink ref="B10" r:id="rId6" xr:uid="{00000000-0004-0000-0E00-000005000000}"/>
    <hyperlink ref="B11" r:id="rId7" xr:uid="{00000000-0004-0000-0E00-000006000000}"/>
    <hyperlink ref="B12" r:id="rId8" xr:uid="{00000000-0004-0000-0E00-000007000000}"/>
    <hyperlink ref="B13" r:id="rId9" xr:uid="{00000000-0004-0000-0E00-000008000000}"/>
    <hyperlink ref="B14" r:id="rId10" xr:uid="{00000000-0004-0000-0E00-000009000000}"/>
    <hyperlink ref="B15" r:id="rId11" xr:uid="{00000000-0004-0000-0E00-00000A000000}"/>
    <hyperlink ref="B16" r:id="rId12" xr:uid="{00000000-0004-0000-0E00-00000B000000}"/>
    <hyperlink ref="B17" r:id="rId13" xr:uid="{00000000-0004-0000-0E00-00000C000000}"/>
  </hyperlinks>
  <pageMargins left="0.2" right="0.2" top="0.2" bottom="0.491679921259843" header="0.2" footer="0.2"/>
  <pageSetup scale="13" orientation="landscape" horizontalDpi="300" verticalDpi="300" r:id="rId14"/>
  <headerFooter alignWithMargins="0">
    <oddFooter>&amp;L&amp;"Arial,Regular"&amp;8 Powered by DealerOps - Printed on 9/27/2017 1:59:22 PM ET &amp;R&amp;"Arial,Regular"&amp;8 Page  1 of 1</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E14"/>
  <sheetViews>
    <sheetView workbookViewId="0">
      <selection sqref="A1:E1"/>
    </sheetView>
  </sheetViews>
  <sheetFormatPr defaultRowHeight="15"/>
  <cols>
    <col min="1" max="1" width="14.5703125" customWidth="1"/>
    <col min="2" max="2" width="10.7109375" bestFit="1" customWidth="1"/>
    <col min="3" max="3" width="9.5703125" bestFit="1" customWidth="1"/>
    <col min="4" max="4" width="10.7109375" bestFit="1" customWidth="1"/>
  </cols>
  <sheetData>
    <row r="1" spans="1:5">
      <c r="A1" s="341" t="s">
        <v>334</v>
      </c>
      <c r="B1" s="342"/>
      <c r="C1" s="342"/>
      <c r="D1" s="342"/>
      <c r="E1" s="342"/>
    </row>
    <row r="2" spans="1:5">
      <c r="A2" s="134"/>
      <c r="B2" s="134"/>
      <c r="C2" s="134"/>
      <c r="D2" s="134"/>
      <c r="E2" s="134"/>
    </row>
    <row r="3" spans="1:5">
      <c r="A3" s="343" t="s">
        <v>296</v>
      </c>
      <c r="B3" s="344"/>
      <c r="C3" s="344"/>
      <c r="D3" s="345"/>
      <c r="E3" s="134"/>
    </row>
    <row r="4" spans="1:5">
      <c r="A4" s="135" t="s">
        <v>297</v>
      </c>
      <c r="B4" s="135" t="s">
        <v>298</v>
      </c>
      <c r="C4" s="135" t="s">
        <v>299</v>
      </c>
      <c r="D4" s="135" t="s">
        <v>300</v>
      </c>
      <c r="E4" s="134"/>
    </row>
    <row r="5" spans="1:5" ht="22.5">
      <c r="A5" s="136" t="s">
        <v>301</v>
      </c>
      <c r="B5" s="137">
        <v>-6919.64</v>
      </c>
      <c r="C5" s="137">
        <v>-5961.27</v>
      </c>
      <c r="D5" s="137">
        <v>-12880.91</v>
      </c>
      <c r="E5" s="134"/>
    </row>
    <row r="6" spans="1:5">
      <c r="A6" s="136" t="s">
        <v>302</v>
      </c>
      <c r="B6" s="137">
        <v>-322393.92</v>
      </c>
      <c r="C6" s="137">
        <v>-87183.39</v>
      </c>
      <c r="D6" s="137">
        <v>-409577.31</v>
      </c>
      <c r="E6" s="134"/>
    </row>
    <row r="7" spans="1:5">
      <c r="A7" s="136" t="s">
        <v>304</v>
      </c>
      <c r="B7" s="137">
        <v>-147969.49</v>
      </c>
      <c r="C7" s="137">
        <v>-64136.72</v>
      </c>
      <c r="D7" s="137">
        <v>-212106.21</v>
      </c>
      <c r="E7" s="134"/>
    </row>
    <row r="8" spans="1:5" ht="22.5">
      <c r="A8" s="136" t="s">
        <v>305</v>
      </c>
      <c r="B8" s="137">
        <v>-58061.41</v>
      </c>
      <c r="C8" s="137">
        <v>-45545.98</v>
      </c>
      <c r="D8" s="137">
        <v>-103607.39</v>
      </c>
      <c r="E8" s="134"/>
    </row>
    <row r="9" spans="1:5">
      <c r="A9" s="136" t="s">
        <v>306</v>
      </c>
      <c r="B9" s="137">
        <v>-353404.46</v>
      </c>
      <c r="C9" s="137">
        <v>-141764.34</v>
      </c>
      <c r="D9" s="137">
        <v>-495168.8</v>
      </c>
      <c r="E9" s="134"/>
    </row>
    <row r="10" spans="1:5" ht="22.5">
      <c r="A10" s="136" t="s">
        <v>307</v>
      </c>
      <c r="B10" s="137">
        <v>-181756.24</v>
      </c>
      <c r="C10" s="137">
        <v>-56385.03</v>
      </c>
      <c r="D10" s="137">
        <v>-238141.27</v>
      </c>
      <c r="E10" s="134"/>
    </row>
    <row r="11" spans="1:5" ht="22.5">
      <c r="A11" s="136" t="s">
        <v>308</v>
      </c>
      <c r="B11" s="137">
        <v>-177378.32</v>
      </c>
      <c r="C11" s="137">
        <v>-137537.32999999999</v>
      </c>
      <c r="D11" s="137">
        <v>-314915.65000000002</v>
      </c>
      <c r="E11" s="134"/>
    </row>
    <row r="12" spans="1:5">
      <c r="A12" s="138" t="s">
        <v>314</v>
      </c>
      <c r="B12" s="139">
        <v>-1247883.48</v>
      </c>
      <c r="C12" s="139">
        <v>-538514.06000000006</v>
      </c>
      <c r="D12" s="139">
        <v>-1786397.54</v>
      </c>
      <c r="E12" s="134"/>
    </row>
    <row r="13" spans="1:5">
      <c r="A13" s="134"/>
      <c r="B13" s="134"/>
      <c r="C13" s="134"/>
      <c r="D13" s="134"/>
      <c r="E13" s="134"/>
    </row>
    <row r="14" spans="1:5">
      <c r="A14" t="s">
        <v>336</v>
      </c>
    </row>
  </sheetData>
  <mergeCells count="2">
    <mergeCell ref="A1:E1"/>
    <mergeCell ref="A3:D3"/>
  </mergeCells>
  <hyperlinks>
    <hyperlink ref="A5" r:id="rId1" xr:uid="{00000000-0004-0000-0F00-000000000000}"/>
    <hyperlink ref="A6" r:id="rId2" xr:uid="{00000000-0004-0000-0F00-000001000000}"/>
    <hyperlink ref="A7" r:id="rId3" xr:uid="{00000000-0004-0000-0F00-000002000000}"/>
    <hyperlink ref="A8" r:id="rId4" xr:uid="{00000000-0004-0000-0F00-000003000000}"/>
    <hyperlink ref="A9" r:id="rId5" xr:uid="{00000000-0004-0000-0F00-000004000000}"/>
    <hyperlink ref="A10" r:id="rId6" xr:uid="{00000000-0004-0000-0F00-000005000000}"/>
    <hyperlink ref="A11" r:id="rId7" xr:uid="{00000000-0004-0000-0F00-00000600000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E12"/>
  <sheetViews>
    <sheetView workbookViewId="0">
      <selection sqref="A1:E1"/>
    </sheetView>
  </sheetViews>
  <sheetFormatPr defaultRowHeight="15"/>
  <cols>
    <col min="1" max="1" width="18.140625" customWidth="1"/>
    <col min="2" max="4" width="9.5703125" bestFit="1" customWidth="1"/>
  </cols>
  <sheetData>
    <row r="1" spans="1:5">
      <c r="A1" s="341" t="s">
        <v>335</v>
      </c>
      <c r="B1" s="342"/>
      <c r="C1" s="342"/>
      <c r="D1" s="342"/>
      <c r="E1" s="342"/>
    </row>
    <row r="2" spans="1:5">
      <c r="A2" s="134"/>
      <c r="B2" s="134"/>
      <c r="C2" s="134"/>
      <c r="D2" s="134"/>
      <c r="E2" s="134"/>
    </row>
    <row r="3" spans="1:5">
      <c r="A3" s="343" t="s">
        <v>296</v>
      </c>
      <c r="B3" s="344"/>
      <c r="C3" s="344"/>
      <c r="D3" s="345"/>
      <c r="E3" s="134"/>
    </row>
    <row r="4" spans="1:5">
      <c r="A4" s="135" t="s">
        <v>297</v>
      </c>
      <c r="B4" s="135" t="s">
        <v>298</v>
      </c>
      <c r="C4" s="135" t="s">
        <v>299</v>
      </c>
      <c r="D4" s="135" t="s">
        <v>300</v>
      </c>
      <c r="E4" s="134"/>
    </row>
    <row r="5" spans="1:5">
      <c r="A5" s="136" t="s">
        <v>302</v>
      </c>
      <c r="B5" s="137">
        <v>-144337.23000000001</v>
      </c>
      <c r="C5" s="137">
        <v>-91882.71</v>
      </c>
      <c r="D5" s="137">
        <v>-236219.94</v>
      </c>
      <c r="E5" s="134"/>
    </row>
    <row r="6" spans="1:5">
      <c r="A6" s="136" t="s">
        <v>304</v>
      </c>
      <c r="B6" s="137">
        <v>-31615.21</v>
      </c>
      <c r="C6" s="137">
        <v>-15582.79</v>
      </c>
      <c r="D6" s="137">
        <v>-47198</v>
      </c>
      <c r="E6" s="134"/>
    </row>
    <row r="7" spans="1:5">
      <c r="A7" s="136" t="s">
        <v>305</v>
      </c>
      <c r="B7" s="137">
        <v>-35014.199999999997</v>
      </c>
      <c r="C7" s="137">
        <v>-27749.47</v>
      </c>
      <c r="D7" s="137">
        <v>-62763.67</v>
      </c>
      <c r="E7" s="134"/>
    </row>
    <row r="8" spans="1:5">
      <c r="A8" s="136" t="s">
        <v>306</v>
      </c>
      <c r="B8" s="137">
        <v>-274591.55</v>
      </c>
      <c r="C8" s="137">
        <v>-102736.06</v>
      </c>
      <c r="D8" s="137">
        <v>-377327.61</v>
      </c>
      <c r="E8" s="134"/>
    </row>
    <row r="9" spans="1:5">
      <c r="A9" s="136" t="s">
        <v>307</v>
      </c>
      <c r="B9" s="137">
        <v>-97802.26</v>
      </c>
      <c r="C9" s="137">
        <v>-23340.73</v>
      </c>
      <c r="D9" s="137">
        <v>-121142.99</v>
      </c>
      <c r="E9" s="134"/>
    </row>
    <row r="10" spans="1:5">
      <c r="A10" s="136" t="s">
        <v>308</v>
      </c>
      <c r="B10" s="137">
        <v>-25995.63</v>
      </c>
      <c r="C10" s="137">
        <v>-17858.32</v>
      </c>
      <c r="D10" s="137">
        <v>-43853.95</v>
      </c>
      <c r="E10" s="134"/>
    </row>
    <row r="11" spans="1:5">
      <c r="A11" s="138" t="s">
        <v>314</v>
      </c>
      <c r="B11" s="139">
        <v>-609356.07999999996</v>
      </c>
      <c r="C11" s="139">
        <v>-279150.08000000002</v>
      </c>
      <c r="D11" s="139">
        <v>-888506.16</v>
      </c>
      <c r="E11" s="134"/>
    </row>
    <row r="12" spans="1:5">
      <c r="A12" s="134"/>
      <c r="B12" s="134"/>
      <c r="C12" s="134"/>
      <c r="D12" s="134"/>
      <c r="E12" s="134"/>
    </row>
  </sheetData>
  <mergeCells count="2">
    <mergeCell ref="A1:E1"/>
    <mergeCell ref="A3:D3"/>
  </mergeCells>
  <hyperlinks>
    <hyperlink ref="A5" r:id="rId1" xr:uid="{00000000-0004-0000-1000-000000000000}"/>
    <hyperlink ref="A6" r:id="rId2" xr:uid="{00000000-0004-0000-1000-000001000000}"/>
    <hyperlink ref="A7" r:id="rId3" xr:uid="{00000000-0004-0000-1000-000002000000}"/>
    <hyperlink ref="A8" r:id="rId4" xr:uid="{00000000-0004-0000-1000-000003000000}"/>
    <hyperlink ref="A9" r:id="rId5" xr:uid="{00000000-0004-0000-1000-000004000000}"/>
    <hyperlink ref="A10" r:id="rId6" xr:uid="{00000000-0004-0000-1000-000005000000}"/>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dimension ref="A1:C83"/>
  <sheetViews>
    <sheetView workbookViewId="0"/>
  </sheetViews>
  <sheetFormatPr defaultRowHeight="15"/>
  <cols>
    <col min="1" max="1" width="34.7109375" bestFit="1" customWidth="1"/>
    <col min="2" max="2" width="3.5703125" customWidth="1"/>
    <col min="3" max="3" width="38.140625" bestFit="1" customWidth="1"/>
  </cols>
  <sheetData>
    <row r="1" spans="1:3">
      <c r="A1" t="s">
        <v>67</v>
      </c>
      <c r="C1" t="s">
        <v>96</v>
      </c>
    </row>
    <row r="2" spans="1:3">
      <c r="A2" t="s">
        <v>202</v>
      </c>
      <c r="C2" t="s">
        <v>202</v>
      </c>
    </row>
    <row r="3" spans="1:3">
      <c r="A3" s="26" t="s">
        <v>71</v>
      </c>
      <c r="C3" s="27" t="s">
        <v>97</v>
      </c>
    </row>
    <row r="4" spans="1:3">
      <c r="A4" s="26" t="s">
        <v>72</v>
      </c>
      <c r="C4" s="27" t="s">
        <v>98</v>
      </c>
    </row>
    <row r="5" spans="1:3">
      <c r="A5" s="26" t="s">
        <v>73</v>
      </c>
      <c r="C5" s="27" t="s">
        <v>99</v>
      </c>
    </row>
    <row r="6" spans="1:3">
      <c r="A6" s="26" t="s">
        <v>74</v>
      </c>
      <c r="C6" s="27" t="s">
        <v>100</v>
      </c>
    </row>
    <row r="7" spans="1:3">
      <c r="A7" s="26" t="s">
        <v>75</v>
      </c>
      <c r="C7" s="27" t="s">
        <v>101</v>
      </c>
    </row>
    <row r="8" spans="1:3">
      <c r="A8" s="26" t="s">
        <v>76</v>
      </c>
      <c r="C8" s="27" t="s">
        <v>102</v>
      </c>
    </row>
    <row r="9" spans="1:3">
      <c r="A9" s="26" t="s">
        <v>77</v>
      </c>
      <c r="C9" s="27" t="s">
        <v>103</v>
      </c>
    </row>
    <row r="10" spans="1:3">
      <c r="A10" s="26" t="s">
        <v>78</v>
      </c>
      <c r="C10" s="27" t="s">
        <v>104</v>
      </c>
    </row>
    <row r="11" spans="1:3">
      <c r="A11" s="28" t="s">
        <v>79</v>
      </c>
      <c r="C11" s="27" t="s">
        <v>105</v>
      </c>
    </row>
    <row r="12" spans="1:3">
      <c r="A12" s="27" t="s">
        <v>80</v>
      </c>
      <c r="C12" s="27" t="s">
        <v>106</v>
      </c>
    </row>
    <row r="13" spans="1:3">
      <c r="A13" s="27" t="s">
        <v>81</v>
      </c>
      <c r="C13" s="27" t="s">
        <v>107</v>
      </c>
    </row>
    <row r="14" spans="1:3">
      <c r="A14" s="27" t="s">
        <v>82</v>
      </c>
      <c r="C14" s="27" t="s">
        <v>108</v>
      </c>
    </row>
    <row r="15" spans="1:3">
      <c r="A15" s="27" t="s">
        <v>83</v>
      </c>
      <c r="C15" s="27" t="s">
        <v>109</v>
      </c>
    </row>
    <row r="16" spans="1:3">
      <c r="A16" s="27" t="s">
        <v>84</v>
      </c>
      <c r="C16" s="27" t="s">
        <v>110</v>
      </c>
    </row>
    <row r="17" spans="1:3">
      <c r="A17" s="28" t="s">
        <v>85</v>
      </c>
      <c r="C17" s="30" t="s">
        <v>111</v>
      </c>
    </row>
    <row r="18" spans="1:3">
      <c r="A18" s="27" t="s">
        <v>86</v>
      </c>
      <c r="C18" s="27" t="s">
        <v>112</v>
      </c>
    </row>
    <row r="19" spans="1:3">
      <c r="A19" s="27" t="s">
        <v>87</v>
      </c>
      <c r="C19" s="27" t="s">
        <v>113</v>
      </c>
    </row>
    <row r="20" spans="1:3">
      <c r="A20" s="27" t="s">
        <v>88</v>
      </c>
      <c r="C20" s="27" t="s">
        <v>114</v>
      </c>
    </row>
    <row r="21" spans="1:3">
      <c r="A21" s="27" t="s">
        <v>89</v>
      </c>
      <c r="C21" s="27" t="s">
        <v>115</v>
      </c>
    </row>
    <row r="22" spans="1:3">
      <c r="A22" s="27" t="s">
        <v>90</v>
      </c>
      <c r="C22" s="27" t="s">
        <v>116</v>
      </c>
    </row>
    <row r="23" spans="1:3">
      <c r="A23" s="28" t="s">
        <v>91</v>
      </c>
      <c r="C23" s="27" t="s">
        <v>117</v>
      </c>
    </row>
    <row r="24" spans="1:3">
      <c r="A24" s="27" t="s">
        <v>92</v>
      </c>
      <c r="C24" s="27" t="s">
        <v>118</v>
      </c>
    </row>
    <row r="25" spans="1:3">
      <c r="A25" s="27" t="s">
        <v>93</v>
      </c>
      <c r="C25" s="27" t="s">
        <v>119</v>
      </c>
    </row>
    <row r="26" spans="1:3">
      <c r="A26" s="27" t="s">
        <v>94</v>
      </c>
      <c r="C26" s="27" t="s">
        <v>120</v>
      </c>
    </row>
    <row r="27" spans="1:3" ht="15.75" thickBot="1">
      <c r="A27" s="29" t="s">
        <v>95</v>
      </c>
      <c r="C27" s="27" t="s">
        <v>121</v>
      </c>
    </row>
    <row r="28" spans="1:3" ht="15.75" thickBot="1">
      <c r="A28" s="32" t="s">
        <v>138</v>
      </c>
      <c r="C28" s="27" t="s">
        <v>122</v>
      </c>
    </row>
    <row r="29" spans="1:3" ht="15.75" thickBot="1">
      <c r="A29" s="32" t="s">
        <v>139</v>
      </c>
      <c r="C29" s="30" t="s">
        <v>123</v>
      </c>
    </row>
    <row r="30" spans="1:3" ht="15.75" thickBot="1">
      <c r="A30" s="32" t="s">
        <v>140</v>
      </c>
      <c r="C30" s="27" t="s">
        <v>124</v>
      </c>
    </row>
    <row r="31" spans="1:3" ht="15.75" thickBot="1">
      <c r="A31" s="32" t="s">
        <v>141</v>
      </c>
      <c r="C31" s="27" t="s">
        <v>125</v>
      </c>
    </row>
    <row r="32" spans="1:3" ht="15.75" thickBot="1">
      <c r="A32" s="32" t="s">
        <v>142</v>
      </c>
      <c r="C32" s="27" t="s">
        <v>126</v>
      </c>
    </row>
    <row r="33" spans="1:3" ht="15.75" thickBot="1">
      <c r="A33" s="32" t="s">
        <v>143</v>
      </c>
      <c r="C33" s="27" t="s">
        <v>127</v>
      </c>
    </row>
    <row r="34" spans="1:3" ht="15.75" thickBot="1">
      <c r="A34" s="32" t="s">
        <v>144</v>
      </c>
      <c r="C34" s="27" t="s">
        <v>128</v>
      </c>
    </row>
    <row r="35" spans="1:3">
      <c r="A35" s="34" t="s">
        <v>162</v>
      </c>
      <c r="C35" s="27" t="s">
        <v>129</v>
      </c>
    </row>
    <row r="36" spans="1:3">
      <c r="A36" s="34" t="s">
        <v>163</v>
      </c>
      <c r="C36" s="27" t="s">
        <v>130</v>
      </c>
    </row>
    <row r="37" spans="1:3">
      <c r="A37" s="34" t="s">
        <v>164</v>
      </c>
      <c r="C37" s="27" t="s">
        <v>131</v>
      </c>
    </row>
    <row r="38" spans="1:3">
      <c r="A38" s="34" t="s">
        <v>165</v>
      </c>
      <c r="C38" s="30" t="s">
        <v>132</v>
      </c>
    </row>
    <row r="39" spans="1:3">
      <c r="A39" s="35" t="s">
        <v>166</v>
      </c>
      <c r="C39" s="27" t="s">
        <v>133</v>
      </c>
    </row>
    <row r="40" spans="1:3" ht="15.75" thickBot="1">
      <c r="A40" s="36" t="s">
        <v>167</v>
      </c>
      <c r="C40" s="27" t="s">
        <v>134</v>
      </c>
    </row>
    <row r="41" spans="1:3">
      <c r="A41" s="35" t="s">
        <v>168</v>
      </c>
      <c r="C41" s="27" t="s">
        <v>135</v>
      </c>
    </row>
    <row r="42" spans="1:3">
      <c r="A42" s="37" t="s">
        <v>169</v>
      </c>
      <c r="C42" s="27" t="s">
        <v>136</v>
      </c>
    </row>
    <row r="43" spans="1:3" ht="15.75" thickBot="1">
      <c r="A43" s="37" t="s">
        <v>170</v>
      </c>
      <c r="C43" s="31" t="s">
        <v>137</v>
      </c>
    </row>
    <row r="44" spans="1:3" ht="15.75" thickBot="1">
      <c r="A44" s="37" t="s">
        <v>171</v>
      </c>
      <c r="C44" s="33" t="s">
        <v>145</v>
      </c>
    </row>
    <row r="45" spans="1:3" ht="15.75" thickBot="1">
      <c r="A45" s="38" t="s">
        <v>172</v>
      </c>
      <c r="C45" s="33" t="s">
        <v>146</v>
      </c>
    </row>
    <row r="46" spans="1:3" ht="15.75" thickBot="1">
      <c r="A46" s="34" t="s">
        <v>173</v>
      </c>
      <c r="C46" s="33" t="s">
        <v>147</v>
      </c>
    </row>
    <row r="47" spans="1:3" ht="15.75" thickBot="1">
      <c r="A47" s="34" t="s">
        <v>174</v>
      </c>
      <c r="C47" s="33" t="s">
        <v>148</v>
      </c>
    </row>
    <row r="48" spans="1:3" ht="15.75" thickBot="1">
      <c r="A48" s="35" t="s">
        <v>175</v>
      </c>
      <c r="C48" s="33" t="s">
        <v>149</v>
      </c>
    </row>
    <row r="49" spans="1:3" ht="15.75" thickBot="1">
      <c r="A49" s="34" t="s">
        <v>176</v>
      </c>
      <c r="C49" s="33" t="s">
        <v>150</v>
      </c>
    </row>
    <row r="50" spans="1:3" ht="15.75" thickBot="1">
      <c r="A50" s="34" t="s">
        <v>177</v>
      </c>
      <c r="C50" s="33" t="s">
        <v>151</v>
      </c>
    </row>
    <row r="51" spans="1:3" ht="15.75" thickBot="1">
      <c r="A51" s="34" t="s">
        <v>178</v>
      </c>
      <c r="C51" s="33" t="s">
        <v>152</v>
      </c>
    </row>
    <row r="52" spans="1:3" ht="15.75" thickBot="1">
      <c r="A52" s="34" t="s">
        <v>179</v>
      </c>
      <c r="C52" s="33" t="s">
        <v>153</v>
      </c>
    </row>
    <row r="53" spans="1:3" ht="15.75" thickBot="1">
      <c r="A53" s="43"/>
      <c r="C53" s="33" t="s">
        <v>154</v>
      </c>
    </row>
    <row r="54" spans="1:3" ht="15.75" thickBot="1">
      <c r="C54" s="32" t="s">
        <v>155</v>
      </c>
    </row>
    <row r="55" spans="1:3" ht="15.75" thickBot="1">
      <c r="C55" s="32" t="s">
        <v>156</v>
      </c>
    </row>
    <row r="56" spans="1:3" ht="15.75" thickBot="1">
      <c r="C56" s="32" t="s">
        <v>157</v>
      </c>
    </row>
    <row r="57" spans="1:3" ht="15.75" thickBot="1">
      <c r="C57" s="32" t="s">
        <v>158</v>
      </c>
    </row>
    <row r="58" spans="1:3" ht="15.75" thickBot="1">
      <c r="C58" s="32" t="s">
        <v>159</v>
      </c>
    </row>
    <row r="59" spans="1:3" ht="15.75" thickBot="1">
      <c r="C59" s="32" t="s">
        <v>160</v>
      </c>
    </row>
    <row r="60" spans="1:3" ht="15.75" thickBot="1">
      <c r="C60" s="32" t="s">
        <v>161</v>
      </c>
    </row>
    <row r="61" spans="1:3" ht="15.75" thickBot="1">
      <c r="C61" s="44" t="s">
        <v>180</v>
      </c>
    </row>
    <row r="62" spans="1:3" ht="15.75" thickBot="1">
      <c r="C62" s="44" t="s">
        <v>181</v>
      </c>
    </row>
    <row r="63" spans="1:3" ht="15.75" thickBot="1">
      <c r="C63" s="44" t="s">
        <v>182</v>
      </c>
    </row>
    <row r="64" spans="1:3" ht="15.75" thickBot="1">
      <c r="C64" s="44" t="s">
        <v>183</v>
      </c>
    </row>
    <row r="65" spans="3:3">
      <c r="C65" s="39" t="s">
        <v>184</v>
      </c>
    </row>
    <row r="66" spans="3:3">
      <c r="C66" s="40" t="s">
        <v>185</v>
      </c>
    </row>
    <row r="67" spans="3:3">
      <c r="C67" s="41" t="s">
        <v>186</v>
      </c>
    </row>
    <row r="68" spans="3:3">
      <c r="C68" s="40" t="s">
        <v>187</v>
      </c>
    </row>
    <row r="69" spans="3:3">
      <c r="C69" s="40" t="s">
        <v>188</v>
      </c>
    </row>
    <row r="70" spans="3:3">
      <c r="C70" s="45" t="s">
        <v>189</v>
      </c>
    </row>
    <row r="71" spans="3:3">
      <c r="C71" s="40" t="s">
        <v>190</v>
      </c>
    </row>
    <row r="72" spans="3:3">
      <c r="C72" s="42" t="s">
        <v>191</v>
      </c>
    </row>
    <row r="73" spans="3:3" ht="15.75" thickBot="1">
      <c r="C73" s="42" t="s">
        <v>192</v>
      </c>
    </row>
    <row r="74" spans="3:3" ht="15.75" thickBot="1">
      <c r="C74" s="44" t="s">
        <v>193</v>
      </c>
    </row>
    <row r="75" spans="3:3">
      <c r="C75" s="41" t="s">
        <v>194</v>
      </c>
    </row>
    <row r="76" spans="3:3">
      <c r="C76" s="40" t="s">
        <v>195</v>
      </c>
    </row>
    <row r="77" spans="3:3">
      <c r="C77" s="40" t="s">
        <v>196</v>
      </c>
    </row>
    <row r="78" spans="3:3">
      <c r="C78" s="45" t="s">
        <v>197</v>
      </c>
    </row>
    <row r="79" spans="3:3">
      <c r="C79" s="45" t="s">
        <v>198</v>
      </c>
    </row>
    <row r="80" spans="3:3">
      <c r="C80" s="40" t="s">
        <v>199</v>
      </c>
    </row>
    <row r="81" spans="3:3" ht="15.75" thickBot="1">
      <c r="C81" s="42" t="s">
        <v>200</v>
      </c>
    </row>
    <row r="82" spans="3:3" ht="15.75" thickBot="1">
      <c r="C82" s="44" t="s">
        <v>201</v>
      </c>
    </row>
    <row r="83" spans="3:3" ht="15.75" thickBot="1">
      <c r="C83" s="4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1C402-BC1D-48AD-8690-E7EC9B2E7A09}">
  <dimension ref="A1:N77"/>
  <sheetViews>
    <sheetView workbookViewId="0">
      <selection activeCell="K27" sqref="K27"/>
    </sheetView>
  </sheetViews>
  <sheetFormatPr defaultColWidth="8.85546875" defaultRowHeight="15"/>
  <cols>
    <col min="1" max="1" width="5.85546875" customWidth="1"/>
    <col min="2" max="2" width="38.28515625" style="174" customWidth="1"/>
    <col min="3" max="3" width="6.42578125" customWidth="1"/>
    <col min="4" max="4" width="7.5703125" customWidth="1"/>
    <col min="5" max="5" width="12.28515625" customWidth="1"/>
    <col min="6" max="6" width="13.28515625" customWidth="1"/>
    <col min="7" max="7" width="4.85546875" bestFit="1" customWidth="1"/>
    <col min="8" max="8" width="24.28515625" bestFit="1" customWidth="1"/>
    <col min="9" max="9" width="17.5703125" customWidth="1"/>
    <col min="10" max="10" width="12.28515625" bestFit="1" customWidth="1"/>
    <col min="11" max="11" width="11.140625" bestFit="1" customWidth="1"/>
    <col min="12" max="12" width="9.7109375" bestFit="1" customWidth="1"/>
  </cols>
  <sheetData>
    <row r="1" spans="1:10" ht="18.75">
      <c r="A1" s="320" t="str">
        <f>+'TB Links'!B2</f>
        <v>MB Auto Group</v>
      </c>
      <c r="B1" s="321"/>
      <c r="C1" s="321"/>
      <c r="D1" s="321"/>
      <c r="E1" s="321"/>
      <c r="F1" s="321"/>
      <c r="G1" s="321"/>
      <c r="H1" s="321"/>
      <c r="I1" s="322"/>
    </row>
    <row r="2" spans="1:10" ht="19.5" thickBot="1">
      <c r="A2" s="323" t="s">
        <v>368</v>
      </c>
      <c r="B2" s="324"/>
      <c r="C2" s="324"/>
      <c r="D2" s="324"/>
      <c r="E2" s="324"/>
      <c r="F2" s="324"/>
      <c r="G2" s="324"/>
      <c r="H2" s="324"/>
      <c r="I2" s="325"/>
    </row>
    <row r="3" spans="1:10">
      <c r="A3" s="222"/>
      <c r="B3" s="222"/>
      <c r="C3" s="222"/>
      <c r="D3" s="222"/>
      <c r="E3" s="222"/>
      <c r="F3" s="222"/>
      <c r="G3" s="222"/>
      <c r="H3" s="222"/>
      <c r="I3" s="222"/>
    </row>
    <row r="4" spans="1:10">
      <c r="E4" s="223"/>
      <c r="F4" s="224"/>
    </row>
    <row r="5" spans="1:10" ht="30.75" thickBot="1">
      <c r="A5" s="177"/>
      <c r="B5" s="180"/>
      <c r="C5" s="177"/>
      <c r="D5" s="177"/>
      <c r="E5" s="271" t="str">
        <f>+'TB Links'!C1</f>
        <v>Mercedes</v>
      </c>
      <c r="F5" s="271" t="s">
        <v>300</v>
      </c>
      <c r="G5" s="182"/>
      <c r="H5" s="199" t="s">
        <v>476</v>
      </c>
      <c r="I5" s="199" t="s">
        <v>363</v>
      </c>
    </row>
    <row r="6" spans="1:10">
      <c r="A6" s="185"/>
      <c r="B6" s="186"/>
      <c r="C6" s="185"/>
      <c r="D6" s="185"/>
      <c r="E6" s="182"/>
      <c r="F6" s="182"/>
      <c r="G6" s="182"/>
      <c r="H6" s="187"/>
    </row>
    <row r="7" spans="1:10" ht="15" hidden="1" customHeight="1">
      <c r="A7" s="153"/>
      <c r="B7" s="179"/>
      <c r="C7" s="153"/>
      <c r="D7" s="153"/>
      <c r="F7" s="216" t="s">
        <v>367</v>
      </c>
      <c r="H7" s="188">
        <v>0</v>
      </c>
      <c r="I7" s="190" t="s">
        <v>364</v>
      </c>
    </row>
    <row r="8" spans="1:10">
      <c r="A8" s="153"/>
      <c r="B8" s="179"/>
      <c r="C8" s="153"/>
      <c r="D8" s="153"/>
      <c r="F8" s="216" t="s">
        <v>366</v>
      </c>
      <c r="H8" s="188">
        <v>0</v>
      </c>
      <c r="I8" s="190" t="s">
        <v>364</v>
      </c>
    </row>
    <row r="9" spans="1:10" s="146" customFormat="1">
      <c r="B9" s="326">
        <v>2024</v>
      </c>
      <c r="C9" s="326"/>
      <c r="D9" s="326"/>
      <c r="E9" s="326"/>
      <c r="F9" s="326"/>
      <c r="H9" s="326">
        <f>+B9</f>
        <v>2024</v>
      </c>
      <c r="I9" s="326"/>
    </row>
    <row r="10" spans="1:10" s="146" customFormat="1">
      <c r="B10" s="181" t="s">
        <v>337</v>
      </c>
      <c r="E10" s="266" t="e">
        <f>'Summary of Data'!C16</f>
        <v>#VALUE!</v>
      </c>
      <c r="F10" s="163" t="e">
        <f>SUM(E10:E10)</f>
        <v>#VALUE!</v>
      </c>
      <c r="G10" s="172"/>
      <c r="H10" s="163" t="e">
        <f>F10*(1-$H$7)</f>
        <v>#VALUE!</v>
      </c>
      <c r="J10" s="299"/>
    </row>
    <row r="11" spans="1:10">
      <c r="B11" s="174" t="s">
        <v>339</v>
      </c>
      <c r="E11" s="163" t="e">
        <f>'Summary of Data'!C17</f>
        <v>#VALUE!</v>
      </c>
      <c r="F11" s="163" t="e">
        <f>SUM(E11:E11)</f>
        <v>#VALUE!</v>
      </c>
      <c r="G11" s="172"/>
      <c r="H11" s="192" t="e">
        <f>F11*(1-$H$7)</f>
        <v>#VALUE!</v>
      </c>
    </row>
    <row r="12" spans="1:10">
      <c r="B12" s="174" t="s">
        <v>338</v>
      </c>
      <c r="E12" s="260" t="e">
        <f>SUM(E10:E11)</f>
        <v>#VALUE!</v>
      </c>
      <c r="F12" s="260" t="e">
        <f t="shared" ref="F12" si="0">SUM(F10:F11)</f>
        <v>#VALUE!</v>
      </c>
      <c r="G12" s="172"/>
      <c r="H12" s="163" t="e">
        <f t="shared" ref="H12" si="1">SUM(H10:H11)</f>
        <v>#VALUE!</v>
      </c>
    </row>
    <row r="13" spans="1:10">
      <c r="E13" s="163"/>
      <c r="F13" s="163"/>
      <c r="G13" s="172"/>
      <c r="H13" s="163"/>
    </row>
    <row r="14" spans="1:10">
      <c r="B14" s="174" t="s">
        <v>341</v>
      </c>
      <c r="E14" s="183" t="e">
        <f>+E11/E12</f>
        <v>#VALUE!</v>
      </c>
      <c r="F14" s="183" t="e">
        <f>+F11/F12</f>
        <v>#VALUE!</v>
      </c>
      <c r="G14" s="183"/>
      <c r="H14" s="208" t="e">
        <f>AVERAGE(E14:E14)</f>
        <v>#VALUE!</v>
      </c>
      <c r="I14" s="189"/>
    </row>
    <row r="15" spans="1:10">
      <c r="E15" s="172"/>
      <c r="F15" s="172"/>
      <c r="G15" s="172"/>
      <c r="H15" s="227"/>
      <c r="I15" s="189"/>
    </row>
    <row r="16" spans="1:10">
      <c r="B16" s="174" t="s">
        <v>338</v>
      </c>
      <c r="E16" s="163" t="e">
        <f>E12</f>
        <v>#VALUE!</v>
      </c>
      <c r="F16" s="163" t="e">
        <f>SUM(E16:E16)</f>
        <v>#VALUE!</v>
      </c>
      <c r="G16" s="172"/>
      <c r="H16" s="227" t="e">
        <f>H12</f>
        <v>#VALUE!</v>
      </c>
      <c r="I16" s="189"/>
    </row>
    <row r="17" spans="2:14" ht="45">
      <c r="B17" s="226" t="s">
        <v>348</v>
      </c>
      <c r="C17" s="235">
        <v>0.67130000000000001</v>
      </c>
      <c r="D17" s="217"/>
      <c r="E17" s="172" t="e">
        <f>-'Summary of Data'!C20*$C$17</f>
        <v>#VALUE!</v>
      </c>
      <c r="F17" s="172" t="e">
        <f>SUM(E17:E17)</f>
        <v>#VALUE!</v>
      </c>
      <c r="G17" s="172"/>
      <c r="H17" s="209" t="e">
        <f>F17*(1-$H$7)</f>
        <v>#VALUE!</v>
      </c>
    </row>
    <row r="18" spans="2:14">
      <c r="B18" s="174" t="s">
        <v>359</v>
      </c>
      <c r="C18" s="174"/>
      <c r="D18" s="174"/>
      <c r="E18" s="228" t="e">
        <f>-'Summary of Data'!C22</f>
        <v>#VALUE!</v>
      </c>
      <c r="F18" s="228" t="e">
        <f>SUM(E18:E18)</f>
        <v>#VALUE!</v>
      </c>
      <c r="G18" s="172"/>
      <c r="H18" s="228" t="e">
        <f>F18*(1-$H$7)</f>
        <v>#VALUE!</v>
      </c>
    </row>
    <row r="19" spans="2:14">
      <c r="B19" t="s">
        <v>349</v>
      </c>
      <c r="E19" s="163" t="e">
        <f>+E12+E17+E18</f>
        <v>#VALUE!</v>
      </c>
      <c r="F19" s="163" t="e">
        <f>SUM(F16:F18)</f>
        <v>#VALUE!</v>
      </c>
      <c r="G19" s="172"/>
      <c r="H19" s="209" t="e">
        <f>+H12+H17+H18</f>
        <v>#VALUE!</v>
      </c>
    </row>
    <row r="20" spans="2:14">
      <c r="E20" s="163"/>
      <c r="F20" s="163"/>
      <c r="G20" s="172"/>
      <c r="H20" s="163"/>
    </row>
    <row r="21" spans="2:14">
      <c r="B21" s="326">
        <v>2023</v>
      </c>
      <c r="C21" s="326"/>
      <c r="D21" s="326"/>
      <c r="E21" s="326"/>
      <c r="F21" s="326"/>
      <c r="G21" s="172"/>
      <c r="H21" s="326">
        <f>+B21</f>
        <v>2023</v>
      </c>
      <c r="I21" s="326"/>
    </row>
    <row r="22" spans="2:14">
      <c r="B22" s="181" t="s">
        <v>337</v>
      </c>
      <c r="C22" s="146"/>
      <c r="D22" s="146"/>
      <c r="E22" s="163" t="e">
        <f>+'Summary of Data'!E7</f>
        <v>#VALUE!</v>
      </c>
      <c r="F22" s="163" t="e">
        <f>SUM(E22:E22)</f>
        <v>#VALUE!</v>
      </c>
      <c r="G22" s="172"/>
      <c r="H22" s="163" t="e">
        <f>F22*(1-$H$7)</f>
        <v>#VALUE!</v>
      </c>
      <c r="I22" s="146"/>
      <c r="L22" s="146"/>
    </row>
    <row r="23" spans="2:14">
      <c r="B23" s="174" t="s">
        <v>339</v>
      </c>
      <c r="E23" s="192" t="e">
        <f>+'Summary of Data'!E10</f>
        <v>#VALUE!</v>
      </c>
      <c r="F23" s="192" t="e">
        <f>SUM(E23:E23)</f>
        <v>#VALUE!</v>
      </c>
      <c r="G23" s="172"/>
      <c r="H23" s="192" t="e">
        <f>F23*(1-$H$7)</f>
        <v>#VALUE!</v>
      </c>
    </row>
    <row r="24" spans="2:14">
      <c r="B24" s="174" t="s">
        <v>338</v>
      </c>
      <c r="E24" s="163" t="e">
        <f>SUM(E22:E23)</f>
        <v>#VALUE!</v>
      </c>
      <c r="F24" s="163" t="e">
        <f t="shared" ref="F24" si="2">SUM(F22:F23)</f>
        <v>#VALUE!</v>
      </c>
      <c r="G24" s="172"/>
      <c r="H24" s="163" t="e">
        <f t="shared" ref="H24" si="3">SUM(H22:H23)</f>
        <v>#VALUE!</v>
      </c>
    </row>
    <row r="25" spans="2:14">
      <c r="E25" s="163"/>
      <c r="F25" s="163"/>
      <c r="G25" s="172"/>
      <c r="H25" s="163"/>
    </row>
    <row r="26" spans="2:14">
      <c r="B26" s="174" t="s">
        <v>341</v>
      </c>
      <c r="E26" s="183" t="e">
        <f>+E23/E24</f>
        <v>#VALUE!</v>
      </c>
      <c r="F26" s="183" t="e">
        <f>+F23/F24</f>
        <v>#VALUE!</v>
      </c>
      <c r="G26" s="183"/>
      <c r="H26" s="208" t="e">
        <f>AVERAGE(E26:E26)</f>
        <v>#VALUE!</v>
      </c>
      <c r="I26" s="189"/>
    </row>
    <row r="27" spans="2:14">
      <c r="E27" s="172"/>
      <c r="F27" s="172"/>
      <c r="G27" s="172"/>
      <c r="H27" s="227"/>
      <c r="I27" s="189"/>
    </row>
    <row r="28" spans="2:14">
      <c r="B28" s="174" t="s">
        <v>338</v>
      </c>
      <c r="E28" s="163" t="e">
        <f>E24</f>
        <v>#VALUE!</v>
      </c>
      <c r="F28" s="163" t="e">
        <f>SUM(E28:E28)</f>
        <v>#VALUE!</v>
      </c>
      <c r="G28" s="172"/>
      <c r="H28" s="163" t="e">
        <f t="shared" ref="H28" si="4">H24</f>
        <v>#VALUE!</v>
      </c>
      <c r="I28" s="189"/>
    </row>
    <row r="29" spans="2:14" ht="45">
      <c r="B29" s="226" t="s">
        <v>348</v>
      </c>
      <c r="C29" s="235">
        <f>+C17</f>
        <v>0.67130000000000001</v>
      </c>
      <c r="D29" s="218"/>
      <c r="E29" s="172" t="e">
        <f>-'Summary of Data'!E20*$C$29</f>
        <v>#VALUE!</v>
      </c>
      <c r="F29" s="172" t="e">
        <f>SUM(E29:E29)</f>
        <v>#VALUE!</v>
      </c>
      <c r="G29" s="172"/>
      <c r="H29" s="209" t="e">
        <f>F29*(1-$H$7)</f>
        <v>#VALUE!</v>
      </c>
    </row>
    <row r="30" spans="2:14" ht="14.45" customHeight="1">
      <c r="B30" s="174" t="s">
        <v>359</v>
      </c>
      <c r="C30" s="174"/>
      <c r="D30" s="174"/>
      <c r="E30" s="228" t="e">
        <f>-'Summary of Data'!E22</f>
        <v>#VALUE!</v>
      </c>
      <c r="F30" s="228" t="e">
        <f>SUM(E30:E30)</f>
        <v>#VALUE!</v>
      </c>
      <c r="G30" s="209"/>
      <c r="H30" s="228" t="e">
        <f>F30*(1-$H$7)</f>
        <v>#VALUE!</v>
      </c>
      <c r="J30" s="1"/>
      <c r="K30" s="1"/>
      <c r="L30" s="1"/>
      <c r="M30" s="1"/>
      <c r="N30" s="1"/>
    </row>
    <row r="31" spans="2:14">
      <c r="B31" t="s">
        <v>349</v>
      </c>
      <c r="E31" s="163" t="e">
        <f>+E24+E29+E30</f>
        <v>#VALUE!</v>
      </c>
      <c r="F31" s="163" t="e">
        <f>SUM(F28:F30)</f>
        <v>#VALUE!</v>
      </c>
      <c r="G31" s="172"/>
      <c r="H31" s="209" t="e">
        <f>+H24+H29+H30</f>
        <v>#VALUE!</v>
      </c>
    </row>
    <row r="32" spans="2:14">
      <c r="E32" s="163"/>
      <c r="F32" s="163"/>
      <c r="G32" s="172"/>
      <c r="H32" s="163"/>
    </row>
    <row r="33" spans="2:12">
      <c r="B33" s="326">
        <v>2022</v>
      </c>
      <c r="C33" s="326"/>
      <c r="D33" s="326"/>
      <c r="E33" s="326"/>
      <c r="F33" s="326"/>
      <c r="G33" s="172"/>
      <c r="H33" s="326">
        <f>+B33</f>
        <v>2022</v>
      </c>
      <c r="I33" s="326"/>
    </row>
    <row r="34" spans="2:12">
      <c r="B34" s="181" t="s">
        <v>337</v>
      </c>
      <c r="C34" s="146"/>
      <c r="D34" s="146"/>
      <c r="E34" s="172" t="e">
        <f>'Summary of Data'!G7</f>
        <v>#VALUE!</v>
      </c>
      <c r="F34" s="163" t="e">
        <f>SUM(E34:E34)</f>
        <v>#VALUE!</v>
      </c>
      <c r="G34" s="172"/>
      <c r="H34" s="172" t="e">
        <f>F34*(1-$H$7)</f>
        <v>#VALUE!</v>
      </c>
      <c r="I34" s="146"/>
    </row>
    <row r="35" spans="2:12">
      <c r="B35" s="174" t="s">
        <v>339</v>
      </c>
      <c r="E35" s="192" t="e">
        <f>'Summary of Data'!G10</f>
        <v>#VALUE!</v>
      </c>
      <c r="F35" s="192" t="e">
        <f>SUM(E35:E35)</f>
        <v>#VALUE!</v>
      </c>
      <c r="G35" s="172"/>
      <c r="H35" s="228" t="e">
        <f>F35*(1-$H$7)</f>
        <v>#VALUE!</v>
      </c>
    </row>
    <row r="36" spans="2:12">
      <c r="B36" s="174" t="s">
        <v>338</v>
      </c>
      <c r="E36" s="163" t="e">
        <f>SUM(E34:E35)</f>
        <v>#VALUE!</v>
      </c>
      <c r="F36" s="163" t="e">
        <f>SUM(F34:F35)</f>
        <v>#VALUE!</v>
      </c>
      <c r="G36" s="172"/>
      <c r="H36" s="172" t="e">
        <f t="shared" ref="H36" si="5">SUM(H34:H35)</f>
        <v>#VALUE!</v>
      </c>
      <c r="L36" s="146"/>
    </row>
    <row r="37" spans="2:12">
      <c r="E37" s="172"/>
      <c r="F37" s="172"/>
      <c r="G37" s="172"/>
      <c r="H37" s="172"/>
    </row>
    <row r="38" spans="2:12">
      <c r="B38" s="174" t="s">
        <v>341</v>
      </c>
      <c r="E38" s="296" t="e">
        <f>+E35/E36</f>
        <v>#VALUE!</v>
      </c>
      <c r="F38" s="183" t="e">
        <f>+F35/F36</f>
        <v>#VALUE!</v>
      </c>
      <c r="G38" s="183"/>
      <c r="H38" s="294" t="e">
        <f>AVERAGE(E38:E38)</f>
        <v>#VALUE!</v>
      </c>
      <c r="I38" s="189"/>
    </row>
    <row r="39" spans="2:12">
      <c r="E39" s="172"/>
      <c r="F39" s="172"/>
      <c r="G39" s="172"/>
      <c r="H39" s="295"/>
      <c r="I39" s="189"/>
    </row>
    <row r="40" spans="2:12">
      <c r="B40" s="174" t="s">
        <v>338</v>
      </c>
      <c r="E40" s="163" t="e">
        <f>E36</f>
        <v>#VALUE!</v>
      </c>
      <c r="F40" s="163" t="e">
        <f>SUM(E40:E40)</f>
        <v>#VALUE!</v>
      </c>
      <c r="G40" s="172"/>
      <c r="H40" s="172" t="e">
        <f t="shared" ref="H40" si="6">H36</f>
        <v>#VALUE!</v>
      </c>
      <c r="I40" s="189"/>
    </row>
    <row r="41" spans="2:12" ht="45">
      <c r="B41" s="226" t="s">
        <v>348</v>
      </c>
      <c r="C41" s="235">
        <f>+C29</f>
        <v>0.67130000000000001</v>
      </c>
      <c r="D41" s="218"/>
      <c r="E41" s="172">
        <f>-'Summary of Data'!E32*$C$29</f>
        <v>0</v>
      </c>
      <c r="F41" s="172">
        <f>SUM(E41:E41)</f>
        <v>0</v>
      </c>
      <c r="G41" s="172"/>
      <c r="H41" s="209">
        <f>F41*(1-$H$7)</f>
        <v>0</v>
      </c>
    </row>
    <row r="42" spans="2:12" ht="14.45" customHeight="1">
      <c r="B42" s="174" t="s">
        <v>359</v>
      </c>
      <c r="C42" s="174"/>
      <c r="D42" s="174"/>
      <c r="E42" s="228">
        <f>-'Summary of Data'!E34</f>
        <v>0</v>
      </c>
      <c r="F42" s="228">
        <f>SUM(E42:E42)</f>
        <v>0</v>
      </c>
      <c r="G42" s="172"/>
      <c r="H42" s="228">
        <f>F42*(1-$H$7)</f>
        <v>0</v>
      </c>
    </row>
    <row r="43" spans="2:12">
      <c r="B43" t="s">
        <v>349</v>
      </c>
      <c r="E43" s="163" t="e">
        <f>+E36+E41+E42</f>
        <v>#VALUE!</v>
      </c>
      <c r="F43" s="163" t="e">
        <f>SUM(F40:F42)</f>
        <v>#VALUE!</v>
      </c>
      <c r="G43" s="172"/>
      <c r="H43" s="209" t="e">
        <f>+H36+H41+H42</f>
        <v>#VALUE!</v>
      </c>
    </row>
    <row r="44" spans="2:12" ht="15.75" thickBot="1">
      <c r="B44"/>
      <c r="E44" s="1"/>
      <c r="F44" s="215"/>
      <c r="G44" s="1"/>
      <c r="H44" s="191"/>
    </row>
    <row r="45" spans="2:12">
      <c r="B45" s="180" t="s">
        <v>365</v>
      </c>
      <c r="C45" s="175"/>
      <c r="D45" s="175"/>
      <c r="E45" s="176"/>
      <c r="F45" s="176"/>
      <c r="G45" s="184"/>
      <c r="H45" s="219" t="s">
        <v>402</v>
      </c>
      <c r="I45" s="220"/>
    </row>
    <row r="46" spans="2:12">
      <c r="B46" s="174" t="s">
        <v>352</v>
      </c>
      <c r="C46" s="212" t="s">
        <v>357</v>
      </c>
      <c r="D46" s="212" t="s">
        <v>358</v>
      </c>
      <c r="E46" s="1"/>
      <c r="F46" s="1"/>
      <c r="G46" s="1"/>
      <c r="H46" s="200"/>
      <c r="I46" s="201"/>
    </row>
    <row r="47" spans="2:12">
      <c r="B47" s="197" t="s">
        <v>381</v>
      </c>
      <c r="C47" s="241">
        <v>0.4</v>
      </c>
      <c r="D47" s="242" t="e">
        <f>+H14</f>
        <v>#VALUE!</v>
      </c>
      <c r="E47" s="172" t="e">
        <f>+E19*$D47*$C47</f>
        <v>#VALUE!</v>
      </c>
      <c r="F47" s="172" t="e">
        <f>+F19*$D47*$C47</f>
        <v>#VALUE!</v>
      </c>
      <c r="G47" s="1"/>
      <c r="H47" s="202" t="e">
        <f>+H19*$D$47*$C$47</f>
        <v>#VALUE!</v>
      </c>
      <c r="I47" s="201"/>
      <c r="J47" s="151"/>
      <c r="K47" s="144"/>
    </row>
    <row r="48" spans="2:12">
      <c r="B48" s="197" t="s">
        <v>382</v>
      </c>
      <c r="C48" s="241">
        <v>0.25</v>
      </c>
      <c r="D48" s="242" t="e">
        <f>D47</f>
        <v>#VALUE!</v>
      </c>
      <c r="E48" s="172" t="e">
        <f>+E19*$D48*$C48</f>
        <v>#VALUE!</v>
      </c>
      <c r="F48" s="172" t="e">
        <f>+F19*$D48*$C48</f>
        <v>#VALUE!</v>
      </c>
      <c r="G48" s="1"/>
      <c r="H48" s="203" t="e">
        <f>+H19*$D$48*$C$48</f>
        <v>#VALUE!</v>
      </c>
      <c r="I48" s="201"/>
    </row>
    <row r="49" spans="2:12">
      <c r="B49" s="197" t="s">
        <v>383</v>
      </c>
      <c r="C49" s="241">
        <v>0.15</v>
      </c>
      <c r="D49" s="242" t="e">
        <f>D48</f>
        <v>#VALUE!</v>
      </c>
      <c r="E49" s="172" t="e">
        <f>+E19*$D49*$C49</f>
        <v>#VALUE!</v>
      </c>
      <c r="F49" s="172" t="e">
        <f>+F19*$D49*$C49</f>
        <v>#VALUE!</v>
      </c>
      <c r="G49" s="1"/>
      <c r="H49" s="203" t="e">
        <f>+H19*$D$49*$C$49</f>
        <v>#VALUE!</v>
      </c>
      <c r="I49" s="201"/>
    </row>
    <row r="50" spans="2:12">
      <c r="B50" s="197" t="s">
        <v>384</v>
      </c>
      <c r="C50" s="243">
        <v>0.25</v>
      </c>
      <c r="D50" s="244" t="e">
        <f>+H26</f>
        <v>#VALUE!</v>
      </c>
      <c r="E50" s="172" t="e">
        <f>+E31*$D50*$C50</f>
        <v>#VALUE!</v>
      </c>
      <c r="F50" s="172" t="e">
        <f>+F31*$D50*$C50</f>
        <v>#VALUE!</v>
      </c>
      <c r="G50" s="1"/>
      <c r="H50" s="203" t="e">
        <f>+H31*$D$50*$C$50</f>
        <v>#VALUE!</v>
      </c>
      <c r="I50" s="201"/>
      <c r="J50" s="146"/>
      <c r="K50" s="144"/>
    </row>
    <row r="51" spans="2:12">
      <c r="B51" s="197" t="s">
        <v>386</v>
      </c>
      <c r="C51" s="243">
        <v>0.15</v>
      </c>
      <c r="D51" s="244" t="e">
        <f>D50</f>
        <v>#VALUE!</v>
      </c>
      <c r="E51" s="172" t="e">
        <f>+E31*$D51*$C51</f>
        <v>#VALUE!</v>
      </c>
      <c r="F51" s="172" t="e">
        <f>+F31*$D51*$C51</f>
        <v>#VALUE!</v>
      </c>
      <c r="G51" s="1"/>
      <c r="H51" s="203" t="e">
        <f>+H31*$D$51*$C$51</f>
        <v>#VALUE!</v>
      </c>
      <c r="I51" s="201"/>
    </row>
    <row r="52" spans="2:12">
      <c r="B52" s="197" t="s">
        <v>387</v>
      </c>
      <c r="C52" s="245">
        <v>0.15</v>
      </c>
      <c r="D52" s="246" t="e">
        <f>+H38</f>
        <v>#VALUE!</v>
      </c>
      <c r="E52" s="228" t="e">
        <f>+E43*$D52*$C52</f>
        <v>#VALUE!</v>
      </c>
      <c r="F52" s="228" t="e">
        <f>+F43*$D52*$C52</f>
        <v>#VALUE!</v>
      </c>
      <c r="G52" s="1"/>
      <c r="H52" s="204" t="e">
        <f>+H31*$D$51*$C$51</f>
        <v>#VALUE!</v>
      </c>
      <c r="I52" s="255" t="s">
        <v>390</v>
      </c>
      <c r="J52" t="s">
        <v>391</v>
      </c>
      <c r="K52" s="144"/>
    </row>
    <row r="53" spans="2:12">
      <c r="B53" s="211" t="s">
        <v>360</v>
      </c>
      <c r="E53" s="1" t="e">
        <f>SUM(E47:E52)</f>
        <v>#VALUE!</v>
      </c>
      <c r="F53" s="1" t="e">
        <f t="shared" ref="F53" si="7">SUM(F47:F52)</f>
        <v>#VALUE!</v>
      </c>
      <c r="G53" s="1"/>
      <c r="H53" s="205" t="e">
        <f>SUM(H47:H52)</f>
        <v>#VALUE!</v>
      </c>
      <c r="I53" s="257" t="e">
        <f>H53/H12</f>
        <v>#VALUE!</v>
      </c>
      <c r="J53" t="s">
        <v>392</v>
      </c>
    </row>
    <row r="54" spans="2:12">
      <c r="B54"/>
      <c r="E54" s="1"/>
      <c r="F54" s="253"/>
      <c r="G54" s="1"/>
      <c r="H54" s="205"/>
      <c r="I54" s="201"/>
    </row>
    <row r="55" spans="2:12">
      <c r="B55" s="174" t="s">
        <v>361</v>
      </c>
      <c r="D55" s="234">
        <v>0.24</v>
      </c>
      <c r="E55" s="198" t="e">
        <f t="shared" ref="E55:F55" si="8">-E53*$D$55</f>
        <v>#VALUE!</v>
      </c>
      <c r="F55" s="198" t="e">
        <f t="shared" si="8"/>
        <v>#VALUE!</v>
      </c>
      <c r="G55" s="1"/>
      <c r="H55" s="206" t="e">
        <f>-H53*$D$55</f>
        <v>#VALUE!</v>
      </c>
      <c r="I55" s="201"/>
    </row>
    <row r="56" spans="2:12">
      <c r="E56" s="1"/>
      <c r="F56" s="4"/>
      <c r="G56" s="4"/>
      <c r="H56" s="200"/>
      <c r="I56" s="201"/>
    </row>
    <row r="57" spans="2:12" ht="15.75" thickBot="1">
      <c r="B57" s="123" t="s">
        <v>362</v>
      </c>
      <c r="E57" s="214" t="e">
        <f t="shared" ref="E57" si="9">SUM(E53:E55)</f>
        <v>#VALUE!</v>
      </c>
      <c r="F57" s="213" t="e">
        <f>SUM(F53:F55)</f>
        <v>#VALUE!</v>
      </c>
      <c r="G57" s="1"/>
      <c r="H57" s="207" t="e">
        <f>SUM(H53:H55)</f>
        <v>#VALUE!</v>
      </c>
      <c r="I57" s="256" t="e">
        <f>H57/H12</f>
        <v>#VALUE!</v>
      </c>
    </row>
    <row r="58" spans="2:12" ht="16.5" thickTop="1" thickBot="1">
      <c r="B58" s="259" t="s">
        <v>385</v>
      </c>
      <c r="E58" s="214" t="e">
        <f>ROUND(E57,-3)</f>
        <v>#VALUE!</v>
      </c>
      <c r="F58" s="213" t="e">
        <f>SUM(E58:E58)</f>
        <v>#VALUE!</v>
      </c>
      <c r="G58" s="261" t="s">
        <v>401</v>
      </c>
      <c r="H58" s="252"/>
    </row>
    <row r="59" spans="2:12" ht="15.75" thickTop="1">
      <c r="B59"/>
      <c r="D59" s="236" t="s">
        <v>388</v>
      </c>
      <c r="E59" s="253"/>
      <c r="F59" s="253" t="e">
        <f>F58/F11</f>
        <v>#VALUE!</v>
      </c>
      <c r="G59" s="1"/>
      <c r="H59" s="237"/>
    </row>
    <row r="60" spans="2:12">
      <c r="E60" s="1"/>
      <c r="F60" s="1"/>
      <c r="G60" s="1"/>
    </row>
    <row r="61" spans="2:12">
      <c r="B61" s="258" t="s">
        <v>475</v>
      </c>
      <c r="C61" s="247"/>
      <c r="D61" s="247"/>
      <c r="E61" s="248"/>
      <c r="F61" s="121"/>
      <c r="G61" s="254" t="s">
        <v>389</v>
      </c>
      <c r="K61" s="232"/>
      <c r="L61" s="231"/>
    </row>
    <row r="62" spans="2:12">
      <c r="B62" s="174" t="s">
        <v>378</v>
      </c>
      <c r="E62" s="1" t="e">
        <f>ROUND((E47+E50+E52)+(((E47+E50+E52)/E53)*E55),-3)</f>
        <v>#VALUE!</v>
      </c>
      <c r="F62" s="1" t="e">
        <f>SUM(E62:E62)</f>
        <v>#VALUE!</v>
      </c>
      <c r="G62" s="238" t="e">
        <f>F62/F64</f>
        <v>#VALUE!</v>
      </c>
      <c r="K62" s="232"/>
      <c r="L62" s="231"/>
    </row>
    <row r="63" spans="2:12">
      <c r="B63" s="174" t="s">
        <v>379</v>
      </c>
      <c r="E63" s="198" t="e">
        <f>E58-E62</f>
        <v>#VALUE!</v>
      </c>
      <c r="F63" s="198" t="e">
        <f>SUM(E63:E63)</f>
        <v>#VALUE!</v>
      </c>
      <c r="G63" s="238" t="e">
        <f>F63/F64</f>
        <v>#VALUE!</v>
      </c>
      <c r="K63" s="232"/>
      <c r="L63" s="231"/>
    </row>
    <row r="64" spans="2:12" ht="15.75" thickBot="1">
      <c r="B64" s="123" t="s">
        <v>362</v>
      </c>
      <c r="E64" s="214" t="e">
        <f>SUM(E62:E63)</f>
        <v>#VALUE!</v>
      </c>
      <c r="F64" s="213" t="e">
        <f>SUM(F62:F63)</f>
        <v>#VALUE!</v>
      </c>
      <c r="G64" s="1"/>
      <c r="K64" s="232"/>
      <c r="L64" s="231"/>
    </row>
    <row r="65" spans="1:12" ht="15.75" thickTop="1">
      <c r="C65" s="212"/>
      <c r="D65" s="236"/>
      <c r="E65" s="237"/>
      <c r="F65" s="237"/>
      <c r="G65" s="1"/>
      <c r="K65" s="232"/>
      <c r="L65" s="231"/>
    </row>
    <row r="66" spans="1:12">
      <c r="B66" s="273" t="s">
        <v>416</v>
      </c>
      <c r="E66" s="1" t="e">
        <f>ROUND(((E64/$F$64)*$F$66),-3)</f>
        <v>#VALUE!</v>
      </c>
      <c r="F66" s="1" t="e">
        <f>ROUND((H31*0.08),-3)</f>
        <v>#VALUE!</v>
      </c>
      <c r="G66" s="1"/>
      <c r="H66" s="232"/>
      <c r="K66" s="232"/>
      <c r="L66" s="231"/>
    </row>
    <row r="67" spans="1:12">
      <c r="B67" s="274" t="s">
        <v>417</v>
      </c>
      <c r="E67" s="264" t="e">
        <f>+E64-E66</f>
        <v>#VALUE!</v>
      </c>
      <c r="F67" s="1" t="e">
        <f>SUM(E67:E67)</f>
        <v>#VALUE!</v>
      </c>
      <c r="G67" s="1"/>
      <c r="H67" s="232"/>
      <c r="K67" s="232"/>
      <c r="L67" s="231"/>
    </row>
    <row r="68" spans="1:12" ht="15.75" thickBot="1">
      <c r="B68" s="218"/>
      <c r="E68" s="272" t="e">
        <f t="shared" ref="E68" si="10">SUM(E66:E67)</f>
        <v>#VALUE!</v>
      </c>
      <c r="F68" s="272" t="e">
        <f>SUM(E68:E68)</f>
        <v>#VALUE!</v>
      </c>
      <c r="G68" s="1"/>
      <c r="H68" s="232"/>
      <c r="K68" s="232"/>
      <c r="L68" s="231"/>
    </row>
    <row r="69" spans="1:12" ht="15.75" thickTop="1">
      <c r="B69"/>
    </row>
    <row r="70" spans="1:12">
      <c r="B70" s="277" t="s">
        <v>418</v>
      </c>
      <c r="E70" s="1"/>
      <c r="F70" s="1"/>
      <c r="G70" s="123"/>
      <c r="H70" s="4"/>
    </row>
    <row r="71" spans="1:12">
      <c r="B71" s="275" t="s">
        <v>419</v>
      </c>
      <c r="E71" s="146" t="e">
        <f>-E62</f>
        <v>#VALUE!</v>
      </c>
      <c r="F71" s="146"/>
      <c r="G71" s="123"/>
      <c r="H71" s="123"/>
      <c r="K71" s="233"/>
    </row>
    <row r="72" spans="1:12">
      <c r="B72" s="275" t="s">
        <v>420</v>
      </c>
      <c r="E72" s="146" t="e">
        <f>-E63</f>
        <v>#VALUE!</v>
      </c>
      <c r="F72" s="146"/>
      <c r="G72" s="123"/>
      <c r="H72" s="4"/>
    </row>
    <row r="73" spans="1:12">
      <c r="B73" s="276" t="s">
        <v>421</v>
      </c>
      <c r="E73" s="163" t="e">
        <f>+E66</f>
        <v>#VALUE!</v>
      </c>
      <c r="F73" s="163"/>
    </row>
    <row r="74" spans="1:12">
      <c r="B74" s="276" t="s">
        <v>422</v>
      </c>
      <c r="E74" s="1" t="e">
        <f>+E67</f>
        <v>#VALUE!</v>
      </c>
    </row>
    <row r="75" spans="1:12">
      <c r="A75" s="152"/>
    </row>
    <row r="77" spans="1:12">
      <c r="B77" s="289"/>
    </row>
  </sheetData>
  <mergeCells count="8">
    <mergeCell ref="A1:I1"/>
    <mergeCell ref="A2:I2"/>
    <mergeCell ref="B33:F33"/>
    <mergeCell ref="B21:F21"/>
    <mergeCell ref="B9:F9"/>
    <mergeCell ref="H9:I9"/>
    <mergeCell ref="H21:I21"/>
    <mergeCell ref="H33:I33"/>
  </mergeCells>
  <pageMargins left="0.25" right="0.25" top="0.75" bottom="0.75" header="0.3" footer="0.3"/>
  <pageSetup scale="53" fitToHeight="2" orientation="landscape" r:id="rId1"/>
  <rowBreaks count="1" manualBreakCount="1">
    <brk id="3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03D39-A0F4-4821-867A-A69342CA93F5}">
  <dimension ref="A1:R76"/>
  <sheetViews>
    <sheetView workbookViewId="0">
      <selection sqref="A1:M1"/>
    </sheetView>
  </sheetViews>
  <sheetFormatPr defaultColWidth="8.85546875" defaultRowHeight="15"/>
  <cols>
    <col min="1" max="1" width="5.85546875" customWidth="1"/>
    <col min="2" max="2" width="38.28515625" style="174" customWidth="1"/>
    <col min="3" max="3" width="6.42578125" customWidth="1"/>
    <col min="4" max="4" width="7.5703125" customWidth="1"/>
    <col min="5" max="5" width="12.28515625" customWidth="1"/>
    <col min="6" max="6" width="11.5703125" bestFit="1" customWidth="1"/>
    <col min="7" max="7" width="11.28515625" bestFit="1" customWidth="1"/>
    <col min="8" max="8" width="11.5703125" bestFit="1" customWidth="1"/>
    <col min="9" max="9" width="11.85546875" hidden="1" customWidth="1"/>
    <col min="10" max="10" width="13.28515625" customWidth="1"/>
    <col min="11" max="11" width="4.85546875" bestFit="1" customWidth="1"/>
    <col min="12" max="12" width="24.28515625" bestFit="1" customWidth="1"/>
    <col min="13" max="13" width="17.5703125" customWidth="1"/>
    <col min="14" max="14" width="12.28515625" bestFit="1" customWidth="1"/>
    <col min="15" max="15" width="11.140625" bestFit="1" customWidth="1"/>
  </cols>
  <sheetData>
    <row r="1" spans="1:13" ht="18.75">
      <c r="A1" s="320" t="s">
        <v>374</v>
      </c>
      <c r="B1" s="321"/>
      <c r="C1" s="321"/>
      <c r="D1" s="321"/>
      <c r="E1" s="321"/>
      <c r="F1" s="321"/>
      <c r="G1" s="321"/>
      <c r="H1" s="321"/>
      <c r="I1" s="321"/>
      <c r="J1" s="321"/>
      <c r="K1" s="321"/>
      <c r="L1" s="321"/>
      <c r="M1" s="322"/>
    </row>
    <row r="2" spans="1:13" ht="19.5" thickBot="1">
      <c r="A2" s="323" t="s">
        <v>368</v>
      </c>
      <c r="B2" s="324"/>
      <c r="C2" s="324"/>
      <c r="D2" s="324"/>
      <c r="E2" s="324"/>
      <c r="F2" s="324"/>
      <c r="G2" s="324"/>
      <c r="H2" s="324"/>
      <c r="I2" s="324"/>
      <c r="J2" s="324"/>
      <c r="K2" s="324"/>
      <c r="L2" s="324"/>
      <c r="M2" s="325"/>
    </row>
    <row r="3" spans="1:13">
      <c r="A3" s="222"/>
      <c r="B3" s="222"/>
      <c r="C3" s="222"/>
      <c r="D3" s="222"/>
      <c r="E3" s="222"/>
      <c r="F3" s="222"/>
      <c r="G3" s="222"/>
      <c r="H3" s="222"/>
      <c r="I3" s="222"/>
      <c r="J3" s="222"/>
      <c r="K3" s="222"/>
      <c r="L3" s="222"/>
      <c r="M3" s="222"/>
    </row>
    <row r="4" spans="1:13">
      <c r="E4" s="223"/>
      <c r="F4" s="223"/>
      <c r="G4" s="223"/>
      <c r="H4" s="223"/>
      <c r="I4" s="223"/>
      <c r="J4" s="224"/>
    </row>
    <row r="5" spans="1:13" ht="30.75" thickBot="1">
      <c r="A5" s="177"/>
      <c r="B5" s="180"/>
      <c r="C5" s="177"/>
      <c r="D5" s="177"/>
      <c r="E5" s="178" t="s">
        <v>375</v>
      </c>
      <c r="F5" s="178" t="s">
        <v>371</v>
      </c>
      <c r="G5" s="178" t="s">
        <v>373</v>
      </c>
      <c r="H5" s="178" t="s">
        <v>372</v>
      </c>
      <c r="I5" s="178" t="s">
        <v>395</v>
      </c>
      <c r="J5" s="178" t="s">
        <v>300</v>
      </c>
      <c r="K5" s="182"/>
      <c r="L5" s="199" t="s">
        <v>404</v>
      </c>
      <c r="M5" s="199" t="s">
        <v>363</v>
      </c>
    </row>
    <row r="6" spans="1:13">
      <c r="A6" s="185"/>
      <c r="B6" s="186"/>
      <c r="C6" s="185"/>
      <c r="D6" s="185"/>
      <c r="E6" s="182"/>
      <c r="F6" s="182"/>
      <c r="G6" s="182"/>
      <c r="H6" s="182"/>
      <c r="I6" s="182"/>
      <c r="J6" s="182"/>
      <c r="K6" s="182"/>
      <c r="L6" s="187"/>
    </row>
    <row r="7" spans="1:13" ht="15" hidden="1" customHeight="1">
      <c r="A7" s="153"/>
      <c r="B7" s="179"/>
      <c r="C7" s="153"/>
      <c r="D7" s="153"/>
      <c r="J7" s="216" t="s">
        <v>367</v>
      </c>
      <c r="L7" s="188">
        <v>0</v>
      </c>
      <c r="M7" s="190" t="s">
        <v>364</v>
      </c>
    </row>
    <row r="8" spans="1:13">
      <c r="A8" s="153"/>
      <c r="B8" s="179"/>
      <c r="C8" s="153"/>
      <c r="D8" s="153"/>
      <c r="J8" s="216" t="s">
        <v>366</v>
      </c>
      <c r="L8" s="188">
        <v>0</v>
      </c>
      <c r="M8" s="190" t="s">
        <v>364</v>
      </c>
    </row>
    <row r="9" spans="1:13">
      <c r="A9" s="153"/>
      <c r="B9" s="179"/>
      <c r="C9" s="153"/>
      <c r="D9" s="153"/>
      <c r="L9" s="188"/>
      <c r="M9" s="190"/>
    </row>
    <row r="10" spans="1:13" s="146" customFormat="1">
      <c r="B10" s="193">
        <v>2021</v>
      </c>
      <c r="C10" s="194"/>
      <c r="D10" s="194"/>
      <c r="E10" s="195"/>
      <c r="F10" s="195"/>
      <c r="G10" s="195"/>
      <c r="H10" s="195"/>
      <c r="I10" s="195"/>
      <c r="J10" s="196"/>
      <c r="L10" s="221">
        <f>+B10</f>
        <v>2021</v>
      </c>
      <c r="M10" s="221"/>
    </row>
    <row r="11" spans="1:13" s="146" customFormat="1">
      <c r="B11" s="181" t="s">
        <v>337</v>
      </c>
      <c r="E11" s="163" t="e">
        <f>'Summary of Data'!E16</f>
        <v>#VALUE!</v>
      </c>
      <c r="F11" s="163" t="e">
        <f>'Summary of Data'!#REF!</f>
        <v>#REF!</v>
      </c>
      <c r="G11" s="163" t="e">
        <f>'Summary of Data'!#REF!</f>
        <v>#REF!</v>
      </c>
      <c r="H11" s="163" t="e">
        <f>'Summary of Data'!#REF!</f>
        <v>#REF!</v>
      </c>
      <c r="I11" s="163" t="e">
        <f>'Summary of Data'!#REF!</f>
        <v>#REF!</v>
      </c>
      <c r="J11" s="163" t="e">
        <f>SUM(E11:I11)</f>
        <v>#VALUE!</v>
      </c>
      <c r="K11" s="172"/>
      <c r="L11" s="163" t="e">
        <f>J11*(1-$L$7)</f>
        <v>#VALUE!</v>
      </c>
    </row>
    <row r="12" spans="1:13">
      <c r="B12" s="174" t="s">
        <v>339</v>
      </c>
      <c r="E12" s="163" t="e">
        <f>'Summary of Data'!E17</f>
        <v>#VALUE!</v>
      </c>
      <c r="F12" s="163" t="e">
        <f>'Summary of Data'!#REF!</f>
        <v>#REF!</v>
      </c>
      <c r="G12" s="163" t="e">
        <f>'Summary of Data'!#REF!</f>
        <v>#REF!</v>
      </c>
      <c r="H12" s="163" t="e">
        <f>'Summary of Data'!#REF!</f>
        <v>#REF!</v>
      </c>
      <c r="I12" s="163" t="e">
        <f>'Summary of Data'!#REF!</f>
        <v>#REF!</v>
      </c>
      <c r="J12" s="163" t="e">
        <f>SUM(E12:I12)</f>
        <v>#VALUE!</v>
      </c>
      <c r="K12" s="172"/>
      <c r="L12" s="192" t="e">
        <f>J12*(1-$L$7)</f>
        <v>#VALUE!</v>
      </c>
    </row>
    <row r="13" spans="1:13">
      <c r="B13" s="174" t="s">
        <v>338</v>
      </c>
      <c r="E13" s="260" t="e">
        <f t="shared" ref="E13:J13" si="0">SUM(E11:E12)</f>
        <v>#VALUE!</v>
      </c>
      <c r="F13" s="260" t="e">
        <f t="shared" si="0"/>
        <v>#REF!</v>
      </c>
      <c r="G13" s="260" t="e">
        <f t="shared" si="0"/>
        <v>#REF!</v>
      </c>
      <c r="H13" s="260" t="e">
        <f>SUM(H11:H12)</f>
        <v>#REF!</v>
      </c>
      <c r="I13" s="260" t="e">
        <f>SUM(I11:I12)</f>
        <v>#REF!</v>
      </c>
      <c r="J13" s="260" t="e">
        <f t="shared" si="0"/>
        <v>#VALUE!</v>
      </c>
      <c r="K13" s="172"/>
      <c r="L13" s="163" t="e">
        <f t="shared" ref="L13" si="1">SUM(L11:L12)</f>
        <v>#VALUE!</v>
      </c>
    </row>
    <row r="14" spans="1:13">
      <c r="E14" s="163"/>
      <c r="F14" s="163"/>
      <c r="G14" s="163"/>
      <c r="H14" s="163"/>
      <c r="I14" s="163"/>
      <c r="J14" s="163"/>
      <c r="K14" s="172"/>
      <c r="L14" s="163"/>
    </row>
    <row r="15" spans="1:13">
      <c r="B15" s="174" t="s">
        <v>341</v>
      </c>
      <c r="E15" s="183" t="e">
        <f>+E12/E13</f>
        <v>#VALUE!</v>
      </c>
      <c r="F15" s="183" t="e">
        <f t="shared" ref="F15:G15" si="2">+F12/F13</f>
        <v>#REF!</v>
      </c>
      <c r="G15" s="183" t="e">
        <f t="shared" si="2"/>
        <v>#REF!</v>
      </c>
      <c r="H15" s="183" t="e">
        <f>+H12/H13</f>
        <v>#REF!</v>
      </c>
      <c r="I15" s="183"/>
      <c r="J15" s="183" t="e">
        <f>+J12/J13</f>
        <v>#VALUE!</v>
      </c>
      <c r="K15" s="183"/>
      <c r="L15" s="208" t="e">
        <f>AVERAGE(E15:I15)</f>
        <v>#VALUE!</v>
      </c>
      <c r="M15" s="189"/>
    </row>
    <row r="16" spans="1:13">
      <c r="E16" s="172"/>
      <c r="F16" s="172"/>
      <c r="G16" s="172"/>
      <c r="H16" s="172"/>
      <c r="I16" s="172"/>
      <c r="J16" s="172"/>
      <c r="K16" s="172"/>
      <c r="L16" s="227"/>
      <c r="M16" s="189"/>
    </row>
    <row r="17" spans="2:18">
      <c r="B17" s="174" t="s">
        <v>338</v>
      </c>
      <c r="E17" s="163" t="e">
        <f>E13</f>
        <v>#VALUE!</v>
      </c>
      <c r="F17" s="163" t="e">
        <f t="shared" ref="F17:G17" si="3">F13</f>
        <v>#REF!</v>
      </c>
      <c r="G17" s="163" t="e">
        <f t="shared" si="3"/>
        <v>#REF!</v>
      </c>
      <c r="H17" s="163" t="e">
        <f>H13</f>
        <v>#REF!</v>
      </c>
      <c r="I17" s="163" t="e">
        <f>I13</f>
        <v>#REF!</v>
      </c>
      <c r="J17" s="163" t="e">
        <f>SUM(E17:I17)</f>
        <v>#VALUE!</v>
      </c>
      <c r="K17" s="172"/>
      <c r="L17" s="227" t="e">
        <f>L13</f>
        <v>#VALUE!</v>
      </c>
      <c r="M17" s="189"/>
    </row>
    <row r="18" spans="2:18" ht="45">
      <c r="B18" s="226" t="s">
        <v>348</v>
      </c>
      <c r="C18" s="235">
        <v>0.67130000000000001</v>
      </c>
      <c r="D18" s="217"/>
      <c r="E18" s="172" t="e">
        <f>-'Summary of Data'!E20*$C$18</f>
        <v>#VALUE!</v>
      </c>
      <c r="F18" s="172" t="e">
        <f>-'Summary of Data'!#REF!*$C$18</f>
        <v>#REF!</v>
      </c>
      <c r="G18" s="172" t="e">
        <f>-'Summary of Data'!#REF!*$C$18</f>
        <v>#REF!</v>
      </c>
      <c r="H18" s="172" t="e">
        <f>-'Summary of Data'!#REF!*$C$18</f>
        <v>#REF!</v>
      </c>
      <c r="I18" s="172" t="e">
        <f>-'Summary of Data'!#REF!*$C$18</f>
        <v>#REF!</v>
      </c>
      <c r="J18" s="172" t="e">
        <f>SUM(E18:I18)</f>
        <v>#VALUE!</v>
      </c>
      <c r="K18" s="172"/>
      <c r="L18" s="209" t="e">
        <f>J18*(1-$L$7)</f>
        <v>#VALUE!</v>
      </c>
    </row>
    <row r="19" spans="2:18">
      <c r="B19" s="174" t="s">
        <v>359</v>
      </c>
      <c r="C19" s="174"/>
      <c r="D19" s="174"/>
      <c r="E19" s="228" t="e">
        <f>-'Summary of Data'!E22</f>
        <v>#VALUE!</v>
      </c>
      <c r="F19" s="228" t="e">
        <f>-'Summary of Data'!#REF!</f>
        <v>#REF!</v>
      </c>
      <c r="G19" s="228" t="e">
        <f>-'Summary of Data'!#REF!</f>
        <v>#REF!</v>
      </c>
      <c r="H19" s="228" t="e">
        <f>-'Summary of Data'!#REF!</f>
        <v>#REF!</v>
      </c>
      <c r="I19" s="228" t="e">
        <f>-'Summary of Data'!#REF!</f>
        <v>#REF!</v>
      </c>
      <c r="J19" s="228" t="e">
        <f>SUM(E19:I19)</f>
        <v>#VALUE!</v>
      </c>
      <c r="K19" s="172"/>
      <c r="L19" s="228" t="e">
        <f>J19*(1-$L$7)</f>
        <v>#VALUE!</v>
      </c>
    </row>
    <row r="20" spans="2:18">
      <c r="B20" t="s">
        <v>349</v>
      </c>
      <c r="E20" s="163" t="e">
        <f>+E13+E18+E19</f>
        <v>#VALUE!</v>
      </c>
      <c r="F20" s="163" t="e">
        <f t="shared" ref="F20:G20" si="4">+F13+F18+F19</f>
        <v>#REF!</v>
      </c>
      <c r="G20" s="163" t="e">
        <f t="shared" si="4"/>
        <v>#REF!</v>
      </c>
      <c r="H20" s="163" t="e">
        <f>+H13+H18+H19</f>
        <v>#REF!</v>
      </c>
      <c r="I20" s="163" t="e">
        <f>+I13+I18+I19</f>
        <v>#REF!</v>
      </c>
      <c r="J20" s="163" t="e">
        <f>SUM(J17:J19)</f>
        <v>#VALUE!</v>
      </c>
      <c r="K20" s="172"/>
      <c r="L20" s="209" t="e">
        <f>+L13+L18+L19</f>
        <v>#VALUE!</v>
      </c>
    </row>
    <row r="21" spans="2:18">
      <c r="E21" s="163"/>
      <c r="F21" s="163"/>
      <c r="G21" s="163"/>
      <c r="H21" s="163"/>
      <c r="I21" s="163"/>
      <c r="J21" s="163"/>
      <c r="K21" s="172"/>
      <c r="L21" s="163"/>
    </row>
    <row r="22" spans="2:18">
      <c r="B22" s="193">
        <v>2020</v>
      </c>
      <c r="C22" s="194"/>
      <c r="D22" s="194"/>
      <c r="E22" s="195"/>
      <c r="F22" s="195"/>
      <c r="G22" s="229"/>
      <c r="H22" s="229"/>
      <c r="I22" s="229"/>
      <c r="J22" s="195"/>
      <c r="K22" s="172"/>
      <c r="L22" s="221">
        <f>+B22</f>
        <v>2020</v>
      </c>
      <c r="M22" s="221"/>
    </row>
    <row r="23" spans="2:18">
      <c r="B23" s="181" t="s">
        <v>337</v>
      </c>
      <c r="C23" s="146"/>
      <c r="D23" s="146"/>
      <c r="E23" s="163">
        <v>2329926</v>
      </c>
      <c r="F23" s="163">
        <v>2101630</v>
      </c>
      <c r="G23" s="163">
        <v>1552539</v>
      </c>
      <c r="H23" s="163">
        <v>1367542</v>
      </c>
      <c r="I23" s="163">
        <v>0</v>
      </c>
      <c r="J23" s="163">
        <f>SUM(E23:I23)</f>
        <v>7351637</v>
      </c>
      <c r="K23" s="172"/>
      <c r="L23" s="163">
        <f>J23*(1-$L$7)</f>
        <v>7351637</v>
      </c>
      <c r="M23" s="146"/>
    </row>
    <row r="24" spans="2:18">
      <c r="B24" s="174" t="s">
        <v>339</v>
      </c>
      <c r="E24" s="192">
        <v>263987</v>
      </c>
      <c r="F24" s="192">
        <v>410450</v>
      </c>
      <c r="G24" s="192">
        <v>263188</v>
      </c>
      <c r="H24" s="192">
        <v>285754</v>
      </c>
      <c r="I24" s="192">
        <v>0</v>
      </c>
      <c r="J24" s="192">
        <f>SUM(E24:I24)</f>
        <v>1223379</v>
      </c>
      <c r="K24" s="172"/>
      <c r="L24" s="192">
        <f>J24*(1-$L$7)</f>
        <v>1223379</v>
      </c>
    </row>
    <row r="25" spans="2:18">
      <c r="B25" s="174" t="s">
        <v>338</v>
      </c>
      <c r="E25" s="163">
        <f t="shared" ref="E25:J25" si="5">SUM(E23:E24)</f>
        <v>2593913</v>
      </c>
      <c r="F25" s="163">
        <f t="shared" si="5"/>
        <v>2512080</v>
      </c>
      <c r="G25" s="163">
        <f t="shared" si="5"/>
        <v>1815727</v>
      </c>
      <c r="H25" s="163">
        <f>SUM(H23:H24)</f>
        <v>1653296</v>
      </c>
      <c r="I25" s="163">
        <f>SUM(I23:I24)</f>
        <v>0</v>
      </c>
      <c r="J25" s="163">
        <f t="shared" si="5"/>
        <v>8575016</v>
      </c>
      <c r="K25" s="172"/>
      <c r="L25" s="163">
        <f t="shared" ref="L25" si="6">SUM(L23:L24)</f>
        <v>8575016</v>
      </c>
    </row>
    <row r="26" spans="2:18">
      <c r="E26" s="163"/>
      <c r="F26" s="163"/>
      <c r="G26" s="163"/>
      <c r="H26" s="163"/>
      <c r="I26" s="163"/>
      <c r="J26" s="163"/>
      <c r="K26" s="172"/>
      <c r="L26" s="163"/>
    </row>
    <row r="27" spans="2:18">
      <c r="B27" s="174" t="s">
        <v>341</v>
      </c>
      <c r="E27" s="183">
        <f>+E24/E25</f>
        <v>0.10177172480341476</v>
      </c>
      <c r="F27" s="183">
        <f t="shared" ref="F27:G27" si="7">+F24/F25</f>
        <v>0.16339049711792619</v>
      </c>
      <c r="G27" s="183">
        <f t="shared" si="7"/>
        <v>0.14494910303145792</v>
      </c>
      <c r="H27" s="183">
        <f>+H24/H25</f>
        <v>0.17283898346091686</v>
      </c>
      <c r="I27" s="183"/>
      <c r="J27" s="183">
        <f>+J24/J25</f>
        <v>0.14266783875388686</v>
      </c>
      <c r="K27" s="183"/>
      <c r="L27" s="208">
        <f>AVERAGE(E27:H27)</f>
        <v>0.14573757710342894</v>
      </c>
      <c r="M27" s="189"/>
    </row>
    <row r="28" spans="2:18">
      <c r="E28" s="172"/>
      <c r="F28" s="172"/>
      <c r="G28" s="172"/>
      <c r="H28" s="172"/>
      <c r="I28" s="172"/>
      <c r="J28" s="172"/>
      <c r="K28" s="172"/>
      <c r="L28" s="227"/>
      <c r="M28" s="189"/>
    </row>
    <row r="29" spans="2:18">
      <c r="B29" s="174" t="s">
        <v>338</v>
      </c>
      <c r="E29" s="163">
        <f>E25</f>
        <v>2593913</v>
      </c>
      <c r="F29" s="163">
        <f t="shared" ref="F29:G29" si="8">F25</f>
        <v>2512080</v>
      </c>
      <c r="G29" s="163">
        <f t="shared" si="8"/>
        <v>1815727</v>
      </c>
      <c r="H29" s="163">
        <f>H25</f>
        <v>1653296</v>
      </c>
      <c r="I29" s="163">
        <f>I25</f>
        <v>0</v>
      </c>
      <c r="J29" s="163">
        <f>SUM(E29:I29)</f>
        <v>8575016</v>
      </c>
      <c r="K29" s="172"/>
      <c r="L29" s="163">
        <f t="shared" ref="L29" si="9">L25</f>
        <v>8575016</v>
      </c>
      <c r="M29" s="189"/>
    </row>
    <row r="30" spans="2:18" ht="45">
      <c r="B30" s="226" t="s">
        <v>348</v>
      </c>
      <c r="C30" s="235">
        <f>+C18</f>
        <v>0.67130000000000001</v>
      </c>
      <c r="D30" s="218"/>
      <c r="E30" s="172">
        <v>-787788.00380000006</v>
      </c>
      <c r="F30" s="172">
        <v>-634087.82709999999</v>
      </c>
      <c r="G30" s="172">
        <v>-569781.3149</v>
      </c>
      <c r="H30" s="172">
        <v>-539862.14520000003</v>
      </c>
      <c r="I30" s="172">
        <v>0</v>
      </c>
      <c r="J30" s="172">
        <f>SUM(E30:I30)</f>
        <v>-2531519.2910000002</v>
      </c>
      <c r="K30" s="172"/>
      <c r="L30" s="209">
        <f>J30*(1-$L$7)</f>
        <v>-2531519.2910000002</v>
      </c>
    </row>
    <row r="31" spans="2:18" ht="14.45" customHeight="1">
      <c r="B31" s="174" t="s">
        <v>359</v>
      </c>
      <c r="C31" s="174"/>
      <c r="D31" s="174"/>
      <c r="E31" s="228">
        <v>-23831</v>
      </c>
      <c r="F31" s="228">
        <v>-48824</v>
      </c>
      <c r="G31" s="228">
        <v>-60901</v>
      </c>
      <c r="H31" s="228">
        <v>-17414</v>
      </c>
      <c r="I31" s="228">
        <v>0</v>
      </c>
      <c r="J31" s="228">
        <f>SUM(E31:I31)</f>
        <v>-150970</v>
      </c>
      <c r="K31" s="209"/>
      <c r="L31" s="228">
        <f>J31*(1-$L$7)</f>
        <v>-150970</v>
      </c>
      <c r="N31" s="1"/>
      <c r="O31" s="1"/>
      <c r="P31" s="1"/>
      <c r="Q31" s="1"/>
      <c r="R31" s="1"/>
    </row>
    <row r="32" spans="2:18">
      <c r="B32" t="s">
        <v>349</v>
      </c>
      <c r="E32" s="163">
        <f>+E25+E30+E31</f>
        <v>1782293.9961999999</v>
      </c>
      <c r="F32" s="163">
        <f t="shared" ref="F32:G32" si="10">+F25+F30+F31</f>
        <v>1829168.1729000001</v>
      </c>
      <c r="G32" s="163">
        <f t="shared" si="10"/>
        <v>1185044.6850999999</v>
      </c>
      <c r="H32" s="163">
        <f>+H25+H30+H31</f>
        <v>1096019.8547999999</v>
      </c>
      <c r="I32" s="163">
        <f>+I25+I30+I31</f>
        <v>0</v>
      </c>
      <c r="J32" s="163">
        <f>SUM(J29:J31)</f>
        <v>5892526.7089999998</v>
      </c>
      <c r="K32" s="172"/>
      <c r="L32" s="209">
        <f>+L25+L30+L31</f>
        <v>5892526.7089999998</v>
      </c>
    </row>
    <row r="33" spans="2:15">
      <c r="E33" s="163"/>
      <c r="F33" s="163"/>
      <c r="G33" s="163"/>
      <c r="H33" s="163"/>
      <c r="I33" s="163"/>
      <c r="J33" s="163"/>
      <c r="K33" s="172"/>
      <c r="L33" s="163"/>
    </row>
    <row r="34" spans="2:15">
      <c r="B34" s="193">
        <v>2019</v>
      </c>
      <c r="C34" s="194"/>
      <c r="D34" s="194"/>
      <c r="E34" s="195"/>
      <c r="F34" s="195"/>
      <c r="G34" s="195"/>
      <c r="H34" s="195"/>
      <c r="I34" s="195"/>
      <c r="J34" s="195"/>
      <c r="K34" s="172"/>
      <c r="L34" s="221">
        <f>+B34</f>
        <v>2019</v>
      </c>
      <c r="M34" s="221"/>
    </row>
    <row r="35" spans="2:15">
      <c r="B35" s="181" t="s">
        <v>337</v>
      </c>
      <c r="C35" s="146"/>
      <c r="D35" s="146"/>
      <c r="E35" s="163">
        <v>2453869</v>
      </c>
      <c r="F35" s="163">
        <v>1976779</v>
      </c>
      <c r="G35" s="163">
        <v>1588424</v>
      </c>
      <c r="H35" s="163">
        <v>1582868</v>
      </c>
      <c r="I35" s="163">
        <v>0</v>
      </c>
      <c r="J35" s="163">
        <f>SUM(E35:I35)</f>
        <v>7601940</v>
      </c>
      <c r="K35" s="172"/>
      <c r="L35" s="163">
        <f>J35*(1-$L$7)</f>
        <v>7601940</v>
      </c>
      <c r="M35" s="146"/>
    </row>
    <row r="36" spans="2:15">
      <c r="B36" s="174" t="s">
        <v>339</v>
      </c>
      <c r="E36" s="192">
        <v>313514</v>
      </c>
      <c r="F36" s="192">
        <v>427274</v>
      </c>
      <c r="G36" s="192">
        <v>227191</v>
      </c>
      <c r="H36" s="192">
        <v>288309</v>
      </c>
      <c r="I36" s="192">
        <v>0</v>
      </c>
      <c r="J36" s="192">
        <f>SUM(E36:I36)</f>
        <v>1256288</v>
      </c>
      <c r="K36" s="172"/>
      <c r="L36" s="192">
        <f>J36*(1-$L$7)</f>
        <v>1256288</v>
      </c>
    </row>
    <row r="37" spans="2:15">
      <c r="B37" s="174" t="s">
        <v>338</v>
      </c>
      <c r="E37" s="163">
        <f t="shared" ref="E37:J37" si="11">SUM(E35:E36)</f>
        <v>2767383</v>
      </c>
      <c r="F37" s="172">
        <f t="shared" si="11"/>
        <v>2404053</v>
      </c>
      <c r="G37" s="163">
        <f t="shared" si="11"/>
        <v>1815615</v>
      </c>
      <c r="H37" s="163">
        <f>SUM(H35:H36)</f>
        <v>1871177</v>
      </c>
      <c r="I37" s="163">
        <f>SUM(I35:I36)</f>
        <v>0</v>
      </c>
      <c r="J37" s="163">
        <f t="shared" si="11"/>
        <v>8858228</v>
      </c>
      <c r="K37" s="172"/>
      <c r="L37" s="163">
        <f>+L35+L36</f>
        <v>8858228</v>
      </c>
    </row>
    <row r="38" spans="2:15">
      <c r="E38" s="163"/>
      <c r="F38" s="172"/>
      <c r="G38" s="163"/>
      <c r="H38" s="163"/>
      <c r="I38" s="163"/>
      <c r="J38" s="163"/>
      <c r="K38" s="172"/>
      <c r="L38" s="163"/>
    </row>
    <row r="39" spans="2:15">
      <c r="B39" s="174" t="s">
        <v>341</v>
      </c>
      <c r="E39" s="183">
        <f>+E36/E37</f>
        <v>0.1132889809614354</v>
      </c>
      <c r="F39" s="183">
        <f t="shared" ref="F39:J39" si="12">+F36/F37</f>
        <v>0.1777306906295327</v>
      </c>
      <c r="G39" s="183">
        <f>+G36/G37</f>
        <v>0.12513170468408777</v>
      </c>
      <c r="H39" s="183">
        <f>+H36/H37</f>
        <v>0.15407895672082331</v>
      </c>
      <c r="I39" s="183"/>
      <c r="J39" s="183">
        <f t="shared" si="12"/>
        <v>0.14182159230943253</v>
      </c>
      <c r="K39" s="183"/>
      <c r="L39" s="208">
        <f>AVERAGE(E39:H39)</f>
        <v>0.14255758324896978</v>
      </c>
      <c r="M39" s="189"/>
    </row>
    <row r="40" spans="2:15">
      <c r="E40" s="172"/>
      <c r="F40" s="172"/>
      <c r="G40" s="172"/>
      <c r="H40" s="172"/>
      <c r="I40" s="172"/>
      <c r="J40" s="172"/>
      <c r="K40" s="172"/>
      <c r="L40" s="209"/>
      <c r="M40" s="189"/>
    </row>
    <row r="41" spans="2:15">
      <c r="B41" s="174" t="s">
        <v>338</v>
      </c>
      <c r="E41" s="163">
        <f>E37</f>
        <v>2767383</v>
      </c>
      <c r="F41" s="172">
        <f t="shared" ref="F41:G41" si="13">F37</f>
        <v>2404053</v>
      </c>
      <c r="G41" s="163">
        <f t="shared" si="13"/>
        <v>1815615</v>
      </c>
      <c r="H41" s="163">
        <f>H37</f>
        <v>1871177</v>
      </c>
      <c r="I41" s="163">
        <f>I37</f>
        <v>0</v>
      </c>
      <c r="J41" s="163">
        <f>SUM(E41:I41)</f>
        <v>8858228</v>
      </c>
      <c r="K41" s="172"/>
      <c r="L41" s="209">
        <f>J41*(1-$L$7)</f>
        <v>8858228</v>
      </c>
      <c r="M41" s="189"/>
    </row>
    <row r="42" spans="2:15" ht="45">
      <c r="B42" s="226" t="s">
        <v>348</v>
      </c>
      <c r="C42" s="235">
        <f>+C30</f>
        <v>0.67130000000000001</v>
      </c>
      <c r="D42" s="218"/>
      <c r="E42" s="172">
        <v>-977068.42310000001</v>
      </c>
      <c r="F42" s="172">
        <v>-681044.59080000001</v>
      </c>
      <c r="G42" s="172">
        <v>-572658.50670000003</v>
      </c>
      <c r="H42" s="172">
        <v>-591586.48149999999</v>
      </c>
      <c r="I42" s="172">
        <v>0</v>
      </c>
      <c r="J42" s="163">
        <f>SUM(E42:I42)</f>
        <v>-2822358.0021000002</v>
      </c>
      <c r="K42" s="172"/>
      <c r="L42" s="209">
        <f>J42*(1-$L$7)</f>
        <v>-2822358.0021000002</v>
      </c>
    </row>
    <row r="43" spans="2:15" ht="14.45" customHeight="1">
      <c r="B43" s="174" t="s">
        <v>359</v>
      </c>
      <c r="C43" s="174"/>
      <c r="D43" s="174"/>
      <c r="E43" s="228">
        <v>-6928</v>
      </c>
      <c r="F43" s="228">
        <v>-67423</v>
      </c>
      <c r="G43" s="228">
        <v>-41046</v>
      </c>
      <c r="H43" s="228">
        <v>-5131</v>
      </c>
      <c r="I43" s="228">
        <v>0</v>
      </c>
      <c r="J43" s="192">
        <f>SUM(E43:I43)</f>
        <v>-120528</v>
      </c>
      <c r="K43" s="172"/>
      <c r="L43" s="228">
        <f>J43*(1-$L$7)</f>
        <v>-120528</v>
      </c>
    </row>
    <row r="44" spans="2:15">
      <c r="B44" t="s">
        <v>349</v>
      </c>
      <c r="E44" s="163">
        <f>+E37+E42+E43</f>
        <v>1783386.5769</v>
      </c>
      <c r="F44" s="172">
        <f t="shared" ref="F44:G44" si="14">+F37+F42+F43</f>
        <v>1655585.4092000001</v>
      </c>
      <c r="G44" s="163">
        <f t="shared" si="14"/>
        <v>1201910.4933</v>
      </c>
      <c r="H44" s="163">
        <f>+H37+H42+H43</f>
        <v>1274459.5185</v>
      </c>
      <c r="I44" s="163">
        <f>+I37+I42+I43</f>
        <v>0</v>
      </c>
      <c r="J44" s="163">
        <f>SUM(J41:J43)</f>
        <v>5915341.9978999998</v>
      </c>
      <c r="K44" s="172"/>
      <c r="L44" s="209">
        <f>SUM(L41:L43)</f>
        <v>5915341.9978999998</v>
      </c>
    </row>
    <row r="45" spans="2:15" ht="15.75" thickBot="1">
      <c r="B45"/>
      <c r="E45" s="1"/>
      <c r="F45" s="1"/>
      <c r="G45" s="1"/>
      <c r="H45" s="1"/>
      <c r="I45" s="1"/>
      <c r="J45" s="215"/>
      <c r="K45" s="1"/>
      <c r="L45" s="191"/>
    </row>
    <row r="46" spans="2:15">
      <c r="B46" s="180" t="s">
        <v>365</v>
      </c>
      <c r="C46" s="175"/>
      <c r="D46" s="175"/>
      <c r="E46" s="176"/>
      <c r="F46" s="176"/>
      <c r="G46" s="176"/>
      <c r="H46" s="176"/>
      <c r="I46" s="176"/>
      <c r="J46" s="176"/>
      <c r="K46" s="184"/>
      <c r="L46" s="219" t="s">
        <v>402</v>
      </c>
      <c r="M46" s="220"/>
    </row>
    <row r="47" spans="2:15">
      <c r="B47" s="174" t="s">
        <v>352</v>
      </c>
      <c r="C47" s="212" t="s">
        <v>357</v>
      </c>
      <c r="D47" s="212" t="s">
        <v>358</v>
      </c>
      <c r="E47" s="1"/>
      <c r="F47" s="1"/>
      <c r="G47" s="1"/>
      <c r="H47" s="1"/>
      <c r="I47" s="1"/>
      <c r="J47" s="1"/>
      <c r="K47" s="1"/>
      <c r="L47" s="200"/>
      <c r="M47" s="201"/>
    </row>
    <row r="48" spans="2:15">
      <c r="B48" s="197" t="s">
        <v>381</v>
      </c>
      <c r="C48" s="241">
        <v>0.4</v>
      </c>
      <c r="D48" s="242" t="e">
        <f>+L15</f>
        <v>#VALUE!</v>
      </c>
      <c r="E48" s="172" t="e">
        <f t="shared" ref="E48:J48" si="15">+E20*$D48*$C48</f>
        <v>#VALUE!</v>
      </c>
      <c r="F48" s="172" t="e">
        <f t="shared" si="15"/>
        <v>#REF!</v>
      </c>
      <c r="G48" s="172" t="e">
        <f t="shared" si="15"/>
        <v>#REF!</v>
      </c>
      <c r="H48" s="172" t="e">
        <f t="shared" si="15"/>
        <v>#REF!</v>
      </c>
      <c r="I48" s="172"/>
      <c r="J48" s="172" t="e">
        <f t="shared" si="15"/>
        <v>#VALUE!</v>
      </c>
      <c r="K48" s="1"/>
      <c r="L48" s="202" t="e">
        <f>+L20*$D$48*$C$48</f>
        <v>#VALUE!</v>
      </c>
      <c r="M48" s="201"/>
      <c r="N48" s="151"/>
      <c r="O48" s="144"/>
    </row>
    <row r="49" spans="2:16">
      <c r="B49" s="197" t="s">
        <v>382</v>
      </c>
      <c r="C49" s="241">
        <v>0.25</v>
      </c>
      <c r="D49" s="242" t="e">
        <f>D48</f>
        <v>#VALUE!</v>
      </c>
      <c r="E49" s="172" t="e">
        <f t="shared" ref="E49:J49" si="16">+E20*$D49*$C49</f>
        <v>#VALUE!</v>
      </c>
      <c r="F49" s="172" t="e">
        <f t="shared" si="16"/>
        <v>#REF!</v>
      </c>
      <c r="G49" s="172" t="e">
        <f t="shared" si="16"/>
        <v>#REF!</v>
      </c>
      <c r="H49" s="172" t="e">
        <f t="shared" si="16"/>
        <v>#REF!</v>
      </c>
      <c r="I49" s="172"/>
      <c r="J49" s="172" t="e">
        <f t="shared" si="16"/>
        <v>#VALUE!</v>
      </c>
      <c r="K49" s="1"/>
      <c r="L49" s="203" t="e">
        <f>+L20*$D$49*$C$49</f>
        <v>#VALUE!</v>
      </c>
      <c r="M49" s="201"/>
    </row>
    <row r="50" spans="2:16">
      <c r="B50" s="197" t="s">
        <v>383</v>
      </c>
      <c r="C50" s="241">
        <v>0.15</v>
      </c>
      <c r="D50" s="242" t="e">
        <f>D49</f>
        <v>#VALUE!</v>
      </c>
      <c r="E50" s="172" t="e">
        <f t="shared" ref="E50:J50" si="17">+E20*$D50*$C50</f>
        <v>#VALUE!</v>
      </c>
      <c r="F50" s="172" t="e">
        <f t="shared" si="17"/>
        <v>#REF!</v>
      </c>
      <c r="G50" s="172" t="e">
        <f t="shared" si="17"/>
        <v>#REF!</v>
      </c>
      <c r="H50" s="172" t="e">
        <f t="shared" si="17"/>
        <v>#REF!</v>
      </c>
      <c r="I50" s="172"/>
      <c r="J50" s="172" t="e">
        <f t="shared" si="17"/>
        <v>#VALUE!</v>
      </c>
      <c r="K50" s="1"/>
      <c r="L50" s="203" t="e">
        <f>+L20*$D$50*$C$50</f>
        <v>#VALUE!</v>
      </c>
      <c r="M50" s="201"/>
    </row>
    <row r="51" spans="2:16">
      <c r="B51" s="197" t="s">
        <v>384</v>
      </c>
      <c r="C51" s="243">
        <v>0.25</v>
      </c>
      <c r="D51" s="244">
        <f>+L27</f>
        <v>0.14573757710342894</v>
      </c>
      <c r="E51" s="172">
        <f t="shared" ref="E51:J51" si="18">+E32*$D51*$C51</f>
        <v>64936.802173043994</v>
      </c>
      <c r="F51" s="172">
        <f t="shared" si="18"/>
        <v>66644.634408287995</v>
      </c>
      <c r="G51" s="172">
        <f t="shared" si="18"/>
        <v>43176.385291442479</v>
      </c>
      <c r="H51" s="172">
        <f t="shared" si="18"/>
        <v>39932.819523950995</v>
      </c>
      <c r="I51" s="172">
        <f t="shared" si="18"/>
        <v>0</v>
      </c>
      <c r="J51" s="172">
        <f t="shared" si="18"/>
        <v>214690.64139672546</v>
      </c>
      <c r="K51" s="1"/>
      <c r="L51" s="203">
        <f>+L32*$D$51*$C$51</f>
        <v>214690.64139672546</v>
      </c>
      <c r="M51" s="201"/>
      <c r="N51" s="146"/>
      <c r="O51" s="144"/>
    </row>
    <row r="52" spans="2:16">
      <c r="B52" s="197" t="s">
        <v>386</v>
      </c>
      <c r="C52" s="243">
        <v>0.15</v>
      </c>
      <c r="D52" s="244">
        <f>D51</f>
        <v>0.14573757710342894</v>
      </c>
      <c r="E52" s="172">
        <f t="shared" ref="E52:J52" si="19">+E32*$D52*$C52</f>
        <v>38962.081303826395</v>
      </c>
      <c r="F52" s="172">
        <f t="shared" si="19"/>
        <v>39986.780644972794</v>
      </c>
      <c r="G52" s="172">
        <f t="shared" si="19"/>
        <v>25905.831174865485</v>
      </c>
      <c r="H52" s="172">
        <f t="shared" si="19"/>
        <v>23959.691714370598</v>
      </c>
      <c r="I52" s="172">
        <f t="shared" si="19"/>
        <v>0</v>
      </c>
      <c r="J52" s="172">
        <f t="shared" si="19"/>
        <v>128814.38483803527</v>
      </c>
      <c r="K52" s="1"/>
      <c r="L52" s="203">
        <f>+L32*$D$52*$C$52</f>
        <v>128814.38483803527</v>
      </c>
      <c r="M52" s="201"/>
    </row>
    <row r="53" spans="2:16">
      <c r="B53" s="197" t="s">
        <v>387</v>
      </c>
      <c r="C53" s="245">
        <v>0.15</v>
      </c>
      <c r="D53" s="246">
        <f>+L39</f>
        <v>0.14255758324896978</v>
      </c>
      <c r="E53" s="228">
        <f t="shared" ref="E53:J53" si="20">+E44*$D53*$C53</f>
        <v>38135.292060227548</v>
      </c>
      <c r="F53" s="228">
        <f t="shared" si="20"/>
        <v>35402.438219671305</v>
      </c>
      <c r="G53" s="228">
        <f t="shared" si="20"/>
        <v>25701.21828096376</v>
      </c>
      <c r="H53" s="228">
        <f t="shared" si="20"/>
        <v>27252.580335900853</v>
      </c>
      <c r="I53" s="228">
        <f t="shared" si="20"/>
        <v>0</v>
      </c>
      <c r="J53" s="228">
        <f t="shared" si="20"/>
        <v>126491.52889676346</v>
      </c>
      <c r="K53" s="1"/>
      <c r="L53" s="204">
        <f>+L44*$D$53*$C$53</f>
        <v>126491.52889676346</v>
      </c>
      <c r="M53" s="255" t="s">
        <v>390</v>
      </c>
      <c r="N53" t="s">
        <v>391</v>
      </c>
      <c r="O53" s="144"/>
    </row>
    <row r="54" spans="2:16">
      <c r="B54" s="211" t="s">
        <v>360</v>
      </c>
      <c r="E54" s="1" t="e">
        <f t="shared" ref="E54:J54" si="21">SUM(E48:E53)</f>
        <v>#VALUE!</v>
      </c>
      <c r="F54" s="1" t="e">
        <f t="shared" si="21"/>
        <v>#REF!</v>
      </c>
      <c r="G54" s="1" t="e">
        <f t="shared" si="21"/>
        <v>#REF!</v>
      </c>
      <c r="H54" s="1" t="e">
        <f t="shared" si="21"/>
        <v>#REF!</v>
      </c>
      <c r="I54" s="1">
        <f t="shared" si="21"/>
        <v>0</v>
      </c>
      <c r="J54" s="1" t="e">
        <f t="shared" si="21"/>
        <v>#VALUE!</v>
      </c>
      <c r="K54" s="1"/>
      <c r="L54" s="205" t="e">
        <f>SUM(L48:L53)</f>
        <v>#VALUE!</v>
      </c>
      <c r="M54" s="257" t="e">
        <f>L54/L13</f>
        <v>#VALUE!</v>
      </c>
      <c r="N54" t="s">
        <v>392</v>
      </c>
    </row>
    <row r="55" spans="2:16">
      <c r="B55"/>
      <c r="E55" s="1"/>
      <c r="F55" s="1"/>
      <c r="G55" s="1"/>
      <c r="H55" s="1"/>
      <c r="I55" s="1"/>
      <c r="J55" s="253"/>
      <c r="K55" s="1"/>
      <c r="L55" s="205"/>
      <c r="M55" s="201"/>
    </row>
    <row r="56" spans="2:16">
      <c r="B56" s="174" t="s">
        <v>361</v>
      </c>
      <c r="D56" s="234">
        <v>0.24</v>
      </c>
      <c r="E56" s="198" t="e">
        <f t="shared" ref="E56:J56" si="22">-E54*$D$56</f>
        <v>#VALUE!</v>
      </c>
      <c r="F56" s="198" t="e">
        <f t="shared" si="22"/>
        <v>#REF!</v>
      </c>
      <c r="G56" s="198" t="e">
        <f t="shared" si="22"/>
        <v>#REF!</v>
      </c>
      <c r="H56" s="198" t="e">
        <f t="shared" si="22"/>
        <v>#REF!</v>
      </c>
      <c r="I56" s="198">
        <f t="shared" si="22"/>
        <v>0</v>
      </c>
      <c r="J56" s="198" t="e">
        <f t="shared" si="22"/>
        <v>#VALUE!</v>
      </c>
      <c r="K56" s="1"/>
      <c r="L56" s="206" t="e">
        <f>-L54*$D$56</f>
        <v>#VALUE!</v>
      </c>
      <c r="M56" s="201"/>
    </row>
    <row r="57" spans="2:16">
      <c r="E57" s="1"/>
      <c r="F57" s="1"/>
      <c r="G57" s="1"/>
      <c r="H57" s="1"/>
      <c r="I57" s="1"/>
      <c r="J57" s="4"/>
      <c r="K57" s="4"/>
      <c r="L57" s="200"/>
      <c r="M57" s="201"/>
    </row>
    <row r="58" spans="2:16" ht="15.75" thickBot="1">
      <c r="B58" s="123" t="s">
        <v>362</v>
      </c>
      <c r="E58" s="214" t="e">
        <f t="shared" ref="E58:J58" si="23">SUM(E54:E56)</f>
        <v>#VALUE!</v>
      </c>
      <c r="F58" s="214" t="e">
        <f t="shared" si="23"/>
        <v>#REF!</v>
      </c>
      <c r="G58" s="214" t="e">
        <f t="shared" si="23"/>
        <v>#REF!</v>
      </c>
      <c r="H58" s="214" t="e">
        <f t="shared" si="23"/>
        <v>#REF!</v>
      </c>
      <c r="I58" s="214">
        <f t="shared" si="23"/>
        <v>0</v>
      </c>
      <c r="J58" s="213" t="e">
        <f t="shared" si="23"/>
        <v>#VALUE!</v>
      </c>
      <c r="K58" s="1"/>
      <c r="L58" s="207" t="e">
        <f>SUM(L54:L56)</f>
        <v>#VALUE!</v>
      </c>
      <c r="M58" s="256" t="e">
        <f>L58/L13</f>
        <v>#VALUE!</v>
      </c>
    </row>
    <row r="59" spans="2:16" ht="16.5" thickTop="1" thickBot="1">
      <c r="B59" s="259" t="s">
        <v>385</v>
      </c>
      <c r="E59" s="214" t="e">
        <f>ROUND(E58,-3)</f>
        <v>#VALUE!</v>
      </c>
      <c r="F59" s="214" t="e">
        <f t="shared" ref="F59:G59" si="24">ROUND(F58,-3)</f>
        <v>#REF!</v>
      </c>
      <c r="G59" s="214" t="e">
        <f t="shared" si="24"/>
        <v>#REF!</v>
      </c>
      <c r="H59" s="214" t="e">
        <f>ROUNDDOWN(H58,-4)</f>
        <v>#REF!</v>
      </c>
      <c r="I59" s="214">
        <f>ROUND(I58,-3)</f>
        <v>0</v>
      </c>
      <c r="J59" s="213" t="e">
        <f>SUM(E59:I59)</f>
        <v>#VALUE!</v>
      </c>
      <c r="K59" s="261" t="s">
        <v>401</v>
      </c>
      <c r="L59" s="252"/>
    </row>
    <row r="60" spans="2:16" ht="15.75" thickTop="1">
      <c r="B60"/>
      <c r="D60" s="236" t="s">
        <v>388</v>
      </c>
      <c r="E60" s="253"/>
      <c r="F60" s="253"/>
      <c r="G60" s="253"/>
      <c r="H60" s="253"/>
      <c r="I60" s="253"/>
      <c r="J60" s="253" t="e">
        <f>J59/J12</f>
        <v>#VALUE!</v>
      </c>
      <c r="K60" s="1"/>
      <c r="L60" s="237"/>
    </row>
    <row r="61" spans="2:16">
      <c r="E61" s="1"/>
      <c r="F61" s="1"/>
      <c r="G61" s="1"/>
      <c r="H61" s="1"/>
      <c r="I61" s="1"/>
      <c r="J61" s="1"/>
      <c r="K61" s="1"/>
    </row>
    <row r="62" spans="2:16">
      <c r="B62" s="258" t="s">
        <v>380</v>
      </c>
      <c r="C62" s="247"/>
      <c r="D62" s="247"/>
      <c r="E62" s="248"/>
      <c r="F62" s="248"/>
      <c r="G62" s="248"/>
      <c r="H62" s="248"/>
      <c r="I62" s="248"/>
      <c r="J62" s="121"/>
      <c r="K62" s="254" t="s">
        <v>389</v>
      </c>
      <c r="O62" s="232"/>
      <c r="P62" s="231"/>
    </row>
    <row r="63" spans="2:16">
      <c r="B63" s="174" t="s">
        <v>378</v>
      </c>
      <c r="E63" s="1" t="e">
        <f>ROUND((E48+E51+E53)+(((E48+E51+E53)/E54)*E56),-3)</f>
        <v>#VALUE!</v>
      </c>
      <c r="F63" s="1" t="e">
        <f>ROUND((F48+F51+F53)+(((F48+F51+F53)/F54)*F56),-3)</f>
        <v>#REF!</v>
      </c>
      <c r="G63" s="1" t="e">
        <f>ROUND((G48+G51+G53)+(((G48+G51+G53)/G54)*G56),-3)</f>
        <v>#REF!</v>
      </c>
      <c r="H63" s="1" t="e">
        <f>ROUND((H48+H51+H53)+(((H48+H51+H53)/H54)*H56),-3)</f>
        <v>#REF!</v>
      </c>
      <c r="I63" s="1">
        <v>0</v>
      </c>
      <c r="J63" s="1" t="e">
        <f>SUM(E63:I63)</f>
        <v>#VALUE!</v>
      </c>
      <c r="K63" s="238" t="e">
        <f>J63/J65</f>
        <v>#VALUE!</v>
      </c>
      <c r="O63" s="232"/>
      <c r="P63" s="231"/>
    </row>
    <row r="64" spans="2:16">
      <c r="B64" s="174" t="s">
        <v>379</v>
      </c>
      <c r="E64" s="198" t="e">
        <f>E59-E63</f>
        <v>#VALUE!</v>
      </c>
      <c r="F64" s="198" t="e">
        <f>F59-F63</f>
        <v>#REF!</v>
      </c>
      <c r="G64" s="198" t="e">
        <f t="shared" ref="G64:H64" si="25">G59-G63</f>
        <v>#REF!</v>
      </c>
      <c r="H64" s="198" t="e">
        <f t="shared" si="25"/>
        <v>#REF!</v>
      </c>
      <c r="I64" s="198">
        <f>I59-I63</f>
        <v>0</v>
      </c>
      <c r="J64" s="198" t="e">
        <f>SUM(E64:I64)</f>
        <v>#VALUE!</v>
      </c>
      <c r="K64" s="238" t="e">
        <f>J64/J65</f>
        <v>#VALUE!</v>
      </c>
      <c r="O64" s="232"/>
      <c r="P64" s="231"/>
    </row>
    <row r="65" spans="1:16" ht="15.75" thickBot="1">
      <c r="B65" s="123" t="s">
        <v>362</v>
      </c>
      <c r="E65" s="214" t="e">
        <f>SUM(E63:E64)</f>
        <v>#VALUE!</v>
      </c>
      <c r="F65" s="214" t="e">
        <f t="shared" ref="F65:H65" si="26">SUM(F63:F64)</f>
        <v>#REF!</v>
      </c>
      <c r="G65" s="214" t="e">
        <f t="shared" si="26"/>
        <v>#REF!</v>
      </c>
      <c r="H65" s="214" t="e">
        <f t="shared" si="26"/>
        <v>#REF!</v>
      </c>
      <c r="I65" s="214">
        <f>SUM(I63:I64)</f>
        <v>0</v>
      </c>
      <c r="J65" s="213" t="e">
        <f>SUM(J63:J64)</f>
        <v>#VALUE!</v>
      </c>
      <c r="K65" s="1"/>
      <c r="O65" s="232"/>
      <c r="P65" s="231"/>
    </row>
    <row r="66" spans="1:16" ht="15.75" thickTop="1">
      <c r="C66" s="212"/>
      <c r="D66" s="236" t="s">
        <v>393</v>
      </c>
      <c r="E66" s="237" t="e">
        <f t="shared" ref="E66:J66" si="27">E70-E65</f>
        <v>#VALUE!</v>
      </c>
      <c r="F66" s="237" t="e">
        <f t="shared" si="27"/>
        <v>#REF!</v>
      </c>
      <c r="G66" s="237" t="e">
        <f t="shared" si="27"/>
        <v>#REF!</v>
      </c>
      <c r="H66" s="237" t="e">
        <f t="shared" si="27"/>
        <v>#REF!</v>
      </c>
      <c r="I66" s="237">
        <f t="shared" si="27"/>
        <v>0</v>
      </c>
      <c r="J66" s="237" t="e">
        <f t="shared" si="27"/>
        <v>#VALUE!</v>
      </c>
      <c r="K66" s="1"/>
      <c r="O66" s="232"/>
      <c r="P66" s="231"/>
    </row>
    <row r="67" spans="1:16">
      <c r="E67" s="1"/>
      <c r="F67" s="1"/>
      <c r="G67" s="1"/>
      <c r="H67" s="1"/>
      <c r="I67" s="1"/>
      <c r="J67" s="1"/>
      <c r="K67" s="1"/>
      <c r="L67" s="232"/>
      <c r="O67" s="232"/>
      <c r="P67" s="231"/>
    </row>
    <row r="68" spans="1:16">
      <c r="B68" s="218" t="s">
        <v>397</v>
      </c>
      <c r="E68" s="264">
        <v>149000</v>
      </c>
      <c r="F68" s="264">
        <v>146000</v>
      </c>
      <c r="G68" s="264">
        <v>95000</v>
      </c>
      <c r="H68" s="264">
        <v>98000</v>
      </c>
      <c r="J68" s="1">
        <f>SUM(E68:I68)</f>
        <v>488000</v>
      </c>
      <c r="K68" s="1"/>
      <c r="L68" s="232"/>
      <c r="O68" s="232"/>
      <c r="P68" s="231"/>
    </row>
    <row r="69" spans="1:16">
      <c r="B69" s="218" t="s">
        <v>398</v>
      </c>
      <c r="E69" s="265">
        <v>108000</v>
      </c>
      <c r="F69" s="265">
        <v>108000</v>
      </c>
      <c r="G69" s="265">
        <v>72000</v>
      </c>
      <c r="H69" s="265">
        <v>62000</v>
      </c>
      <c r="I69" s="198"/>
      <c r="J69" s="198">
        <f>SUM(E69:I69)</f>
        <v>350000</v>
      </c>
      <c r="K69" s="1"/>
      <c r="L69" s="232"/>
      <c r="O69" s="232"/>
      <c r="P69" s="231"/>
    </row>
    <row r="70" spans="1:16" ht="15.75" thickBot="1">
      <c r="B70" s="218">
        <v>2020</v>
      </c>
      <c r="E70" s="214">
        <f>SUM(E68:E69)</f>
        <v>257000</v>
      </c>
      <c r="F70" s="214">
        <f t="shared" ref="F70:J70" si="28">SUM(F68:F69)</f>
        <v>254000</v>
      </c>
      <c r="G70" s="214">
        <f t="shared" si="28"/>
        <v>167000</v>
      </c>
      <c r="H70" s="214">
        <f>SUM(H68:H69)</f>
        <v>160000</v>
      </c>
      <c r="I70" s="214">
        <f t="shared" si="28"/>
        <v>0</v>
      </c>
      <c r="J70" s="214">
        <f t="shared" si="28"/>
        <v>838000</v>
      </c>
      <c r="K70" s="123"/>
      <c r="L70" s="4"/>
    </row>
    <row r="71" spans="1:16" ht="15.75" thickTop="1">
      <c r="B71" s="218"/>
      <c r="C71" t="s">
        <v>400</v>
      </c>
      <c r="E71" s="1"/>
      <c r="F71" s="1"/>
      <c r="G71" s="1"/>
      <c r="H71" s="1"/>
      <c r="I71" s="1"/>
      <c r="J71" s="1"/>
      <c r="K71" s="123"/>
      <c r="L71" s="4"/>
    </row>
    <row r="72" spans="1:16">
      <c r="B72" t="s">
        <v>399</v>
      </c>
      <c r="C72">
        <v>23350</v>
      </c>
      <c r="E72" s="146" t="e">
        <f t="shared" ref="E72:I73" si="29">E68-E63</f>
        <v>#VALUE!</v>
      </c>
      <c r="F72" s="146" t="e">
        <f t="shared" si="29"/>
        <v>#REF!</v>
      </c>
      <c r="G72" s="146" t="e">
        <f t="shared" si="29"/>
        <v>#REF!</v>
      </c>
      <c r="H72" s="146" t="e">
        <f t="shared" si="29"/>
        <v>#REF!</v>
      </c>
      <c r="I72" s="146">
        <f t="shared" si="29"/>
        <v>0</v>
      </c>
      <c r="J72" s="146" t="e">
        <f>SUM(E72:I72)</f>
        <v>#VALUE!</v>
      </c>
      <c r="K72" s="123"/>
      <c r="L72" s="123"/>
      <c r="O72" s="233"/>
    </row>
    <row r="73" spans="1:16">
      <c r="B73"/>
      <c r="C73">
        <v>27100</v>
      </c>
      <c r="E73" s="146" t="e">
        <f t="shared" si="29"/>
        <v>#VALUE!</v>
      </c>
      <c r="F73" s="146" t="e">
        <f t="shared" si="29"/>
        <v>#REF!</v>
      </c>
      <c r="G73" s="146" t="e">
        <f t="shared" si="29"/>
        <v>#REF!</v>
      </c>
      <c r="H73" s="146" t="e">
        <f>H69-H64</f>
        <v>#REF!</v>
      </c>
      <c r="I73" s="146">
        <f t="shared" si="29"/>
        <v>0</v>
      </c>
      <c r="J73" s="146" t="e">
        <f>SUM(E73:I73)</f>
        <v>#VALUE!</v>
      </c>
      <c r="K73" s="123"/>
      <c r="L73" s="4"/>
    </row>
    <row r="74" spans="1:16">
      <c r="C74">
        <v>80100</v>
      </c>
      <c r="E74" s="163" t="e">
        <f>-SUM(E72:E73)</f>
        <v>#VALUE!</v>
      </c>
      <c r="F74" s="163" t="e">
        <f t="shared" ref="F74:J74" si="30">-SUM(F72:F73)</f>
        <v>#REF!</v>
      </c>
      <c r="G74" s="163" t="e">
        <f t="shared" si="30"/>
        <v>#REF!</v>
      </c>
      <c r="H74" s="163" t="e">
        <f t="shared" si="30"/>
        <v>#REF!</v>
      </c>
      <c r="I74" s="163">
        <f t="shared" si="30"/>
        <v>0</v>
      </c>
      <c r="J74" s="163" t="e">
        <f t="shared" si="30"/>
        <v>#VALUE!</v>
      </c>
    </row>
    <row r="76" spans="1:16">
      <c r="A76" s="152"/>
    </row>
  </sheetData>
  <mergeCells count="2">
    <mergeCell ref="A1:M1"/>
    <mergeCell ref="A2:M2"/>
  </mergeCells>
  <pageMargins left="0.25" right="0.25" top="0.75" bottom="0.75" header="0.3" footer="0.3"/>
  <pageSetup scale="53" fitToHeight="2" orientation="landscape" r:id="rId1"/>
  <rowBreaks count="1" manualBreakCount="1">
    <brk id="33"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38A25-083E-4EE7-BD53-1F4862D6540C}">
  <dimension ref="A1:R76"/>
  <sheetViews>
    <sheetView workbookViewId="0">
      <selection sqref="A1:M1"/>
    </sheetView>
  </sheetViews>
  <sheetFormatPr defaultColWidth="8.85546875" defaultRowHeight="15"/>
  <cols>
    <col min="1" max="1" width="5.85546875" customWidth="1"/>
    <col min="2" max="2" width="38.28515625" style="174" customWidth="1"/>
    <col min="3" max="3" width="6.42578125" customWidth="1"/>
    <col min="4" max="4" width="7.5703125" customWidth="1"/>
    <col min="5" max="5" width="12.28515625" customWidth="1"/>
    <col min="6" max="6" width="11.5703125" bestFit="1" customWidth="1"/>
    <col min="7" max="7" width="11.28515625" bestFit="1" customWidth="1"/>
    <col min="8" max="8" width="11.5703125" bestFit="1" customWidth="1"/>
    <col min="9" max="9" width="11.85546875" hidden="1" customWidth="1"/>
    <col min="10" max="10" width="13.28515625" customWidth="1"/>
    <col min="11" max="11" width="4.85546875" bestFit="1" customWidth="1"/>
    <col min="12" max="12" width="24.28515625" bestFit="1" customWidth="1"/>
    <col min="13" max="13" width="17.5703125" customWidth="1"/>
    <col min="14" max="14" width="12.28515625" bestFit="1" customWidth="1"/>
    <col min="15" max="15" width="11.140625" bestFit="1" customWidth="1"/>
  </cols>
  <sheetData>
    <row r="1" spans="1:13" ht="18.75">
      <c r="A1" s="320" t="s">
        <v>374</v>
      </c>
      <c r="B1" s="321"/>
      <c r="C1" s="321"/>
      <c r="D1" s="321"/>
      <c r="E1" s="321"/>
      <c r="F1" s="321"/>
      <c r="G1" s="321"/>
      <c r="H1" s="321"/>
      <c r="I1" s="321"/>
      <c r="J1" s="321"/>
      <c r="K1" s="321"/>
      <c r="L1" s="321"/>
      <c r="M1" s="322"/>
    </row>
    <row r="2" spans="1:13" ht="19.5" thickBot="1">
      <c r="A2" s="323" t="s">
        <v>368</v>
      </c>
      <c r="B2" s="324"/>
      <c r="C2" s="324"/>
      <c r="D2" s="324"/>
      <c r="E2" s="324"/>
      <c r="F2" s="324"/>
      <c r="G2" s="324"/>
      <c r="H2" s="324"/>
      <c r="I2" s="324"/>
      <c r="J2" s="324"/>
      <c r="K2" s="324"/>
      <c r="L2" s="324"/>
      <c r="M2" s="325"/>
    </row>
    <row r="3" spans="1:13">
      <c r="A3" s="222"/>
      <c r="B3" s="222"/>
      <c r="C3" s="222"/>
      <c r="D3" s="222"/>
      <c r="E3" s="222"/>
      <c r="F3" s="222"/>
      <c r="G3" s="222"/>
      <c r="H3" s="222"/>
      <c r="I3" s="222"/>
      <c r="J3" s="222"/>
      <c r="K3" s="222"/>
      <c r="L3" s="222"/>
      <c r="M3" s="222"/>
    </row>
    <row r="4" spans="1:13">
      <c r="E4" s="223"/>
      <c r="F4" s="223"/>
      <c r="G4" s="223"/>
      <c r="H4" s="223"/>
      <c r="I4" s="223"/>
      <c r="J4" s="224"/>
    </row>
    <row r="5" spans="1:13" ht="30.75" thickBot="1">
      <c r="A5" s="177"/>
      <c r="B5" s="180"/>
      <c r="C5" s="177"/>
      <c r="D5" s="177"/>
      <c r="E5" s="178" t="s">
        <v>375</v>
      </c>
      <c r="F5" s="178" t="s">
        <v>371</v>
      </c>
      <c r="G5" s="178" t="s">
        <v>373</v>
      </c>
      <c r="H5" s="178" t="s">
        <v>372</v>
      </c>
      <c r="I5" s="178" t="s">
        <v>395</v>
      </c>
      <c r="J5" s="178" t="s">
        <v>300</v>
      </c>
      <c r="K5" s="182"/>
      <c r="L5" s="199" t="s">
        <v>403</v>
      </c>
      <c r="M5" s="199" t="s">
        <v>363</v>
      </c>
    </row>
    <row r="6" spans="1:13">
      <c r="A6" s="185"/>
      <c r="B6" s="186"/>
      <c r="C6" s="185"/>
      <c r="D6" s="185"/>
      <c r="E6" s="182"/>
      <c r="F6" s="182"/>
      <c r="G6" s="182"/>
      <c r="H6" s="182"/>
      <c r="I6" s="182"/>
      <c r="J6" s="182"/>
      <c r="K6" s="182"/>
      <c r="L6" s="187"/>
    </row>
    <row r="7" spans="1:13" ht="15" hidden="1" customHeight="1">
      <c r="A7" s="153"/>
      <c r="B7" s="179"/>
      <c r="C7" s="153"/>
      <c r="D7" s="153"/>
      <c r="J7" s="216" t="s">
        <v>367</v>
      </c>
      <c r="L7" s="188">
        <v>0</v>
      </c>
      <c r="M7" s="190" t="s">
        <v>364</v>
      </c>
    </row>
    <row r="8" spans="1:13">
      <c r="A8" s="153"/>
      <c r="B8" s="179"/>
      <c r="C8" s="153"/>
      <c r="D8" s="153"/>
      <c r="J8" s="216" t="s">
        <v>366</v>
      </c>
      <c r="L8" s="188">
        <v>0</v>
      </c>
      <c r="M8" s="190" t="s">
        <v>364</v>
      </c>
    </row>
    <row r="9" spans="1:13">
      <c r="A9" s="153"/>
      <c r="B9" s="179"/>
      <c r="C9" s="153"/>
      <c r="D9" s="153"/>
      <c r="L9" s="188"/>
      <c r="M9" s="190"/>
    </row>
    <row r="10" spans="1:13" s="146" customFormat="1">
      <c r="B10" s="193">
        <v>2020</v>
      </c>
      <c r="C10" s="194"/>
      <c r="D10" s="194"/>
      <c r="E10" s="195"/>
      <c r="F10" s="195"/>
      <c r="G10" s="195"/>
      <c r="H10" s="195"/>
      <c r="I10" s="195"/>
      <c r="J10" s="196"/>
      <c r="L10" s="221">
        <f>+B10</f>
        <v>2020</v>
      </c>
      <c r="M10" s="221"/>
    </row>
    <row r="11" spans="1:13" s="146" customFormat="1">
      <c r="B11" s="181" t="s">
        <v>337</v>
      </c>
      <c r="E11" s="163" t="e">
        <f>'Summary of Data'!#REF!</f>
        <v>#REF!</v>
      </c>
      <c r="F11" s="163" t="e">
        <f>'Summary of Data'!#REF!</f>
        <v>#REF!</v>
      </c>
      <c r="G11" s="163" t="e">
        <f>'Summary of Data'!#REF!</f>
        <v>#REF!</v>
      </c>
      <c r="H11" s="163" t="e">
        <f>'Summary of Data'!#REF!</f>
        <v>#REF!</v>
      </c>
      <c r="I11" s="163" t="e">
        <f>'Summary of Data'!#REF!</f>
        <v>#REF!</v>
      </c>
      <c r="J11" s="163" t="e">
        <f>SUM(E11:I11)</f>
        <v>#REF!</v>
      </c>
      <c r="K11" s="172"/>
      <c r="L11" s="163" t="e">
        <f>J11*(1-$L$7)</f>
        <v>#REF!</v>
      </c>
    </row>
    <row r="12" spans="1:13">
      <c r="B12" s="174" t="s">
        <v>339</v>
      </c>
      <c r="E12" s="163" t="e">
        <f>'Summary of Data'!#REF!</f>
        <v>#REF!</v>
      </c>
      <c r="F12" s="163" t="e">
        <f>'Summary of Data'!#REF!</f>
        <v>#REF!</v>
      </c>
      <c r="G12" s="163" t="e">
        <f>'Summary of Data'!#REF!</f>
        <v>#REF!</v>
      </c>
      <c r="H12" s="163" t="e">
        <f>'Summary of Data'!#REF!</f>
        <v>#REF!</v>
      </c>
      <c r="I12" s="163" t="e">
        <f>'Summary of Data'!#REF!</f>
        <v>#REF!</v>
      </c>
      <c r="J12" s="163" t="e">
        <f>SUM(E12:I12)</f>
        <v>#REF!</v>
      </c>
      <c r="K12" s="172"/>
      <c r="L12" s="192" t="e">
        <f>J12*(1-$L$7)</f>
        <v>#REF!</v>
      </c>
    </row>
    <row r="13" spans="1:13">
      <c r="B13" s="174" t="s">
        <v>338</v>
      </c>
      <c r="E13" s="260" t="e">
        <f t="shared" ref="E13:J13" si="0">SUM(E11:E12)</f>
        <v>#REF!</v>
      </c>
      <c r="F13" s="260" t="e">
        <f t="shared" si="0"/>
        <v>#REF!</v>
      </c>
      <c r="G13" s="260" t="e">
        <f t="shared" si="0"/>
        <v>#REF!</v>
      </c>
      <c r="H13" s="260" t="e">
        <f>SUM(H11:H12)</f>
        <v>#REF!</v>
      </c>
      <c r="I13" s="260" t="e">
        <f>SUM(I11:I12)</f>
        <v>#REF!</v>
      </c>
      <c r="J13" s="260" t="e">
        <f t="shared" si="0"/>
        <v>#REF!</v>
      </c>
      <c r="K13" s="172"/>
      <c r="L13" s="163" t="e">
        <f t="shared" ref="L13" si="1">SUM(L11:L12)</f>
        <v>#REF!</v>
      </c>
    </row>
    <row r="14" spans="1:13">
      <c r="E14" s="163"/>
      <c r="F14" s="163"/>
      <c r="G14" s="163"/>
      <c r="H14" s="163"/>
      <c r="I14" s="163"/>
      <c r="J14" s="163"/>
      <c r="K14" s="172"/>
      <c r="L14" s="163"/>
    </row>
    <row r="15" spans="1:13">
      <c r="B15" s="174" t="s">
        <v>341</v>
      </c>
      <c r="E15" s="183" t="e">
        <f>+E12/E13</f>
        <v>#REF!</v>
      </c>
      <c r="F15" s="183" t="e">
        <f t="shared" ref="F15:G15" si="2">+F12/F13</f>
        <v>#REF!</v>
      </c>
      <c r="G15" s="183" t="e">
        <f t="shared" si="2"/>
        <v>#REF!</v>
      </c>
      <c r="H15" s="183" t="e">
        <f>+H12/H13</f>
        <v>#REF!</v>
      </c>
      <c r="I15" s="183"/>
      <c r="J15" s="183" t="e">
        <f>+J12/J13</f>
        <v>#REF!</v>
      </c>
      <c r="K15" s="183"/>
      <c r="L15" s="208" t="e">
        <f>AVERAGE(E15:I15)</f>
        <v>#REF!</v>
      </c>
      <c r="M15" s="189"/>
    </row>
    <row r="16" spans="1:13">
      <c r="E16" s="172"/>
      <c r="F16" s="172"/>
      <c r="G16" s="172"/>
      <c r="H16" s="172"/>
      <c r="I16" s="172"/>
      <c r="J16" s="172"/>
      <c r="K16" s="172"/>
      <c r="L16" s="227"/>
      <c r="M16" s="189"/>
    </row>
    <row r="17" spans="2:18">
      <c r="B17" s="174" t="s">
        <v>338</v>
      </c>
      <c r="E17" s="163" t="e">
        <f>E13</f>
        <v>#REF!</v>
      </c>
      <c r="F17" s="163" t="e">
        <f t="shared" ref="F17:G17" si="3">F13</f>
        <v>#REF!</v>
      </c>
      <c r="G17" s="163" t="e">
        <f t="shared" si="3"/>
        <v>#REF!</v>
      </c>
      <c r="H17" s="163" t="e">
        <f>H13</f>
        <v>#REF!</v>
      </c>
      <c r="I17" s="163" t="e">
        <f>I13</f>
        <v>#REF!</v>
      </c>
      <c r="J17" s="163" t="e">
        <f>SUM(E17:I17)</f>
        <v>#REF!</v>
      </c>
      <c r="K17" s="172"/>
      <c r="L17" s="227" t="e">
        <f>L13</f>
        <v>#REF!</v>
      </c>
      <c r="M17" s="189"/>
    </row>
    <row r="18" spans="2:18" ht="45">
      <c r="B18" s="226" t="s">
        <v>348</v>
      </c>
      <c r="C18" s="235">
        <v>0.67130000000000001</v>
      </c>
      <c r="D18" s="217"/>
      <c r="E18" s="172" t="e">
        <f>-'Summary of Data'!#REF!*$C$18</f>
        <v>#REF!</v>
      </c>
      <c r="F18" s="172" t="e">
        <f>-'Summary of Data'!#REF!*$C$18</f>
        <v>#REF!</v>
      </c>
      <c r="G18" s="172" t="e">
        <f>-'Summary of Data'!#REF!*$C$18</f>
        <v>#REF!</v>
      </c>
      <c r="H18" s="172" t="e">
        <f>-'Summary of Data'!#REF!*$C$18</f>
        <v>#REF!</v>
      </c>
      <c r="I18" s="172" t="e">
        <f>-'Summary of Data'!#REF!*$C$18</f>
        <v>#REF!</v>
      </c>
      <c r="J18" s="172" t="e">
        <f>SUM(E18:I18)</f>
        <v>#REF!</v>
      </c>
      <c r="K18" s="172"/>
      <c r="L18" s="209" t="e">
        <f>J18*(1-$L$7)</f>
        <v>#REF!</v>
      </c>
    </row>
    <row r="19" spans="2:18">
      <c r="B19" s="174" t="s">
        <v>359</v>
      </c>
      <c r="C19" s="174"/>
      <c r="D19" s="174"/>
      <c r="E19" s="228" t="e">
        <f>-'Summary of Data'!#REF!</f>
        <v>#REF!</v>
      </c>
      <c r="F19" s="228" t="e">
        <f>-'Summary of Data'!#REF!</f>
        <v>#REF!</v>
      </c>
      <c r="G19" s="228" t="e">
        <f>-'Summary of Data'!#REF!</f>
        <v>#REF!</v>
      </c>
      <c r="H19" s="228" t="e">
        <f>-'Summary of Data'!#REF!</f>
        <v>#REF!</v>
      </c>
      <c r="I19" s="228" t="e">
        <f>-'Summary of Data'!#REF!</f>
        <v>#REF!</v>
      </c>
      <c r="J19" s="228" t="e">
        <f>SUM(E19:I19)</f>
        <v>#REF!</v>
      </c>
      <c r="K19" s="172"/>
      <c r="L19" s="228" t="e">
        <f>J19*(1-$L$7)</f>
        <v>#REF!</v>
      </c>
    </row>
    <row r="20" spans="2:18">
      <c r="B20" t="s">
        <v>349</v>
      </c>
      <c r="E20" s="163" t="e">
        <f>+E13+E18+E19</f>
        <v>#REF!</v>
      </c>
      <c r="F20" s="163" t="e">
        <f t="shared" ref="F20:G20" si="4">+F13+F18+F19</f>
        <v>#REF!</v>
      </c>
      <c r="G20" s="163" t="e">
        <f t="shared" si="4"/>
        <v>#REF!</v>
      </c>
      <c r="H20" s="163" t="e">
        <f>+H13+H18+H19</f>
        <v>#REF!</v>
      </c>
      <c r="I20" s="163" t="e">
        <f>+I13+I18+I19</f>
        <v>#REF!</v>
      </c>
      <c r="J20" s="163" t="e">
        <f>SUM(J17:J19)</f>
        <v>#REF!</v>
      </c>
      <c r="K20" s="172"/>
      <c r="L20" s="209" t="e">
        <f>+L13+L18+L19</f>
        <v>#REF!</v>
      </c>
    </row>
    <row r="21" spans="2:18">
      <c r="E21" s="163"/>
      <c r="F21" s="163"/>
      <c r="G21" s="163"/>
      <c r="H21" s="163"/>
      <c r="I21" s="163"/>
      <c r="J21" s="163"/>
      <c r="K21" s="172"/>
      <c r="L21" s="163"/>
    </row>
    <row r="22" spans="2:18">
      <c r="B22" s="193">
        <v>2019</v>
      </c>
      <c r="C22" s="194"/>
      <c r="D22" s="194"/>
      <c r="E22" s="195"/>
      <c r="F22" s="195"/>
      <c r="G22" s="229"/>
      <c r="H22" s="229"/>
      <c r="I22" s="229"/>
      <c r="J22" s="195"/>
      <c r="K22" s="172"/>
      <c r="L22" s="221">
        <f>+B22</f>
        <v>2019</v>
      </c>
      <c r="M22" s="221"/>
    </row>
    <row r="23" spans="2:18">
      <c r="B23" s="181" t="s">
        <v>337</v>
      </c>
      <c r="C23" s="146"/>
      <c r="D23" s="146"/>
      <c r="E23" s="163">
        <v>2453869</v>
      </c>
      <c r="F23" s="163">
        <v>1976779</v>
      </c>
      <c r="G23" s="163">
        <v>1588424</v>
      </c>
      <c r="H23" s="163">
        <v>1582868</v>
      </c>
      <c r="I23" s="163">
        <v>0</v>
      </c>
      <c r="J23" s="163">
        <f>SUM(E23:I23)</f>
        <v>7601940</v>
      </c>
      <c r="K23" s="172"/>
      <c r="L23" s="163">
        <f>J23*(1-$L$7)</f>
        <v>7601940</v>
      </c>
      <c r="M23" s="146"/>
    </row>
    <row r="24" spans="2:18">
      <c r="B24" s="174" t="s">
        <v>339</v>
      </c>
      <c r="E24" s="192">
        <v>313514</v>
      </c>
      <c r="F24" s="192">
        <v>427274</v>
      </c>
      <c r="G24" s="192">
        <v>227191</v>
      </c>
      <c r="H24" s="192">
        <v>288309</v>
      </c>
      <c r="I24" s="192">
        <v>0</v>
      </c>
      <c r="J24" s="192">
        <f>SUM(E24:I24)</f>
        <v>1256288</v>
      </c>
      <c r="K24" s="172"/>
      <c r="L24" s="192">
        <f>J24*(1-$L$7)</f>
        <v>1256288</v>
      </c>
    </row>
    <row r="25" spans="2:18">
      <c r="B25" s="174" t="s">
        <v>338</v>
      </c>
      <c r="E25" s="163">
        <f t="shared" ref="E25:J25" si="5">SUM(E23:E24)</f>
        <v>2767383</v>
      </c>
      <c r="F25" s="163">
        <f t="shared" si="5"/>
        <v>2404053</v>
      </c>
      <c r="G25" s="163">
        <f t="shared" si="5"/>
        <v>1815615</v>
      </c>
      <c r="H25" s="163">
        <f>SUM(H23:H24)</f>
        <v>1871177</v>
      </c>
      <c r="I25" s="163">
        <f>SUM(I23:I24)</f>
        <v>0</v>
      </c>
      <c r="J25" s="163">
        <f t="shared" si="5"/>
        <v>8858228</v>
      </c>
      <c r="K25" s="172"/>
      <c r="L25" s="163">
        <f t="shared" ref="L25" si="6">SUM(L23:L24)</f>
        <v>8858228</v>
      </c>
    </row>
    <row r="26" spans="2:18">
      <c r="E26" s="163"/>
      <c r="F26" s="163"/>
      <c r="G26" s="163"/>
      <c r="H26" s="163"/>
      <c r="I26" s="163"/>
      <c r="J26" s="163"/>
      <c r="K26" s="172"/>
      <c r="L26" s="163"/>
    </row>
    <row r="27" spans="2:18">
      <c r="B27" s="174" t="s">
        <v>341</v>
      </c>
      <c r="E27" s="183">
        <f>+E24/E25</f>
        <v>0.1132889809614354</v>
      </c>
      <c r="F27" s="183">
        <f t="shared" ref="F27:G27" si="7">+F24/F25</f>
        <v>0.1777306906295327</v>
      </c>
      <c r="G27" s="183">
        <f t="shared" si="7"/>
        <v>0.12513170468408777</v>
      </c>
      <c r="H27" s="183">
        <f>+H24/H25</f>
        <v>0.15407895672082331</v>
      </c>
      <c r="I27" s="183"/>
      <c r="J27" s="183">
        <f>+J24/J25</f>
        <v>0.14182159230943253</v>
      </c>
      <c r="K27" s="183"/>
      <c r="L27" s="208">
        <f>AVERAGE(E27:H27)</f>
        <v>0.14255758324896978</v>
      </c>
      <c r="M27" s="189"/>
    </row>
    <row r="28" spans="2:18">
      <c r="E28" s="172"/>
      <c r="F28" s="172"/>
      <c r="G28" s="172"/>
      <c r="H28" s="172"/>
      <c r="I28" s="172"/>
      <c r="J28" s="172"/>
      <c r="K28" s="172"/>
      <c r="L28" s="227"/>
      <c r="M28" s="189"/>
    </row>
    <row r="29" spans="2:18">
      <c r="B29" s="174" t="s">
        <v>338</v>
      </c>
      <c r="E29" s="163">
        <f>E25</f>
        <v>2767383</v>
      </c>
      <c r="F29" s="163">
        <f t="shared" ref="F29:G29" si="8">F25</f>
        <v>2404053</v>
      </c>
      <c r="G29" s="163">
        <f t="shared" si="8"/>
        <v>1815615</v>
      </c>
      <c r="H29" s="163">
        <f>H25</f>
        <v>1871177</v>
      </c>
      <c r="I29" s="163">
        <f>I25</f>
        <v>0</v>
      </c>
      <c r="J29" s="163">
        <f>SUM(E29:I29)</f>
        <v>8858228</v>
      </c>
      <c r="K29" s="172"/>
      <c r="L29" s="163">
        <f t="shared" ref="L29" si="9">L25</f>
        <v>8858228</v>
      </c>
      <c r="M29" s="189"/>
    </row>
    <row r="30" spans="2:18" ht="45">
      <c r="B30" s="226" t="s">
        <v>348</v>
      </c>
      <c r="C30" s="235">
        <f>+C18</f>
        <v>0.67130000000000001</v>
      </c>
      <c r="D30" s="218"/>
      <c r="E30" s="172">
        <v>-977068.42310000001</v>
      </c>
      <c r="F30" s="172">
        <v>-681044.59080000001</v>
      </c>
      <c r="G30" s="172">
        <v>-572658.50670000003</v>
      </c>
      <c r="H30" s="172">
        <v>-591586.48149999999</v>
      </c>
      <c r="I30" s="172">
        <v>0</v>
      </c>
      <c r="J30" s="172">
        <f>SUM(E30:I30)</f>
        <v>-2822358.0021000002</v>
      </c>
      <c r="K30" s="172"/>
      <c r="L30" s="209">
        <f>J30*(1-$L$7)</f>
        <v>-2822358.0021000002</v>
      </c>
    </row>
    <row r="31" spans="2:18" ht="14.45" customHeight="1">
      <c r="B31" s="174" t="s">
        <v>359</v>
      </c>
      <c r="C31" s="174"/>
      <c r="D31" s="174"/>
      <c r="E31" s="228">
        <v>-6928</v>
      </c>
      <c r="F31" s="228">
        <v>-67423</v>
      </c>
      <c r="G31" s="228">
        <v>-41046</v>
      </c>
      <c r="H31" s="228">
        <v>-5131</v>
      </c>
      <c r="I31" s="228">
        <v>0</v>
      </c>
      <c r="J31" s="228">
        <f>SUM(E31:I31)</f>
        <v>-120528</v>
      </c>
      <c r="K31" s="209"/>
      <c r="L31" s="228">
        <f>J31*(1-$L$7)</f>
        <v>-120528</v>
      </c>
      <c r="N31" s="1"/>
      <c r="O31" s="1"/>
      <c r="P31" s="1"/>
      <c r="Q31" s="1"/>
      <c r="R31" s="1"/>
    </row>
    <row r="32" spans="2:18">
      <c r="B32" t="s">
        <v>349</v>
      </c>
      <c r="E32" s="163">
        <f>+E25+E30+E31</f>
        <v>1783386.5769</v>
      </c>
      <c r="F32" s="163">
        <f t="shared" ref="F32:G32" si="10">+F25+F30+F31</f>
        <v>1655585.4092000001</v>
      </c>
      <c r="G32" s="163">
        <f t="shared" si="10"/>
        <v>1201910.4933</v>
      </c>
      <c r="H32" s="163">
        <f>+H25+H30+H31</f>
        <v>1274459.5185</v>
      </c>
      <c r="I32" s="163">
        <f>+I25+I30+I31</f>
        <v>0</v>
      </c>
      <c r="J32" s="163">
        <f>SUM(J29:J31)</f>
        <v>5915341.9978999998</v>
      </c>
      <c r="K32" s="172"/>
      <c r="L32" s="209">
        <f>+L25+L30+L31</f>
        <v>5915341.9978999998</v>
      </c>
    </row>
    <row r="33" spans="2:15">
      <c r="E33" s="163"/>
      <c r="F33" s="163"/>
      <c r="G33" s="163"/>
      <c r="H33" s="163"/>
      <c r="I33" s="163"/>
      <c r="J33" s="163"/>
      <c r="K33" s="172"/>
      <c r="L33" s="163"/>
    </row>
    <row r="34" spans="2:15">
      <c r="B34" s="193">
        <v>2018</v>
      </c>
      <c r="C34" s="194"/>
      <c r="D34" s="194"/>
      <c r="E34" s="195"/>
      <c r="F34" s="195"/>
      <c r="G34" s="195"/>
      <c r="H34" s="195"/>
      <c r="I34" s="195"/>
      <c r="J34" s="195"/>
      <c r="K34" s="172"/>
      <c r="L34" s="221">
        <f>+B34</f>
        <v>2018</v>
      </c>
      <c r="M34" s="221"/>
    </row>
    <row r="35" spans="2:15">
      <c r="B35" s="181" t="s">
        <v>337</v>
      </c>
      <c r="C35" s="146"/>
      <c r="D35" s="146"/>
      <c r="E35" s="163">
        <v>1942633</v>
      </c>
      <c r="F35" s="163">
        <v>1708753</v>
      </c>
      <c r="G35" s="163">
        <v>1100194</v>
      </c>
      <c r="H35" s="163">
        <v>1420472</v>
      </c>
      <c r="I35" s="163">
        <v>0</v>
      </c>
      <c r="J35" s="163">
        <f>SUM(E35:I35)</f>
        <v>6172052</v>
      </c>
      <c r="K35" s="172"/>
      <c r="L35" s="163">
        <f>J35*(1-$L$7)</f>
        <v>6172052</v>
      </c>
      <c r="M35" s="146"/>
    </row>
    <row r="36" spans="2:15">
      <c r="B36" s="174" t="s">
        <v>339</v>
      </c>
      <c r="E36" s="192">
        <v>363441</v>
      </c>
      <c r="F36" s="192">
        <v>452293</v>
      </c>
      <c r="G36" s="192">
        <v>64652</v>
      </c>
      <c r="H36" s="192">
        <v>127111</v>
      </c>
      <c r="I36" s="192">
        <v>0</v>
      </c>
      <c r="J36" s="192">
        <f>SUM(E36:I36)</f>
        <v>1007497</v>
      </c>
      <c r="K36" s="172"/>
      <c r="L36" s="192">
        <f>J36*(1-$L$7)</f>
        <v>1007497</v>
      </c>
    </row>
    <row r="37" spans="2:15">
      <c r="B37" s="174" t="s">
        <v>338</v>
      </c>
      <c r="E37" s="163">
        <f t="shared" ref="E37:J37" si="11">SUM(E35:E36)</f>
        <v>2306074</v>
      </c>
      <c r="F37" s="172">
        <f t="shared" si="11"/>
        <v>2161046</v>
      </c>
      <c r="G37" s="163">
        <f t="shared" si="11"/>
        <v>1164846</v>
      </c>
      <c r="H37" s="163">
        <f>SUM(H35:H36)</f>
        <v>1547583</v>
      </c>
      <c r="I37" s="163">
        <f>SUM(I35:I36)</f>
        <v>0</v>
      </c>
      <c r="J37" s="163">
        <f t="shared" si="11"/>
        <v>7179549</v>
      </c>
      <c r="K37" s="172"/>
      <c r="L37" s="163">
        <f>+L35+L36</f>
        <v>7179549</v>
      </c>
    </row>
    <row r="38" spans="2:15">
      <c r="E38" s="163"/>
      <c r="F38" s="172"/>
      <c r="G38" s="163"/>
      <c r="H38" s="163"/>
      <c r="I38" s="163"/>
      <c r="J38" s="163"/>
      <c r="K38" s="172"/>
      <c r="L38" s="163"/>
    </row>
    <row r="39" spans="2:15">
      <c r="B39" s="174" t="s">
        <v>341</v>
      </c>
      <c r="E39" s="183">
        <f>+E36/E37</f>
        <v>0.1576016207632539</v>
      </c>
      <c r="F39" s="183">
        <f t="shared" ref="F39:J39" si="12">+F36/F37</f>
        <v>0.20929355506546368</v>
      </c>
      <c r="G39" s="183">
        <f>+G36/G37</f>
        <v>5.5502615796422877E-2</v>
      </c>
      <c r="H39" s="183">
        <f>+H36/H37</f>
        <v>8.2135174656221999E-2</v>
      </c>
      <c r="I39" s="183"/>
      <c r="J39" s="183">
        <f t="shared" si="12"/>
        <v>0.14032873095510595</v>
      </c>
      <c r="K39" s="183"/>
      <c r="L39" s="208">
        <f>AVERAGE(E39:H39)</f>
        <v>0.12613324157034062</v>
      </c>
      <c r="M39" s="189"/>
    </row>
    <row r="40" spans="2:15">
      <c r="E40" s="172"/>
      <c r="F40" s="172"/>
      <c r="G40" s="172"/>
      <c r="H40" s="172"/>
      <c r="I40" s="172"/>
      <c r="J40" s="172"/>
      <c r="K40" s="172"/>
      <c r="L40" s="209"/>
      <c r="M40" s="189"/>
    </row>
    <row r="41" spans="2:15">
      <c r="B41" s="174" t="s">
        <v>338</v>
      </c>
      <c r="E41" s="163">
        <f>E37</f>
        <v>2306074</v>
      </c>
      <c r="F41" s="172">
        <f t="shared" ref="F41:G41" si="13">F37</f>
        <v>2161046</v>
      </c>
      <c r="G41" s="163">
        <f t="shared" si="13"/>
        <v>1164846</v>
      </c>
      <c r="H41" s="163">
        <f>H37</f>
        <v>1547583</v>
      </c>
      <c r="I41" s="163">
        <f>I37</f>
        <v>0</v>
      </c>
      <c r="J41" s="163">
        <f>SUM(E41:I41)</f>
        <v>7179549</v>
      </c>
      <c r="K41" s="172"/>
      <c r="L41" s="209">
        <f>J41*(1-$L$7)</f>
        <v>7179549</v>
      </c>
      <c r="M41" s="189"/>
    </row>
    <row r="42" spans="2:15" ht="45">
      <c r="B42" s="226" t="s">
        <v>348</v>
      </c>
      <c r="C42" s="235">
        <f>+C30</f>
        <v>0.67130000000000001</v>
      </c>
      <c r="D42" s="218"/>
      <c r="E42" s="172">
        <v>-765471.30660000001</v>
      </c>
      <c r="F42" s="172">
        <v>-662582.49820000003</v>
      </c>
      <c r="G42" s="172">
        <v>-483843.50280000002</v>
      </c>
      <c r="H42" s="172">
        <v>-477078.14140000002</v>
      </c>
      <c r="I42" s="172">
        <v>0</v>
      </c>
      <c r="J42" s="163">
        <f>SUM(E42:I42)</f>
        <v>-2388975.449</v>
      </c>
      <c r="K42" s="172"/>
      <c r="L42" s="209">
        <f>J42*(1-$L$7)</f>
        <v>-2388975.449</v>
      </c>
    </row>
    <row r="43" spans="2:15" ht="14.45" customHeight="1">
      <c r="B43" s="174" t="s">
        <v>359</v>
      </c>
      <c r="C43" s="174"/>
      <c r="D43" s="174"/>
      <c r="E43" s="228">
        <v>-12407</v>
      </c>
      <c r="F43" s="228">
        <v>-71496</v>
      </c>
      <c r="G43" s="228">
        <v>-17546</v>
      </c>
      <c r="H43" s="228">
        <v>-4527</v>
      </c>
      <c r="I43" s="228">
        <v>0</v>
      </c>
      <c r="J43" s="192">
        <f>SUM(E43:I43)</f>
        <v>-105976</v>
      </c>
      <c r="K43" s="172"/>
      <c r="L43" s="228">
        <f>J43*(1-$L$7)</f>
        <v>-105976</v>
      </c>
    </row>
    <row r="44" spans="2:15">
      <c r="B44" t="s">
        <v>349</v>
      </c>
      <c r="E44" s="163">
        <f>+E37+E42+E43</f>
        <v>1528195.6934</v>
      </c>
      <c r="F44" s="172">
        <f t="shared" ref="F44:G44" si="14">+F37+F42+F43</f>
        <v>1426967.5018</v>
      </c>
      <c r="G44" s="163">
        <f t="shared" si="14"/>
        <v>663456.49719999998</v>
      </c>
      <c r="H44" s="163">
        <f>+H37+H42+H43</f>
        <v>1065977.8585999999</v>
      </c>
      <c r="I44" s="163">
        <f>+I37+I42+I43</f>
        <v>0</v>
      </c>
      <c r="J44" s="163">
        <f>SUM(J41:J43)</f>
        <v>4684597.551</v>
      </c>
      <c r="K44" s="172"/>
      <c r="L44" s="209">
        <f>SUM(L41:L43)</f>
        <v>4684597.551</v>
      </c>
    </row>
    <row r="45" spans="2:15" ht="15.75" thickBot="1">
      <c r="B45"/>
      <c r="E45" s="1"/>
      <c r="F45" s="1"/>
      <c r="G45" s="1"/>
      <c r="H45" s="1"/>
      <c r="I45" s="1"/>
      <c r="J45" s="215"/>
      <c r="K45" s="1"/>
      <c r="L45" s="191"/>
    </row>
    <row r="46" spans="2:15">
      <c r="B46" s="180" t="s">
        <v>365</v>
      </c>
      <c r="C46" s="175"/>
      <c r="D46" s="175"/>
      <c r="E46" s="176"/>
      <c r="F46" s="176"/>
      <c r="G46" s="176"/>
      <c r="H46" s="176"/>
      <c r="I46" s="176"/>
      <c r="J46" s="176"/>
      <c r="K46" s="184"/>
      <c r="L46" s="219" t="s">
        <v>402</v>
      </c>
      <c r="M46" s="220"/>
    </row>
    <row r="47" spans="2:15">
      <c r="B47" s="174" t="s">
        <v>352</v>
      </c>
      <c r="C47" s="212" t="s">
        <v>357</v>
      </c>
      <c r="D47" s="212" t="s">
        <v>358</v>
      </c>
      <c r="E47" s="1"/>
      <c r="F47" s="1"/>
      <c r="G47" s="1"/>
      <c r="H47" s="1"/>
      <c r="I47" s="1"/>
      <c r="J47" s="1"/>
      <c r="K47" s="1"/>
      <c r="L47" s="200"/>
      <c r="M47" s="201"/>
    </row>
    <row r="48" spans="2:15">
      <c r="B48" s="197" t="s">
        <v>381</v>
      </c>
      <c r="C48" s="241">
        <v>0.4</v>
      </c>
      <c r="D48" s="242" t="e">
        <f>+L15</f>
        <v>#REF!</v>
      </c>
      <c r="E48" s="172" t="e">
        <f t="shared" ref="E48:J48" si="15">+E20*$D48*$C48</f>
        <v>#REF!</v>
      </c>
      <c r="F48" s="172" t="e">
        <f t="shared" si="15"/>
        <v>#REF!</v>
      </c>
      <c r="G48" s="172" t="e">
        <f t="shared" si="15"/>
        <v>#REF!</v>
      </c>
      <c r="H48" s="172" t="e">
        <f t="shared" si="15"/>
        <v>#REF!</v>
      </c>
      <c r="I48" s="172"/>
      <c r="J48" s="172" t="e">
        <f t="shared" si="15"/>
        <v>#REF!</v>
      </c>
      <c r="K48" s="1"/>
      <c r="L48" s="202" t="e">
        <f>+L20*$D$48*$C$48</f>
        <v>#REF!</v>
      </c>
      <c r="M48" s="201"/>
      <c r="N48" s="151"/>
      <c r="O48" s="144"/>
    </row>
    <row r="49" spans="2:16">
      <c r="B49" s="197" t="s">
        <v>382</v>
      </c>
      <c r="C49" s="241">
        <v>0.25</v>
      </c>
      <c r="D49" s="242" t="e">
        <f>D48</f>
        <v>#REF!</v>
      </c>
      <c r="E49" s="172" t="e">
        <f t="shared" ref="E49:J49" si="16">+E20*$D49*$C49</f>
        <v>#REF!</v>
      </c>
      <c r="F49" s="172" t="e">
        <f t="shared" si="16"/>
        <v>#REF!</v>
      </c>
      <c r="G49" s="172" t="e">
        <f t="shared" si="16"/>
        <v>#REF!</v>
      </c>
      <c r="H49" s="172" t="e">
        <f t="shared" si="16"/>
        <v>#REF!</v>
      </c>
      <c r="I49" s="172"/>
      <c r="J49" s="172" t="e">
        <f t="shared" si="16"/>
        <v>#REF!</v>
      </c>
      <c r="K49" s="1"/>
      <c r="L49" s="203" t="e">
        <f>+L20*$D$49*$C$49</f>
        <v>#REF!</v>
      </c>
      <c r="M49" s="201"/>
    </row>
    <row r="50" spans="2:16">
      <c r="B50" s="197" t="s">
        <v>383</v>
      </c>
      <c r="C50" s="241">
        <v>0.15</v>
      </c>
      <c r="D50" s="242" t="e">
        <f>D49</f>
        <v>#REF!</v>
      </c>
      <c r="E50" s="172" t="e">
        <f t="shared" ref="E50:J50" si="17">+E20*$D50*$C50</f>
        <v>#REF!</v>
      </c>
      <c r="F50" s="172" t="e">
        <f t="shared" si="17"/>
        <v>#REF!</v>
      </c>
      <c r="G50" s="172" t="e">
        <f t="shared" si="17"/>
        <v>#REF!</v>
      </c>
      <c r="H50" s="172" t="e">
        <f t="shared" si="17"/>
        <v>#REF!</v>
      </c>
      <c r="I50" s="172"/>
      <c r="J50" s="172" t="e">
        <f t="shared" si="17"/>
        <v>#REF!</v>
      </c>
      <c r="K50" s="1"/>
      <c r="L50" s="203" t="e">
        <f>+L20*$D$50*$C$50</f>
        <v>#REF!</v>
      </c>
      <c r="M50" s="201"/>
    </row>
    <row r="51" spans="2:16">
      <c r="B51" s="197" t="s">
        <v>384</v>
      </c>
      <c r="C51" s="243">
        <v>0.25</v>
      </c>
      <c r="D51" s="244">
        <f>+L27</f>
        <v>0.14255758324896978</v>
      </c>
      <c r="E51" s="172">
        <f t="shared" ref="E51:J51" si="18">+E32*$D51*$C51</f>
        <v>63558.820100379249</v>
      </c>
      <c r="F51" s="172">
        <f t="shared" si="18"/>
        <v>59004.063699452177</v>
      </c>
      <c r="G51" s="172">
        <f t="shared" si="18"/>
        <v>42835.363801606269</v>
      </c>
      <c r="H51" s="172">
        <f t="shared" si="18"/>
        <v>45420.967226501423</v>
      </c>
      <c r="I51" s="172">
        <f t="shared" si="18"/>
        <v>0</v>
      </c>
      <c r="J51" s="172">
        <f t="shared" si="18"/>
        <v>210819.21482793911</v>
      </c>
      <c r="K51" s="1"/>
      <c r="L51" s="203">
        <f>+L32*$D$51*$C$51</f>
        <v>210819.21482793911</v>
      </c>
      <c r="M51" s="201"/>
      <c r="N51" s="146"/>
      <c r="O51" s="144"/>
    </row>
    <row r="52" spans="2:16">
      <c r="B52" s="197" t="s">
        <v>386</v>
      </c>
      <c r="C52" s="243">
        <v>0.15</v>
      </c>
      <c r="D52" s="244">
        <f>D51</f>
        <v>0.14255758324896978</v>
      </c>
      <c r="E52" s="172">
        <f t="shared" ref="E52:J52" si="19">+E32*$D52*$C52</f>
        <v>38135.292060227548</v>
      </c>
      <c r="F52" s="172">
        <f t="shared" si="19"/>
        <v>35402.438219671305</v>
      </c>
      <c r="G52" s="172">
        <f t="shared" si="19"/>
        <v>25701.21828096376</v>
      </c>
      <c r="H52" s="172">
        <f t="shared" si="19"/>
        <v>27252.580335900853</v>
      </c>
      <c r="I52" s="172">
        <f t="shared" si="19"/>
        <v>0</v>
      </c>
      <c r="J52" s="172">
        <f t="shared" si="19"/>
        <v>126491.52889676346</v>
      </c>
      <c r="K52" s="1"/>
      <c r="L52" s="203">
        <f>+L32*$D$52*$C$52</f>
        <v>126491.52889676346</v>
      </c>
      <c r="M52" s="201"/>
    </row>
    <row r="53" spans="2:16">
      <c r="B53" s="197" t="s">
        <v>387</v>
      </c>
      <c r="C53" s="245">
        <v>0.15</v>
      </c>
      <c r="D53" s="246">
        <f>+L39</f>
        <v>0.12613324157034062</v>
      </c>
      <c r="E53" s="228">
        <f t="shared" ref="E53:J53" si="20">+E44*$D53*$C53</f>
        <v>28913.441484356455</v>
      </c>
      <c r="F53" s="228">
        <f t="shared" si="20"/>
        <v>26998.205492634726</v>
      </c>
      <c r="G53" s="228">
        <f t="shared" si="20"/>
        <v>12552.587794910942</v>
      </c>
      <c r="H53" s="228">
        <f t="shared" si="20"/>
        <v>20168.286412114227</v>
      </c>
      <c r="I53" s="228">
        <f t="shared" si="20"/>
        <v>0</v>
      </c>
      <c r="J53" s="228">
        <f t="shared" si="20"/>
        <v>88632.521184016354</v>
      </c>
      <c r="K53" s="1"/>
      <c r="L53" s="204">
        <f>+L44*$D$53*$C$53</f>
        <v>88632.521184016354</v>
      </c>
      <c r="M53" s="255" t="s">
        <v>390</v>
      </c>
      <c r="N53" t="s">
        <v>391</v>
      </c>
      <c r="O53" s="144"/>
    </row>
    <row r="54" spans="2:16">
      <c r="B54" s="211" t="s">
        <v>360</v>
      </c>
      <c r="E54" s="1" t="e">
        <f t="shared" ref="E54:J54" si="21">SUM(E48:E53)</f>
        <v>#REF!</v>
      </c>
      <c r="F54" s="1" t="e">
        <f t="shared" si="21"/>
        <v>#REF!</v>
      </c>
      <c r="G54" s="1" t="e">
        <f t="shared" si="21"/>
        <v>#REF!</v>
      </c>
      <c r="H54" s="1" t="e">
        <f t="shared" si="21"/>
        <v>#REF!</v>
      </c>
      <c r="I54" s="1">
        <f t="shared" si="21"/>
        <v>0</v>
      </c>
      <c r="J54" s="1" t="e">
        <f t="shared" si="21"/>
        <v>#REF!</v>
      </c>
      <c r="K54" s="1"/>
      <c r="L54" s="205" t="e">
        <f>SUM(L48:L53)</f>
        <v>#REF!</v>
      </c>
      <c r="M54" s="257" t="e">
        <f>L54/L13</f>
        <v>#REF!</v>
      </c>
      <c r="N54" t="s">
        <v>392</v>
      </c>
    </row>
    <row r="55" spans="2:16">
      <c r="B55"/>
      <c r="E55" s="1"/>
      <c r="F55" s="1"/>
      <c r="G55" s="1"/>
      <c r="H55" s="1"/>
      <c r="I55" s="1"/>
      <c r="J55" s="253"/>
      <c r="K55" s="1"/>
      <c r="L55" s="205"/>
      <c r="M55" s="201"/>
    </row>
    <row r="56" spans="2:16">
      <c r="B56" s="174" t="s">
        <v>361</v>
      </c>
      <c r="D56" s="234">
        <v>0.24</v>
      </c>
      <c r="E56" s="198" t="e">
        <f t="shared" ref="E56:J56" si="22">-E54*$D$56</f>
        <v>#REF!</v>
      </c>
      <c r="F56" s="198" t="e">
        <f t="shared" si="22"/>
        <v>#REF!</v>
      </c>
      <c r="G56" s="198" t="e">
        <f t="shared" si="22"/>
        <v>#REF!</v>
      </c>
      <c r="H56" s="198" t="e">
        <f t="shared" si="22"/>
        <v>#REF!</v>
      </c>
      <c r="I56" s="198">
        <f t="shared" si="22"/>
        <v>0</v>
      </c>
      <c r="J56" s="198" t="e">
        <f t="shared" si="22"/>
        <v>#REF!</v>
      </c>
      <c r="K56" s="1"/>
      <c r="L56" s="206" t="e">
        <f>-L54*$D$56</f>
        <v>#REF!</v>
      </c>
      <c r="M56" s="201"/>
    </row>
    <row r="57" spans="2:16">
      <c r="E57" s="1"/>
      <c r="F57" s="1"/>
      <c r="G57" s="1"/>
      <c r="H57" s="1"/>
      <c r="I57" s="1"/>
      <c r="J57" s="4"/>
      <c r="K57" s="4"/>
      <c r="L57" s="200"/>
      <c r="M57" s="201"/>
    </row>
    <row r="58" spans="2:16" ht="15.75" thickBot="1">
      <c r="B58" s="123" t="s">
        <v>362</v>
      </c>
      <c r="E58" s="214" t="e">
        <f t="shared" ref="E58:J58" si="23">SUM(E54:E56)</f>
        <v>#REF!</v>
      </c>
      <c r="F58" s="214" t="e">
        <f t="shared" si="23"/>
        <v>#REF!</v>
      </c>
      <c r="G58" s="214" t="e">
        <f t="shared" si="23"/>
        <v>#REF!</v>
      </c>
      <c r="H58" s="214" t="e">
        <f t="shared" si="23"/>
        <v>#REF!</v>
      </c>
      <c r="I58" s="214">
        <f t="shared" si="23"/>
        <v>0</v>
      </c>
      <c r="J58" s="213" t="e">
        <f t="shared" si="23"/>
        <v>#REF!</v>
      </c>
      <c r="K58" s="1"/>
      <c r="L58" s="207" t="e">
        <f>SUM(L54:L56)</f>
        <v>#REF!</v>
      </c>
      <c r="M58" s="256" t="e">
        <f>L58/L13</f>
        <v>#REF!</v>
      </c>
    </row>
    <row r="59" spans="2:16" ht="16.5" thickTop="1" thickBot="1">
      <c r="B59" s="259" t="s">
        <v>385</v>
      </c>
      <c r="E59" s="214" t="e">
        <f>ROUND(E58,-3)</f>
        <v>#REF!</v>
      </c>
      <c r="F59" s="214" t="e">
        <f t="shared" ref="F59:G59" si="24">ROUND(F58,-3)</f>
        <v>#REF!</v>
      </c>
      <c r="G59" s="214" t="e">
        <f t="shared" si="24"/>
        <v>#REF!</v>
      </c>
      <c r="H59" s="214" t="e">
        <f>ROUNDDOWN(H58,-4)</f>
        <v>#REF!</v>
      </c>
      <c r="I59" s="214">
        <f>ROUND(I58,-3)</f>
        <v>0</v>
      </c>
      <c r="J59" s="213" t="e">
        <f>SUM(E59:I59)</f>
        <v>#REF!</v>
      </c>
      <c r="K59" s="261" t="s">
        <v>401</v>
      </c>
      <c r="L59" s="252"/>
    </row>
    <row r="60" spans="2:16" ht="15.75" thickTop="1">
      <c r="B60"/>
      <c r="D60" s="236" t="s">
        <v>388</v>
      </c>
      <c r="E60" s="253"/>
      <c r="F60" s="253"/>
      <c r="G60" s="253"/>
      <c r="H60" s="253"/>
      <c r="I60" s="253"/>
      <c r="J60" s="253" t="e">
        <f>J59/J12</f>
        <v>#REF!</v>
      </c>
      <c r="K60" s="1"/>
      <c r="L60" s="237"/>
    </row>
    <row r="61" spans="2:16">
      <c r="E61" s="1"/>
      <c r="F61" s="1"/>
      <c r="G61" s="1"/>
      <c r="H61" s="1"/>
      <c r="I61" s="1"/>
      <c r="J61" s="1"/>
      <c r="K61" s="1"/>
    </row>
    <row r="62" spans="2:16">
      <c r="B62" s="258" t="s">
        <v>380</v>
      </c>
      <c r="C62" s="247"/>
      <c r="D62" s="247"/>
      <c r="E62" s="248"/>
      <c r="F62" s="248"/>
      <c r="G62" s="248"/>
      <c r="H62" s="248"/>
      <c r="I62" s="248"/>
      <c r="J62" s="121"/>
      <c r="K62" s="254" t="s">
        <v>389</v>
      </c>
      <c r="O62" s="232"/>
      <c r="P62" s="231"/>
    </row>
    <row r="63" spans="2:16">
      <c r="B63" s="174" t="s">
        <v>378</v>
      </c>
      <c r="E63" s="1" t="e">
        <f>ROUND((E48+E51+E53)+(((E48+E51+E53)/E54)*E56),-3)</f>
        <v>#REF!</v>
      </c>
      <c r="F63" s="1" t="e">
        <f>ROUND((F48+F51+F53)+(((F48+F51+F53)/F54)*F56),-3)</f>
        <v>#REF!</v>
      </c>
      <c r="G63" s="1" t="e">
        <f>ROUND((G48+G51+G53)+(((G48+G51+G53)/G54)*G56),-3)</f>
        <v>#REF!</v>
      </c>
      <c r="H63" s="1" t="e">
        <f>ROUND((H48+H51+H53)+(((H48+H51+H53)/H54)*H56),-3)</f>
        <v>#REF!</v>
      </c>
      <c r="I63" s="1">
        <v>0</v>
      </c>
      <c r="J63" s="1" t="e">
        <f>SUM(E63:I63)</f>
        <v>#REF!</v>
      </c>
      <c r="K63" s="238" t="e">
        <f>J63/J65</f>
        <v>#REF!</v>
      </c>
      <c r="O63" s="232"/>
      <c r="P63" s="231"/>
    </row>
    <row r="64" spans="2:16">
      <c r="B64" s="174" t="s">
        <v>379</v>
      </c>
      <c r="E64" s="198" t="e">
        <f>E59-E63</f>
        <v>#REF!</v>
      </c>
      <c r="F64" s="198" t="e">
        <f>F59-F63</f>
        <v>#REF!</v>
      </c>
      <c r="G64" s="198" t="e">
        <f t="shared" ref="G64:H64" si="25">G59-G63</f>
        <v>#REF!</v>
      </c>
      <c r="H64" s="198" t="e">
        <f t="shared" si="25"/>
        <v>#REF!</v>
      </c>
      <c r="I64" s="198">
        <f>I59-I63</f>
        <v>0</v>
      </c>
      <c r="J64" s="198" t="e">
        <f>SUM(E64:I64)</f>
        <v>#REF!</v>
      </c>
      <c r="K64" s="238" t="e">
        <f>J64/J65</f>
        <v>#REF!</v>
      </c>
      <c r="O64" s="232"/>
      <c r="P64" s="231"/>
    </row>
    <row r="65" spans="1:16" ht="15.75" thickBot="1">
      <c r="B65" s="123" t="s">
        <v>362</v>
      </c>
      <c r="E65" s="214" t="e">
        <f>SUM(E63:E64)</f>
        <v>#REF!</v>
      </c>
      <c r="F65" s="214" t="e">
        <f t="shared" ref="F65:H65" si="26">SUM(F63:F64)</f>
        <v>#REF!</v>
      </c>
      <c r="G65" s="214" t="e">
        <f t="shared" si="26"/>
        <v>#REF!</v>
      </c>
      <c r="H65" s="214" t="e">
        <f t="shared" si="26"/>
        <v>#REF!</v>
      </c>
      <c r="I65" s="214">
        <f>SUM(I63:I64)</f>
        <v>0</v>
      </c>
      <c r="J65" s="213" t="e">
        <f>SUM(J63:J64)</f>
        <v>#REF!</v>
      </c>
      <c r="K65" s="1"/>
      <c r="O65" s="232"/>
      <c r="P65" s="231"/>
    </row>
    <row r="66" spans="1:16" ht="15.75" thickTop="1">
      <c r="C66" s="212"/>
      <c r="D66" s="236" t="s">
        <v>393</v>
      </c>
      <c r="E66" s="237" t="e">
        <f t="shared" ref="E66:J66" si="27">E70-E65</f>
        <v>#REF!</v>
      </c>
      <c r="F66" s="237" t="e">
        <f t="shared" si="27"/>
        <v>#REF!</v>
      </c>
      <c r="G66" s="237" t="e">
        <f t="shared" si="27"/>
        <v>#REF!</v>
      </c>
      <c r="H66" s="237" t="e">
        <f t="shared" si="27"/>
        <v>#REF!</v>
      </c>
      <c r="I66" s="237">
        <f t="shared" si="27"/>
        <v>0</v>
      </c>
      <c r="J66" s="237" t="e">
        <f t="shared" si="27"/>
        <v>#REF!</v>
      </c>
      <c r="K66" s="1"/>
      <c r="O66" s="232"/>
      <c r="P66" s="231"/>
    </row>
    <row r="67" spans="1:16">
      <c r="E67" s="1"/>
      <c r="F67" s="1"/>
      <c r="G67" s="1"/>
      <c r="H67" s="1"/>
      <c r="I67" s="1"/>
      <c r="J67" s="1"/>
      <c r="K67" s="1"/>
      <c r="L67" s="232"/>
      <c r="O67" s="232"/>
      <c r="P67" s="231"/>
    </row>
    <row r="68" spans="1:16">
      <c r="B68" s="218" t="s">
        <v>397</v>
      </c>
      <c r="E68" s="172">
        <v>125000</v>
      </c>
      <c r="F68" s="172">
        <v>116000</v>
      </c>
      <c r="G68" s="172">
        <f>69000+24000</f>
        <v>93000</v>
      </c>
      <c r="H68" s="172">
        <v>76000</v>
      </c>
      <c r="J68" s="1">
        <f>SUM(E68:I68)</f>
        <v>410000</v>
      </c>
      <c r="K68" s="1"/>
      <c r="L68" s="232"/>
      <c r="O68" s="232"/>
      <c r="P68" s="231"/>
    </row>
    <row r="69" spans="1:16">
      <c r="B69" s="218" t="s">
        <v>398</v>
      </c>
      <c r="E69" s="228">
        <v>91000</v>
      </c>
      <c r="F69" s="228">
        <v>85000</v>
      </c>
      <c r="G69" s="228">
        <v>56000</v>
      </c>
      <c r="H69" s="228">
        <v>64000</v>
      </c>
      <c r="I69" s="198"/>
      <c r="J69" s="198">
        <f>SUM(E69:I69)</f>
        <v>296000</v>
      </c>
      <c r="K69" s="1"/>
      <c r="L69" s="232"/>
      <c r="O69" s="232"/>
      <c r="P69" s="231"/>
    </row>
    <row r="70" spans="1:16" ht="15.75" thickBot="1">
      <c r="B70" s="218">
        <v>2018</v>
      </c>
      <c r="E70" s="214">
        <f>SUM(E68:E69)</f>
        <v>216000</v>
      </c>
      <c r="F70" s="214">
        <f t="shared" ref="F70:J70" si="28">SUM(F68:F69)</f>
        <v>201000</v>
      </c>
      <c r="G70" s="214">
        <f t="shared" si="28"/>
        <v>149000</v>
      </c>
      <c r="H70" s="214">
        <f>SUM(H68:H69)</f>
        <v>140000</v>
      </c>
      <c r="I70" s="214">
        <f t="shared" si="28"/>
        <v>0</v>
      </c>
      <c r="J70" s="214">
        <f t="shared" si="28"/>
        <v>706000</v>
      </c>
      <c r="K70" s="123"/>
      <c r="L70" s="4"/>
    </row>
    <row r="71" spans="1:16" ht="15.75" thickTop="1">
      <c r="B71" s="218"/>
      <c r="C71" t="s">
        <v>400</v>
      </c>
      <c r="E71" s="1"/>
      <c r="F71" s="1"/>
      <c r="G71" s="1"/>
      <c r="H71" s="1"/>
      <c r="I71" s="1"/>
      <c r="J71" s="1"/>
      <c r="K71" s="123"/>
      <c r="L71" s="4"/>
    </row>
    <row r="72" spans="1:16">
      <c r="B72" t="s">
        <v>399</v>
      </c>
      <c r="C72">
        <v>23350</v>
      </c>
      <c r="E72" s="146" t="e">
        <f t="shared" ref="E72:I73" si="29">E68-E63</f>
        <v>#REF!</v>
      </c>
      <c r="F72" s="146" t="e">
        <f t="shared" si="29"/>
        <v>#REF!</v>
      </c>
      <c r="G72" s="146" t="e">
        <f t="shared" si="29"/>
        <v>#REF!</v>
      </c>
      <c r="H72" s="146" t="e">
        <f t="shared" si="29"/>
        <v>#REF!</v>
      </c>
      <c r="I72" s="146">
        <f t="shared" si="29"/>
        <v>0</v>
      </c>
      <c r="J72" s="146" t="e">
        <f>SUM(E72:I72)</f>
        <v>#REF!</v>
      </c>
      <c r="K72" s="123"/>
      <c r="L72" s="123"/>
      <c r="O72" s="233"/>
    </row>
    <row r="73" spans="1:16">
      <c r="B73"/>
      <c r="C73">
        <v>27100</v>
      </c>
      <c r="E73" s="146" t="e">
        <f t="shared" si="29"/>
        <v>#REF!</v>
      </c>
      <c r="F73" s="146" t="e">
        <f t="shared" si="29"/>
        <v>#REF!</v>
      </c>
      <c r="G73" s="146" t="e">
        <f t="shared" si="29"/>
        <v>#REF!</v>
      </c>
      <c r="H73" s="146" t="e">
        <f>H69-H64</f>
        <v>#REF!</v>
      </c>
      <c r="I73" s="146">
        <f t="shared" si="29"/>
        <v>0</v>
      </c>
      <c r="J73" s="146" t="e">
        <f>SUM(E73:I73)</f>
        <v>#REF!</v>
      </c>
      <c r="K73" s="123"/>
      <c r="L73" s="4"/>
    </row>
    <row r="74" spans="1:16">
      <c r="C74">
        <v>80100</v>
      </c>
      <c r="E74" s="163" t="e">
        <f>-SUM(E72:E73)</f>
        <v>#REF!</v>
      </c>
      <c r="F74" s="163" t="e">
        <f t="shared" ref="F74:J74" si="30">-SUM(F72:F73)</f>
        <v>#REF!</v>
      </c>
      <c r="G74" s="163" t="e">
        <f t="shared" si="30"/>
        <v>#REF!</v>
      </c>
      <c r="H74" s="163" t="e">
        <f t="shared" si="30"/>
        <v>#REF!</v>
      </c>
      <c r="I74" s="163">
        <f t="shared" si="30"/>
        <v>0</v>
      </c>
      <c r="J74" s="163" t="e">
        <f t="shared" si="30"/>
        <v>#REF!</v>
      </c>
    </row>
    <row r="76" spans="1:16">
      <c r="A76" s="152"/>
    </row>
  </sheetData>
  <mergeCells count="2">
    <mergeCell ref="A1:M1"/>
    <mergeCell ref="A2:M2"/>
  </mergeCells>
  <pageMargins left="0.25" right="0.25" top="0.75" bottom="0.75" header="0.3" footer="0.3"/>
  <pageSetup scale="53" fitToHeight="2" orientation="landscape" r:id="rId1"/>
  <rowBreaks count="1" manualBreakCount="1">
    <brk id="33"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7912E-0A93-42BF-8D72-C84E3EF9A9BE}">
  <dimension ref="A1:R76"/>
  <sheetViews>
    <sheetView workbookViewId="0">
      <selection sqref="A1:M1"/>
    </sheetView>
  </sheetViews>
  <sheetFormatPr defaultColWidth="8.85546875" defaultRowHeight="15"/>
  <cols>
    <col min="1" max="1" width="5.85546875" customWidth="1"/>
    <col min="2" max="2" width="38.28515625" style="174" customWidth="1"/>
    <col min="3" max="3" width="6.42578125" customWidth="1"/>
    <col min="4" max="4" width="7.5703125" customWidth="1"/>
    <col min="5" max="5" width="12.28515625" customWidth="1"/>
    <col min="6" max="6" width="11.5703125" bestFit="1" customWidth="1"/>
    <col min="7" max="7" width="11.28515625" bestFit="1" customWidth="1"/>
    <col min="8" max="8" width="11.5703125" bestFit="1" customWidth="1"/>
    <col min="9" max="9" width="11.85546875" hidden="1" customWidth="1"/>
    <col min="10" max="10" width="13.28515625" customWidth="1"/>
    <col min="11" max="11" width="4.85546875" bestFit="1" customWidth="1"/>
    <col min="12" max="12" width="24.28515625" bestFit="1" customWidth="1"/>
    <col min="13" max="13" width="17.5703125" customWidth="1"/>
    <col min="14" max="14" width="12.28515625" bestFit="1" customWidth="1"/>
    <col min="15" max="15" width="11.140625" bestFit="1" customWidth="1"/>
  </cols>
  <sheetData>
    <row r="1" spans="1:13" ht="18.75">
      <c r="A1" s="320" t="s">
        <v>374</v>
      </c>
      <c r="B1" s="321"/>
      <c r="C1" s="321"/>
      <c r="D1" s="321"/>
      <c r="E1" s="321"/>
      <c r="F1" s="321"/>
      <c r="G1" s="321"/>
      <c r="H1" s="321"/>
      <c r="I1" s="321"/>
      <c r="J1" s="321"/>
      <c r="K1" s="321"/>
      <c r="L1" s="321"/>
      <c r="M1" s="322"/>
    </row>
    <row r="2" spans="1:13" ht="19.5" thickBot="1">
      <c r="A2" s="323" t="s">
        <v>368</v>
      </c>
      <c r="B2" s="324"/>
      <c r="C2" s="324"/>
      <c r="D2" s="324"/>
      <c r="E2" s="324"/>
      <c r="F2" s="324"/>
      <c r="G2" s="324"/>
      <c r="H2" s="324"/>
      <c r="I2" s="324"/>
      <c r="J2" s="324"/>
      <c r="K2" s="324"/>
      <c r="L2" s="324"/>
      <c r="M2" s="325"/>
    </row>
    <row r="3" spans="1:13">
      <c r="A3" s="222"/>
      <c r="B3" s="222"/>
      <c r="C3" s="222"/>
      <c r="D3" s="222"/>
      <c r="E3" s="222"/>
      <c r="F3" s="222"/>
      <c r="G3" s="222"/>
      <c r="H3" s="222"/>
      <c r="I3" s="222"/>
      <c r="J3" s="222"/>
      <c r="K3" s="222"/>
      <c r="L3" s="222"/>
      <c r="M3" s="222"/>
    </row>
    <row r="4" spans="1:13">
      <c r="E4" s="223"/>
      <c r="F4" s="223"/>
      <c r="G4" s="223"/>
      <c r="H4" s="223"/>
      <c r="I4" s="223"/>
      <c r="J4" s="224"/>
    </row>
    <row r="5" spans="1:13" ht="30.75" thickBot="1">
      <c r="A5" s="177"/>
      <c r="B5" s="180"/>
      <c r="C5" s="177"/>
      <c r="D5" s="177"/>
      <c r="E5" s="178" t="s">
        <v>375</v>
      </c>
      <c r="F5" s="178" t="s">
        <v>371</v>
      </c>
      <c r="G5" s="178" t="s">
        <v>373</v>
      </c>
      <c r="H5" s="178" t="s">
        <v>372</v>
      </c>
      <c r="I5" s="178" t="s">
        <v>395</v>
      </c>
      <c r="J5" s="178" t="s">
        <v>300</v>
      </c>
      <c r="K5" s="182"/>
      <c r="L5" s="199" t="s">
        <v>396</v>
      </c>
      <c r="M5" s="199" t="s">
        <v>363</v>
      </c>
    </row>
    <row r="6" spans="1:13">
      <c r="A6" s="185"/>
      <c r="B6" s="186"/>
      <c r="C6" s="185"/>
      <c r="D6" s="185"/>
      <c r="E6" s="182"/>
      <c r="F6" s="182"/>
      <c r="G6" s="182"/>
      <c r="H6" s="182"/>
      <c r="I6" s="182"/>
      <c r="J6" s="182"/>
      <c r="K6" s="182"/>
      <c r="L6" s="187"/>
    </row>
    <row r="7" spans="1:13" ht="15" hidden="1" customHeight="1">
      <c r="A7" s="153"/>
      <c r="B7" s="179"/>
      <c r="C7" s="153"/>
      <c r="D7" s="153"/>
      <c r="J7" s="216" t="s">
        <v>367</v>
      </c>
      <c r="L7" s="188">
        <v>0</v>
      </c>
      <c r="M7" s="190" t="s">
        <v>364</v>
      </c>
    </row>
    <row r="8" spans="1:13">
      <c r="A8" s="153"/>
      <c r="B8" s="179"/>
      <c r="C8" s="153"/>
      <c r="D8" s="153"/>
      <c r="J8" s="216" t="s">
        <v>366</v>
      </c>
      <c r="L8" s="188">
        <v>0</v>
      </c>
      <c r="M8" s="190" t="s">
        <v>364</v>
      </c>
    </row>
    <row r="9" spans="1:13">
      <c r="A9" s="153"/>
      <c r="B9" s="179"/>
      <c r="C9" s="153"/>
      <c r="D9" s="153"/>
      <c r="L9" s="188"/>
      <c r="M9" s="190"/>
    </row>
    <row r="10" spans="1:13" s="146" customFormat="1">
      <c r="B10" s="193">
        <v>2019</v>
      </c>
      <c r="C10" s="194"/>
      <c r="D10" s="194"/>
      <c r="E10" s="195"/>
      <c r="F10" s="195"/>
      <c r="G10" s="195"/>
      <c r="H10" s="195"/>
      <c r="I10" s="195"/>
      <c r="J10" s="196"/>
      <c r="L10" s="221">
        <f>+B10</f>
        <v>2019</v>
      </c>
      <c r="M10" s="221"/>
    </row>
    <row r="11" spans="1:13" s="146" customFormat="1">
      <c r="B11" s="181" t="s">
        <v>337</v>
      </c>
      <c r="E11" s="163" t="e">
        <f>'Summary of Data'!#REF!</f>
        <v>#REF!</v>
      </c>
      <c r="F11" s="163" t="e">
        <f>'Summary of Data'!#REF!</f>
        <v>#REF!</v>
      </c>
      <c r="G11" s="163" t="e">
        <f>'Summary of Data'!#REF!</f>
        <v>#REF!</v>
      </c>
      <c r="H11" s="163" t="e">
        <f>'Summary of Data'!#REF!</f>
        <v>#REF!</v>
      </c>
      <c r="I11" s="163"/>
      <c r="J11" s="163" t="e">
        <f>SUM(E11:I11)</f>
        <v>#REF!</v>
      </c>
      <c r="K11" s="172"/>
      <c r="L11" s="163" t="e">
        <f>J11*(1-$L$7)</f>
        <v>#REF!</v>
      </c>
    </row>
    <row r="12" spans="1:13">
      <c r="B12" s="174" t="s">
        <v>339</v>
      </c>
      <c r="E12" s="163" t="e">
        <f>'Summary of Data'!#REF!</f>
        <v>#REF!</v>
      </c>
      <c r="F12" s="163" t="e">
        <f>'Summary of Data'!#REF!</f>
        <v>#REF!</v>
      </c>
      <c r="G12" s="163" t="e">
        <f>'Summary of Data'!#REF!</f>
        <v>#REF!</v>
      </c>
      <c r="H12" s="163" t="e">
        <f>'Summary of Data'!#REF!</f>
        <v>#REF!</v>
      </c>
      <c r="I12" s="163"/>
      <c r="J12" s="163" t="e">
        <f>SUM(E12:I12)</f>
        <v>#REF!</v>
      </c>
      <c r="K12" s="172"/>
      <c r="L12" s="192" t="e">
        <f>J12*(1-$L$7)</f>
        <v>#REF!</v>
      </c>
    </row>
    <row r="13" spans="1:13">
      <c r="B13" s="174" t="s">
        <v>338</v>
      </c>
      <c r="E13" s="260" t="e">
        <f>SUM(E11:E12)</f>
        <v>#REF!</v>
      </c>
      <c r="F13" s="260" t="e">
        <f>SUM(F11:F12)</f>
        <v>#REF!</v>
      </c>
      <c r="G13" s="260" t="e">
        <f>SUM(G11:G12)</f>
        <v>#REF!</v>
      </c>
      <c r="H13" s="260" t="e">
        <f>SUM(H11:H12)</f>
        <v>#REF!</v>
      </c>
      <c r="I13" s="260">
        <f>SUM(I11:I12)</f>
        <v>0</v>
      </c>
      <c r="J13" s="260" t="e">
        <f t="shared" ref="J13" si="0">SUM(J11:J12)</f>
        <v>#REF!</v>
      </c>
      <c r="K13" s="172"/>
      <c r="L13" s="163" t="e">
        <f t="shared" ref="L13" si="1">SUM(L11:L12)</f>
        <v>#REF!</v>
      </c>
    </row>
    <row r="14" spans="1:13">
      <c r="E14" s="163"/>
      <c r="F14" s="163"/>
      <c r="G14" s="163"/>
      <c r="H14" s="163"/>
      <c r="I14" s="163"/>
      <c r="J14" s="163"/>
      <c r="K14" s="172"/>
      <c r="L14" s="163"/>
    </row>
    <row r="15" spans="1:13">
      <c r="B15" s="174" t="s">
        <v>341</v>
      </c>
      <c r="E15" s="183" t="e">
        <f>+E12/E13</f>
        <v>#REF!</v>
      </c>
      <c r="F15" s="183" t="e">
        <f t="shared" ref="F15:G15" si="2">+F12/F13</f>
        <v>#REF!</v>
      </c>
      <c r="G15" s="183" t="e">
        <f t="shared" si="2"/>
        <v>#REF!</v>
      </c>
      <c r="H15" s="183" t="e">
        <f>+H12/H13</f>
        <v>#REF!</v>
      </c>
      <c r="I15" s="183"/>
      <c r="J15" s="183" t="e">
        <f>+J12/J13</f>
        <v>#REF!</v>
      </c>
      <c r="K15" s="183"/>
      <c r="L15" s="208" t="e">
        <f>AVERAGE(E15:I15)</f>
        <v>#REF!</v>
      </c>
      <c r="M15" s="189"/>
    </row>
    <row r="16" spans="1:13">
      <c r="E16" s="172"/>
      <c r="F16" s="172"/>
      <c r="G16" s="172"/>
      <c r="H16" s="172"/>
      <c r="I16" s="172"/>
      <c r="J16" s="172"/>
      <c r="K16" s="172"/>
      <c r="L16" s="227"/>
      <c r="M16" s="189"/>
    </row>
    <row r="17" spans="2:18">
      <c r="B17" s="174" t="s">
        <v>338</v>
      </c>
      <c r="E17" s="163" t="e">
        <f>E13</f>
        <v>#REF!</v>
      </c>
      <c r="F17" s="163" t="e">
        <f t="shared" ref="F17:G17" si="3">F13</f>
        <v>#REF!</v>
      </c>
      <c r="G17" s="163" t="e">
        <f t="shared" si="3"/>
        <v>#REF!</v>
      </c>
      <c r="H17" s="163" t="e">
        <f>H13</f>
        <v>#REF!</v>
      </c>
      <c r="I17" s="163">
        <f>I13</f>
        <v>0</v>
      </c>
      <c r="J17" s="163" t="e">
        <f>SUM(E17:I17)</f>
        <v>#REF!</v>
      </c>
      <c r="K17" s="172"/>
      <c r="L17" s="227" t="e">
        <f>L13</f>
        <v>#REF!</v>
      </c>
      <c r="M17" s="189"/>
    </row>
    <row r="18" spans="2:18" ht="45">
      <c r="B18" s="226" t="s">
        <v>348</v>
      </c>
      <c r="C18" s="235">
        <v>0.67130000000000001</v>
      </c>
      <c r="D18" s="217"/>
      <c r="E18" s="172" t="e">
        <f>-'Summary of Data'!#REF!*$C$18</f>
        <v>#REF!</v>
      </c>
      <c r="F18" s="172" t="e">
        <f>-'Summary of Data'!#REF!*$C$18</f>
        <v>#REF!</v>
      </c>
      <c r="G18" s="172" t="e">
        <f>-'Summary of Data'!#REF!*$C$18</f>
        <v>#REF!</v>
      </c>
      <c r="H18" s="172" t="e">
        <f>-'Summary of Data'!#REF!*$C$18</f>
        <v>#REF!</v>
      </c>
      <c r="I18" s="172"/>
      <c r="J18" s="172" t="e">
        <f>SUM(E18:I18)</f>
        <v>#REF!</v>
      </c>
      <c r="K18" s="172"/>
      <c r="L18" s="209" t="e">
        <f>J18*(1-$L$7)</f>
        <v>#REF!</v>
      </c>
    </row>
    <row r="19" spans="2:18">
      <c r="B19" s="174" t="s">
        <v>359</v>
      </c>
      <c r="C19" s="174"/>
      <c r="D19" s="174"/>
      <c r="E19" s="228" t="e">
        <f>-'Summary of Data'!#REF!</f>
        <v>#REF!</v>
      </c>
      <c r="F19" s="228" t="e">
        <f>-'Summary of Data'!#REF!</f>
        <v>#REF!</v>
      </c>
      <c r="G19" s="228" t="e">
        <f>-'Summary of Data'!#REF!</f>
        <v>#REF!</v>
      </c>
      <c r="H19" s="228" t="e">
        <f>-'Summary of Data'!#REF!</f>
        <v>#REF!</v>
      </c>
      <c r="I19" s="228" t="e">
        <f>-'Summary of Data'!#REF!</f>
        <v>#REF!</v>
      </c>
      <c r="J19" s="228" t="e">
        <f>SUM(E19:I19)</f>
        <v>#REF!</v>
      </c>
      <c r="K19" s="172"/>
      <c r="L19" s="228" t="e">
        <f>J19*(1-$L$7)</f>
        <v>#REF!</v>
      </c>
    </row>
    <row r="20" spans="2:18">
      <c r="B20" t="s">
        <v>349</v>
      </c>
      <c r="E20" s="163" t="e">
        <f>+E13+E18+E19</f>
        <v>#REF!</v>
      </c>
      <c r="F20" s="163" t="e">
        <f t="shared" ref="F20:G20" si="4">+F13+F18+F19</f>
        <v>#REF!</v>
      </c>
      <c r="G20" s="163" t="e">
        <f t="shared" si="4"/>
        <v>#REF!</v>
      </c>
      <c r="H20" s="163" t="e">
        <f>+H13+H18+H19</f>
        <v>#REF!</v>
      </c>
      <c r="I20" s="163" t="e">
        <f>+I13+I18+I19</f>
        <v>#REF!</v>
      </c>
      <c r="J20" s="163" t="e">
        <f>SUM(J17:J19)</f>
        <v>#REF!</v>
      </c>
      <c r="K20" s="172"/>
      <c r="L20" s="209" t="e">
        <f>+L13+L18+L19</f>
        <v>#REF!</v>
      </c>
    </row>
    <row r="21" spans="2:18">
      <c r="E21" s="163"/>
      <c r="F21" s="163"/>
      <c r="G21" s="163"/>
      <c r="H21" s="163"/>
      <c r="I21" s="163"/>
      <c r="J21" s="163"/>
      <c r="K21" s="172"/>
      <c r="L21" s="163"/>
    </row>
    <row r="22" spans="2:18">
      <c r="B22" s="193">
        <v>2018</v>
      </c>
      <c r="C22" s="194"/>
      <c r="D22" s="194"/>
      <c r="E22" s="195"/>
      <c r="F22" s="195"/>
      <c r="G22" s="229"/>
      <c r="H22" s="229"/>
      <c r="I22" s="229"/>
      <c r="J22" s="195"/>
      <c r="K22" s="172"/>
      <c r="L22" s="221">
        <f>+B22</f>
        <v>2018</v>
      </c>
      <c r="M22" s="221"/>
    </row>
    <row r="23" spans="2:18">
      <c r="B23" s="181" t="s">
        <v>337</v>
      </c>
      <c r="C23" s="146"/>
      <c r="D23" s="146"/>
      <c r="E23" s="163">
        <v>1942633</v>
      </c>
      <c r="F23" s="163">
        <v>1708753</v>
      </c>
      <c r="G23" s="163">
        <v>1100194</v>
      </c>
      <c r="H23" s="163">
        <v>1420472</v>
      </c>
      <c r="I23" s="163">
        <v>0</v>
      </c>
      <c r="J23" s="163">
        <f>SUM(E23:I23)</f>
        <v>6172052</v>
      </c>
      <c r="K23" s="172"/>
      <c r="L23" s="163">
        <f>J23*(1-$L$7)</f>
        <v>6172052</v>
      </c>
      <c r="M23" s="146"/>
    </row>
    <row r="24" spans="2:18">
      <c r="B24" s="174" t="s">
        <v>339</v>
      </c>
      <c r="E24" s="192">
        <v>363441</v>
      </c>
      <c r="F24" s="192">
        <v>452293</v>
      </c>
      <c r="G24" s="192">
        <v>64652</v>
      </c>
      <c r="H24" s="192">
        <v>127111</v>
      </c>
      <c r="I24" s="192">
        <v>0</v>
      </c>
      <c r="J24" s="192">
        <f>SUM(E24:I24)</f>
        <v>1007497</v>
      </c>
      <c r="K24" s="172"/>
      <c r="L24" s="192">
        <f>J24*(1-$L$7)</f>
        <v>1007497</v>
      </c>
    </row>
    <row r="25" spans="2:18">
      <c r="B25" s="174" t="s">
        <v>338</v>
      </c>
      <c r="E25" s="163">
        <f t="shared" ref="E25:J25" si="5">SUM(E23:E24)</f>
        <v>2306074</v>
      </c>
      <c r="F25" s="163">
        <f t="shared" si="5"/>
        <v>2161046</v>
      </c>
      <c r="G25" s="163">
        <f t="shared" si="5"/>
        <v>1164846</v>
      </c>
      <c r="H25" s="163">
        <f>SUM(H23:H24)</f>
        <v>1547583</v>
      </c>
      <c r="I25" s="163">
        <f>SUM(I23:I24)</f>
        <v>0</v>
      </c>
      <c r="J25" s="163">
        <f t="shared" si="5"/>
        <v>7179549</v>
      </c>
      <c r="K25" s="172"/>
      <c r="L25" s="163">
        <f t="shared" ref="L25" si="6">SUM(L23:L24)</f>
        <v>7179549</v>
      </c>
    </row>
    <row r="26" spans="2:18">
      <c r="E26" s="163"/>
      <c r="F26" s="163"/>
      <c r="G26" s="163"/>
      <c r="H26" s="163"/>
      <c r="I26" s="163"/>
      <c r="J26" s="163"/>
      <c r="K26" s="172"/>
      <c r="L26" s="163"/>
    </row>
    <row r="27" spans="2:18">
      <c r="B27" s="174" t="s">
        <v>341</v>
      </c>
      <c r="E27" s="183">
        <f>+E24/E25</f>
        <v>0.1576016207632539</v>
      </c>
      <c r="F27" s="183">
        <f t="shared" ref="F27:G27" si="7">+F24/F25</f>
        <v>0.20929355506546368</v>
      </c>
      <c r="G27" s="183">
        <f t="shared" si="7"/>
        <v>5.5502615796422877E-2</v>
      </c>
      <c r="H27" s="183">
        <f>+H24/H25</f>
        <v>8.2135174656221999E-2</v>
      </c>
      <c r="I27" s="183">
        <v>0</v>
      </c>
      <c r="J27" s="183">
        <f>+J24/J25</f>
        <v>0.14032873095510595</v>
      </c>
      <c r="K27" s="183"/>
      <c r="L27" s="208">
        <f>AVERAGE(E27:H27)</f>
        <v>0.12613324157034062</v>
      </c>
      <c r="M27" s="189"/>
    </row>
    <row r="28" spans="2:18">
      <c r="E28" s="172"/>
      <c r="F28" s="172"/>
      <c r="G28" s="172"/>
      <c r="H28" s="172"/>
      <c r="I28" s="172"/>
      <c r="J28" s="172"/>
      <c r="K28" s="172"/>
      <c r="L28" s="227"/>
      <c r="M28" s="189"/>
    </row>
    <row r="29" spans="2:18">
      <c r="B29" s="174" t="s">
        <v>338</v>
      </c>
      <c r="E29" s="163">
        <f>E25</f>
        <v>2306074</v>
      </c>
      <c r="F29" s="163">
        <f t="shared" ref="F29:G29" si="8">F25</f>
        <v>2161046</v>
      </c>
      <c r="G29" s="163">
        <f t="shared" si="8"/>
        <v>1164846</v>
      </c>
      <c r="H29" s="163">
        <f>H25</f>
        <v>1547583</v>
      </c>
      <c r="I29" s="163">
        <f>I25</f>
        <v>0</v>
      </c>
      <c r="J29" s="163">
        <f>SUM(E29:I29)</f>
        <v>7179549</v>
      </c>
      <c r="K29" s="172"/>
      <c r="L29" s="163">
        <f t="shared" ref="L29" si="9">L25</f>
        <v>7179549</v>
      </c>
      <c r="M29" s="189"/>
    </row>
    <row r="30" spans="2:18" ht="45">
      <c r="B30" s="226" t="s">
        <v>348</v>
      </c>
      <c r="C30" s="235">
        <f>+C18</f>
        <v>0.67130000000000001</v>
      </c>
      <c r="D30" s="218"/>
      <c r="E30" s="172">
        <v>-765471.30660000001</v>
      </c>
      <c r="F30" s="172">
        <v>-662582.49820000003</v>
      </c>
      <c r="G30" s="172">
        <v>-483843.50280000002</v>
      </c>
      <c r="H30" s="172">
        <v>-477078.14140000002</v>
      </c>
      <c r="I30" s="172">
        <v>0</v>
      </c>
      <c r="J30" s="172">
        <f>SUM(E30:I30)</f>
        <v>-2388975.449</v>
      </c>
      <c r="K30" s="172"/>
      <c r="L30" s="209">
        <f>J30*(1-$L$7)</f>
        <v>-2388975.449</v>
      </c>
    </row>
    <row r="31" spans="2:18" ht="14.45" customHeight="1">
      <c r="B31" s="174" t="s">
        <v>359</v>
      </c>
      <c r="C31" s="174"/>
      <c r="D31" s="174"/>
      <c r="E31" s="228">
        <v>-12407</v>
      </c>
      <c r="F31" s="228">
        <v>-71496</v>
      </c>
      <c r="G31" s="228">
        <v>-17546</v>
      </c>
      <c r="H31" s="228">
        <v>-4527</v>
      </c>
      <c r="I31" s="228">
        <v>0</v>
      </c>
      <c r="J31" s="228">
        <f>SUM(E31:I31)</f>
        <v>-105976</v>
      </c>
      <c r="K31" s="209"/>
      <c r="L31" s="228">
        <f>J31*(1-$L$7)</f>
        <v>-105976</v>
      </c>
      <c r="N31" s="1"/>
      <c r="O31" s="1"/>
      <c r="P31" s="1"/>
      <c r="Q31" s="1"/>
      <c r="R31" s="1"/>
    </row>
    <row r="32" spans="2:18">
      <c r="B32" t="s">
        <v>349</v>
      </c>
      <c r="E32" s="163">
        <f>+E25+E30+E31</f>
        <v>1528195.6934</v>
      </c>
      <c r="F32" s="163">
        <f t="shared" ref="F32:G32" si="10">+F25+F30+F31</f>
        <v>1426967.5018</v>
      </c>
      <c r="G32" s="163">
        <f t="shared" si="10"/>
        <v>663456.49719999998</v>
      </c>
      <c r="H32" s="163">
        <f>+H25+H30+H31</f>
        <v>1065977.8585999999</v>
      </c>
      <c r="I32" s="163">
        <f>+I25+I30+I31</f>
        <v>0</v>
      </c>
      <c r="J32" s="163">
        <f>SUM(J29:J31)</f>
        <v>4684597.551</v>
      </c>
      <c r="K32" s="172"/>
      <c r="L32" s="209">
        <f>+L25+L30+L31</f>
        <v>4684597.551</v>
      </c>
    </row>
    <row r="33" spans="2:15">
      <c r="E33" s="163"/>
      <c r="F33" s="163"/>
      <c r="G33" s="163"/>
      <c r="H33" s="163"/>
      <c r="I33" s="163"/>
      <c r="J33" s="163"/>
      <c r="K33" s="172"/>
      <c r="L33" s="163"/>
    </row>
    <row r="34" spans="2:15">
      <c r="B34" s="193">
        <v>2017</v>
      </c>
      <c r="C34" s="194"/>
      <c r="D34" s="194"/>
      <c r="E34" s="195"/>
      <c r="F34" s="195"/>
      <c r="G34" s="195"/>
      <c r="H34" s="195"/>
      <c r="I34" s="195"/>
      <c r="J34" s="195"/>
      <c r="K34" s="172"/>
      <c r="L34" s="221">
        <f>+B34</f>
        <v>2017</v>
      </c>
      <c r="M34" s="221"/>
    </row>
    <row r="35" spans="2:15">
      <c r="B35" s="181" t="s">
        <v>337</v>
      </c>
      <c r="C35" s="146"/>
      <c r="D35" s="146"/>
      <c r="E35" s="163">
        <v>2287617</v>
      </c>
      <c r="F35" s="172">
        <v>2017501</v>
      </c>
      <c r="G35" s="163">
        <v>938631</v>
      </c>
      <c r="H35" s="163">
        <v>1039209</v>
      </c>
      <c r="I35" s="163">
        <v>0</v>
      </c>
      <c r="J35" s="163">
        <f>SUM(E35:I35)</f>
        <v>6282958</v>
      </c>
      <c r="K35" s="172"/>
      <c r="L35" s="163">
        <f>J35*(1-$L$7)</f>
        <v>6282958</v>
      </c>
      <c r="M35" s="146"/>
    </row>
    <row r="36" spans="2:15">
      <c r="B36" s="174" t="s">
        <v>339</v>
      </c>
      <c r="E36" s="192">
        <v>402560</v>
      </c>
      <c r="F36" s="228">
        <v>373090</v>
      </c>
      <c r="G36" s="192">
        <v>73728</v>
      </c>
      <c r="H36" s="192">
        <v>39917</v>
      </c>
      <c r="I36" s="192">
        <v>0</v>
      </c>
      <c r="J36" s="192">
        <f>SUM(E36:I36)</f>
        <v>889295</v>
      </c>
      <c r="K36" s="172"/>
      <c r="L36" s="192">
        <f>J36*(1-$L$7)</f>
        <v>889295</v>
      </c>
    </row>
    <row r="37" spans="2:15">
      <c r="B37" s="174" t="s">
        <v>338</v>
      </c>
      <c r="E37" s="163">
        <f t="shared" ref="E37:J37" si="11">SUM(E35:E36)</f>
        <v>2690177</v>
      </c>
      <c r="F37" s="172">
        <f t="shared" si="11"/>
        <v>2390591</v>
      </c>
      <c r="G37" s="163">
        <f t="shared" si="11"/>
        <v>1012359</v>
      </c>
      <c r="H37" s="163">
        <f>SUM(H35:H36)</f>
        <v>1079126</v>
      </c>
      <c r="I37" s="163">
        <f>SUM(I35:I36)</f>
        <v>0</v>
      </c>
      <c r="J37" s="163">
        <f t="shared" si="11"/>
        <v>7172253</v>
      </c>
      <c r="K37" s="172"/>
      <c r="L37" s="163">
        <f>+L35+L36</f>
        <v>7172253</v>
      </c>
    </row>
    <row r="38" spans="2:15">
      <c r="E38" s="163"/>
      <c r="F38" s="172"/>
      <c r="G38" s="163"/>
      <c r="H38" s="163"/>
      <c r="I38" s="163"/>
      <c r="J38" s="163"/>
      <c r="K38" s="172"/>
      <c r="L38" s="163"/>
    </row>
    <row r="39" spans="2:15">
      <c r="B39" s="174" t="s">
        <v>341</v>
      </c>
      <c r="E39" s="183">
        <f>+E36/E37</f>
        <v>0.14964071137326651</v>
      </c>
      <c r="F39" s="183">
        <f t="shared" ref="F39:J39" si="12">+F36/F37</f>
        <v>0.15606601045515522</v>
      </c>
      <c r="G39" s="183">
        <f>+G36/G37</f>
        <v>7.282791973993416E-2</v>
      </c>
      <c r="H39" s="183">
        <f>+H36/H37</f>
        <v>3.6990119782119975E-2</v>
      </c>
      <c r="I39" s="183">
        <v>0</v>
      </c>
      <c r="J39" s="183">
        <f t="shared" si="12"/>
        <v>0.12399102485648512</v>
      </c>
      <c r="K39" s="183"/>
      <c r="L39" s="208">
        <f>AVERAGE(E39:H39)</f>
        <v>0.10388119033761897</v>
      </c>
      <c r="M39" s="189"/>
    </row>
    <row r="40" spans="2:15">
      <c r="E40" s="172"/>
      <c r="F40" s="172"/>
      <c r="G40" s="172"/>
      <c r="H40" s="172"/>
      <c r="I40" s="172"/>
      <c r="J40" s="172"/>
      <c r="K40" s="172"/>
      <c r="L40" s="209"/>
      <c r="M40" s="189"/>
    </row>
    <row r="41" spans="2:15">
      <c r="B41" s="174" t="s">
        <v>338</v>
      </c>
      <c r="E41" s="163">
        <f>E37</f>
        <v>2690177</v>
      </c>
      <c r="F41" s="172">
        <f t="shared" ref="F41:G41" si="13">F37</f>
        <v>2390591</v>
      </c>
      <c r="G41" s="163">
        <f t="shared" si="13"/>
        <v>1012359</v>
      </c>
      <c r="H41" s="163">
        <f>H37</f>
        <v>1079126</v>
      </c>
      <c r="I41" s="163">
        <f>I37</f>
        <v>0</v>
      </c>
      <c r="J41" s="163">
        <f>SUM(E41:I41)</f>
        <v>7172253</v>
      </c>
      <c r="K41" s="172"/>
      <c r="L41" s="209">
        <f>J41*(1-$L$7)</f>
        <v>7172253</v>
      </c>
      <c r="M41" s="189"/>
    </row>
    <row r="42" spans="2:15" ht="45">
      <c r="B42" s="226" t="s">
        <v>348</v>
      </c>
      <c r="C42" s="235">
        <f>+C30</f>
        <v>0.67130000000000001</v>
      </c>
      <c r="D42" s="218"/>
      <c r="E42" s="172">
        <v>-1022298.6032</v>
      </c>
      <c r="F42" s="172">
        <v>-720602.95720000006</v>
      </c>
      <c r="G42" s="172">
        <v>-440651.38949999999</v>
      </c>
      <c r="H42" s="172">
        <v>-316502.51010000001</v>
      </c>
      <c r="I42" s="172">
        <v>0</v>
      </c>
      <c r="J42" s="163">
        <f>SUM(E42:I42)</f>
        <v>-2500055.46</v>
      </c>
      <c r="K42" s="172"/>
      <c r="L42" s="209">
        <f>J42*(1-$L$7)</f>
        <v>-2500055.46</v>
      </c>
    </row>
    <row r="43" spans="2:15" ht="14.45" customHeight="1">
      <c r="B43" s="174" t="s">
        <v>359</v>
      </c>
      <c r="C43" s="174"/>
      <c r="D43" s="174"/>
      <c r="E43" s="228">
        <v>0</v>
      </c>
      <c r="F43" s="228">
        <v>-110164</v>
      </c>
      <c r="G43" s="228">
        <v>-11521</v>
      </c>
      <c r="H43" s="228">
        <v>-4500</v>
      </c>
      <c r="I43" s="228">
        <v>0</v>
      </c>
      <c r="J43" s="192">
        <f>SUM(E43:I43)</f>
        <v>-126185</v>
      </c>
      <c r="K43" s="172"/>
      <c r="L43" s="228">
        <f>J43*(1-$L$7)</f>
        <v>-126185</v>
      </c>
    </row>
    <row r="44" spans="2:15">
      <c r="B44" t="s">
        <v>349</v>
      </c>
      <c r="E44" s="163">
        <f>+E37+E42+E43</f>
        <v>1667878.3968</v>
      </c>
      <c r="F44" s="172">
        <f t="shared" ref="F44:G44" si="14">+F37+F42+F43</f>
        <v>1559824.0427999999</v>
      </c>
      <c r="G44" s="163">
        <f t="shared" si="14"/>
        <v>560186.61049999995</v>
      </c>
      <c r="H44" s="163">
        <f>+H37+H42+H43</f>
        <v>758123.48989999993</v>
      </c>
      <c r="I44" s="163">
        <f>+I37+I42+I43</f>
        <v>0</v>
      </c>
      <c r="J44" s="163">
        <f>SUM(J41:J43)</f>
        <v>4546012.54</v>
      </c>
      <c r="K44" s="172"/>
      <c r="L44" s="209">
        <f>SUM(L41:L43)</f>
        <v>4546012.54</v>
      </c>
    </row>
    <row r="45" spans="2:15" ht="15.75" thickBot="1">
      <c r="B45"/>
      <c r="E45" s="1"/>
      <c r="F45" s="1"/>
      <c r="G45" s="1"/>
      <c r="H45" s="1"/>
      <c r="I45" s="1"/>
      <c r="J45" s="215"/>
      <c r="K45" s="1"/>
      <c r="L45" s="191"/>
    </row>
    <row r="46" spans="2:15">
      <c r="B46" s="180" t="s">
        <v>365</v>
      </c>
      <c r="C46" s="175"/>
      <c r="D46" s="175"/>
      <c r="E46" s="176"/>
      <c r="F46" s="176"/>
      <c r="G46" s="176"/>
      <c r="H46" s="176"/>
      <c r="I46" s="176"/>
      <c r="J46" s="176"/>
      <c r="K46" s="184"/>
      <c r="L46" s="219" t="s">
        <v>402</v>
      </c>
      <c r="M46" s="220"/>
    </row>
    <row r="47" spans="2:15">
      <c r="B47" s="174" t="s">
        <v>352</v>
      </c>
      <c r="C47" s="212" t="s">
        <v>357</v>
      </c>
      <c r="D47" s="212" t="s">
        <v>358</v>
      </c>
      <c r="E47" s="1"/>
      <c r="F47" s="1"/>
      <c r="G47" s="1"/>
      <c r="H47" s="1"/>
      <c r="I47" s="1"/>
      <c r="J47" s="1"/>
      <c r="K47" s="1"/>
      <c r="L47" s="200"/>
      <c r="M47" s="201"/>
    </row>
    <row r="48" spans="2:15">
      <c r="B48" s="197" t="s">
        <v>381</v>
      </c>
      <c r="C48" s="241">
        <v>0.4</v>
      </c>
      <c r="D48" s="242">
        <v>0.12670000000000001</v>
      </c>
      <c r="E48" s="172" t="e">
        <f t="shared" ref="E48:J48" si="15">+E20*$D48*$C48</f>
        <v>#REF!</v>
      </c>
      <c r="F48" s="172" t="e">
        <f t="shared" si="15"/>
        <v>#REF!</v>
      </c>
      <c r="G48" s="172" t="e">
        <f t="shared" si="15"/>
        <v>#REF!</v>
      </c>
      <c r="H48" s="172" t="e">
        <f t="shared" si="15"/>
        <v>#REF!</v>
      </c>
      <c r="I48" s="172" t="e">
        <f t="shared" si="15"/>
        <v>#REF!</v>
      </c>
      <c r="J48" s="172" t="e">
        <f t="shared" si="15"/>
        <v>#REF!</v>
      </c>
      <c r="K48" s="1"/>
      <c r="L48" s="202" t="e">
        <f>+L20*$D$48*$C$48</f>
        <v>#REF!</v>
      </c>
      <c r="M48" s="201"/>
      <c r="N48" s="151"/>
      <c r="O48" s="144"/>
    </row>
    <row r="49" spans="2:16">
      <c r="B49" s="197" t="s">
        <v>382</v>
      </c>
      <c r="C49" s="241">
        <v>0.25</v>
      </c>
      <c r="D49" s="242">
        <f>D48</f>
        <v>0.12670000000000001</v>
      </c>
      <c r="E49" s="172" t="e">
        <f t="shared" ref="E49:J49" si="16">+E20*$D49*$C49</f>
        <v>#REF!</v>
      </c>
      <c r="F49" s="172" t="e">
        <f t="shared" si="16"/>
        <v>#REF!</v>
      </c>
      <c r="G49" s="172" t="e">
        <f t="shared" si="16"/>
        <v>#REF!</v>
      </c>
      <c r="H49" s="172" t="e">
        <f t="shared" si="16"/>
        <v>#REF!</v>
      </c>
      <c r="I49" s="172" t="e">
        <f t="shared" si="16"/>
        <v>#REF!</v>
      </c>
      <c r="J49" s="172" t="e">
        <f t="shared" si="16"/>
        <v>#REF!</v>
      </c>
      <c r="K49" s="1"/>
      <c r="L49" s="203" t="e">
        <f>+L20*$D$49*$C$49</f>
        <v>#REF!</v>
      </c>
      <c r="M49" s="201"/>
    </row>
    <row r="50" spans="2:16">
      <c r="B50" s="197" t="s">
        <v>383</v>
      </c>
      <c r="C50" s="241">
        <v>0.15</v>
      </c>
      <c r="D50" s="242">
        <f>D49</f>
        <v>0.12670000000000001</v>
      </c>
      <c r="E50" s="172" t="e">
        <f t="shared" ref="E50:J50" si="17">+E20*$D50*$C50</f>
        <v>#REF!</v>
      </c>
      <c r="F50" s="172" t="e">
        <f t="shared" si="17"/>
        <v>#REF!</v>
      </c>
      <c r="G50" s="172" t="e">
        <f t="shared" si="17"/>
        <v>#REF!</v>
      </c>
      <c r="H50" s="172" t="e">
        <f t="shared" si="17"/>
        <v>#REF!</v>
      </c>
      <c r="I50" s="172" t="e">
        <f t="shared" si="17"/>
        <v>#REF!</v>
      </c>
      <c r="J50" s="172" t="e">
        <f t="shared" si="17"/>
        <v>#REF!</v>
      </c>
      <c r="K50" s="1"/>
      <c r="L50" s="203" t="e">
        <f>+L20*$D$50*$C$50</f>
        <v>#REF!</v>
      </c>
      <c r="M50" s="201"/>
    </row>
    <row r="51" spans="2:16">
      <c r="B51" s="197" t="s">
        <v>384</v>
      </c>
      <c r="C51" s="243">
        <v>0.25</v>
      </c>
      <c r="D51" s="244">
        <f>+L27</f>
        <v>0.12613324157034062</v>
      </c>
      <c r="E51" s="172">
        <f t="shared" ref="E51:J51" si="18">+E32*$D51*$C51</f>
        <v>48189.069140594096</v>
      </c>
      <c r="F51" s="172">
        <f t="shared" si="18"/>
        <v>44997.009154391213</v>
      </c>
      <c r="G51" s="172">
        <f t="shared" si="18"/>
        <v>20920.979658184904</v>
      </c>
      <c r="H51" s="172">
        <f t="shared" si="18"/>
        <v>33613.810686857047</v>
      </c>
      <c r="I51" s="172">
        <f t="shared" si="18"/>
        <v>0</v>
      </c>
      <c r="J51" s="172">
        <f t="shared" si="18"/>
        <v>147720.86864002727</v>
      </c>
      <c r="K51" s="1"/>
      <c r="L51" s="203">
        <f>+L32*$D$51*$C$51</f>
        <v>147720.86864002727</v>
      </c>
      <c r="M51" s="201"/>
      <c r="N51" s="146"/>
      <c r="O51" s="144"/>
    </row>
    <row r="52" spans="2:16">
      <c r="B52" s="197" t="s">
        <v>386</v>
      </c>
      <c r="C52" s="243">
        <v>0.15</v>
      </c>
      <c r="D52" s="244">
        <f>D51</f>
        <v>0.12613324157034062</v>
      </c>
      <c r="E52" s="172">
        <f t="shared" ref="E52:J52" si="19">+E32*$D52*$C52</f>
        <v>28913.441484356455</v>
      </c>
      <c r="F52" s="172">
        <f t="shared" si="19"/>
        <v>26998.205492634726</v>
      </c>
      <c r="G52" s="172">
        <f t="shared" si="19"/>
        <v>12552.587794910942</v>
      </c>
      <c r="H52" s="172">
        <f t="shared" si="19"/>
        <v>20168.286412114227</v>
      </c>
      <c r="I52" s="172">
        <f t="shared" si="19"/>
        <v>0</v>
      </c>
      <c r="J52" s="172">
        <f t="shared" si="19"/>
        <v>88632.521184016354</v>
      </c>
      <c r="K52" s="1"/>
      <c r="L52" s="203">
        <f>+L32*$D$52*$C$52</f>
        <v>88632.521184016354</v>
      </c>
      <c r="M52" s="201"/>
    </row>
    <row r="53" spans="2:16">
      <c r="B53" s="197" t="s">
        <v>387</v>
      </c>
      <c r="C53" s="245">
        <v>0.15</v>
      </c>
      <c r="D53" s="246">
        <f>+L39</f>
        <v>0.10388119033761897</v>
      </c>
      <c r="E53" s="228">
        <f t="shared" ref="E53:J53" si="20">+E44*$D53*$C53</f>
        <v>25989.178979697535</v>
      </c>
      <c r="F53" s="228">
        <f t="shared" si="20"/>
        <v>24305.456742495164</v>
      </c>
      <c r="G53" s="228">
        <f t="shared" si="20"/>
        <v>8728.9277864904161</v>
      </c>
      <c r="H53" s="228">
        <f t="shared" si="20"/>
        <v>11813.215583058276</v>
      </c>
      <c r="I53" s="228">
        <f t="shared" si="20"/>
        <v>0</v>
      </c>
      <c r="J53" s="228">
        <f t="shared" si="20"/>
        <v>70836.779091741395</v>
      </c>
      <c r="K53" s="1"/>
      <c r="L53" s="204">
        <f>+L44*$D$53*$C$53</f>
        <v>70836.779091741395</v>
      </c>
      <c r="M53" s="255" t="s">
        <v>390</v>
      </c>
      <c r="N53" t="s">
        <v>391</v>
      </c>
      <c r="O53" s="144"/>
    </row>
    <row r="54" spans="2:16">
      <c r="B54" s="211" t="s">
        <v>360</v>
      </c>
      <c r="E54" s="1" t="e">
        <f t="shared" ref="E54:J54" si="21">SUM(E48:E53)</f>
        <v>#REF!</v>
      </c>
      <c r="F54" s="1" t="e">
        <f t="shared" si="21"/>
        <v>#REF!</v>
      </c>
      <c r="G54" s="1" t="e">
        <f t="shared" si="21"/>
        <v>#REF!</v>
      </c>
      <c r="H54" s="1" t="e">
        <f t="shared" si="21"/>
        <v>#REF!</v>
      </c>
      <c r="I54" s="1" t="e">
        <f t="shared" si="21"/>
        <v>#REF!</v>
      </c>
      <c r="J54" s="1" t="e">
        <f t="shared" si="21"/>
        <v>#REF!</v>
      </c>
      <c r="K54" s="1"/>
      <c r="L54" s="205" t="e">
        <f>SUM(L48:L53)</f>
        <v>#REF!</v>
      </c>
      <c r="M54" s="257" t="e">
        <f>L54/L13</f>
        <v>#REF!</v>
      </c>
      <c r="N54" t="s">
        <v>392</v>
      </c>
    </row>
    <row r="55" spans="2:16">
      <c r="B55"/>
      <c r="E55" s="1"/>
      <c r="F55" s="1"/>
      <c r="G55" s="1"/>
      <c r="H55" s="1"/>
      <c r="I55" s="1"/>
      <c r="J55" s="253"/>
      <c r="K55" s="1"/>
      <c r="L55" s="205"/>
      <c r="M55" s="201"/>
    </row>
    <row r="56" spans="2:16">
      <c r="B56" s="174" t="s">
        <v>361</v>
      </c>
      <c r="D56" s="234">
        <v>0.24</v>
      </c>
      <c r="E56" s="198" t="e">
        <f t="shared" ref="E56:J56" si="22">-E54*$D$56</f>
        <v>#REF!</v>
      </c>
      <c r="F56" s="198" t="e">
        <f t="shared" si="22"/>
        <v>#REF!</v>
      </c>
      <c r="G56" s="198" t="e">
        <f t="shared" si="22"/>
        <v>#REF!</v>
      </c>
      <c r="H56" s="198" t="e">
        <f t="shared" si="22"/>
        <v>#REF!</v>
      </c>
      <c r="I56" s="198" t="e">
        <f t="shared" si="22"/>
        <v>#REF!</v>
      </c>
      <c r="J56" s="198" t="e">
        <f t="shared" si="22"/>
        <v>#REF!</v>
      </c>
      <c r="K56" s="1"/>
      <c r="L56" s="206" t="e">
        <f>-L54*$D$56</f>
        <v>#REF!</v>
      </c>
      <c r="M56" s="201"/>
    </row>
    <row r="57" spans="2:16">
      <c r="E57" s="1"/>
      <c r="F57" s="1"/>
      <c r="G57" s="1"/>
      <c r="H57" s="1"/>
      <c r="I57" s="1"/>
      <c r="J57" s="4"/>
      <c r="K57" s="4"/>
      <c r="L57" s="200"/>
      <c r="M57" s="201"/>
    </row>
    <row r="58" spans="2:16" ht="15.75" thickBot="1">
      <c r="B58" s="123" t="s">
        <v>362</v>
      </c>
      <c r="E58" s="214" t="e">
        <f t="shared" ref="E58:J58" si="23">SUM(E54:E56)</f>
        <v>#REF!</v>
      </c>
      <c r="F58" s="214" t="e">
        <f t="shared" si="23"/>
        <v>#REF!</v>
      </c>
      <c r="G58" s="214" t="e">
        <f t="shared" si="23"/>
        <v>#REF!</v>
      </c>
      <c r="H58" s="214" t="e">
        <f t="shared" si="23"/>
        <v>#REF!</v>
      </c>
      <c r="I58" s="214" t="e">
        <f t="shared" si="23"/>
        <v>#REF!</v>
      </c>
      <c r="J58" s="213" t="e">
        <f t="shared" si="23"/>
        <v>#REF!</v>
      </c>
      <c r="K58" s="1"/>
      <c r="L58" s="207" t="e">
        <f>SUM(L54:L56)</f>
        <v>#REF!</v>
      </c>
      <c r="M58" s="256" t="e">
        <f>L58/L13</f>
        <v>#REF!</v>
      </c>
    </row>
    <row r="59" spans="2:16" ht="16.5" thickTop="1" thickBot="1">
      <c r="B59" s="259" t="s">
        <v>385</v>
      </c>
      <c r="E59" s="214" t="e">
        <f>ROUND(E58,-3)</f>
        <v>#REF!</v>
      </c>
      <c r="F59" s="214" t="e">
        <f t="shared" ref="F59:G59" si="24">ROUND(F58,-3)</f>
        <v>#REF!</v>
      </c>
      <c r="G59" s="214" t="e">
        <f t="shared" si="24"/>
        <v>#REF!</v>
      </c>
      <c r="H59" s="214" t="e">
        <f>ROUNDDOWN(H58,-4)</f>
        <v>#REF!</v>
      </c>
      <c r="I59" s="214" t="e">
        <f>ROUND(I58,-3)</f>
        <v>#REF!</v>
      </c>
      <c r="J59" s="213" t="e">
        <f>SUM(E59:I59)</f>
        <v>#REF!</v>
      </c>
      <c r="K59" s="261" t="s">
        <v>401</v>
      </c>
      <c r="L59" s="252"/>
    </row>
    <row r="60" spans="2:16" ht="15.75" thickTop="1">
      <c r="B60"/>
      <c r="D60" s="236" t="s">
        <v>388</v>
      </c>
      <c r="E60" s="253"/>
      <c r="F60" s="253"/>
      <c r="G60" s="253"/>
      <c r="H60" s="253"/>
      <c r="I60" s="253"/>
      <c r="J60" s="253" t="e">
        <f>J59/J12</f>
        <v>#REF!</v>
      </c>
      <c r="K60" s="1"/>
      <c r="L60" s="237"/>
    </row>
    <row r="61" spans="2:16">
      <c r="E61" s="1"/>
      <c r="F61" s="1"/>
      <c r="G61" s="1"/>
      <c r="H61" s="1"/>
      <c r="I61" s="1"/>
      <c r="J61" s="1"/>
      <c r="K61" s="1"/>
    </row>
    <row r="62" spans="2:16">
      <c r="B62" s="258" t="s">
        <v>380</v>
      </c>
      <c r="C62" s="247"/>
      <c r="D62" s="247"/>
      <c r="E62" s="248"/>
      <c r="F62" s="248"/>
      <c r="G62" s="248"/>
      <c r="H62" s="248"/>
      <c r="I62" s="248"/>
      <c r="J62" s="121"/>
      <c r="K62" s="254" t="s">
        <v>389</v>
      </c>
      <c r="O62" s="232"/>
      <c r="P62" s="231"/>
    </row>
    <row r="63" spans="2:16">
      <c r="B63" s="174" t="s">
        <v>378</v>
      </c>
      <c r="E63" s="1" t="e">
        <f>ROUND((E48+E51+E53)+(((E48+E51+E53)/E54)*E56),-3)</f>
        <v>#REF!</v>
      </c>
      <c r="F63" s="1" t="e">
        <f>ROUND((F48+F51+F53)+(((F48+F51+F53)/F54)*F56),-3)</f>
        <v>#REF!</v>
      </c>
      <c r="G63" s="1" t="e">
        <f>ROUND((G48+G51+G53)+(((G48+G51+G53)/G54)*G56),-3)</f>
        <v>#REF!</v>
      </c>
      <c r="H63" s="1" t="e">
        <f>ROUND((H48+H51+H53)+(((H48+H51+H53)/H54)*H56),-3)</f>
        <v>#REF!</v>
      </c>
      <c r="I63" s="1"/>
      <c r="J63" s="1" t="e">
        <f>SUM(E63:I63)</f>
        <v>#REF!</v>
      </c>
      <c r="K63" s="238" t="e">
        <f>J63/J65</f>
        <v>#REF!</v>
      </c>
      <c r="O63" s="232"/>
      <c r="P63" s="231"/>
    </row>
    <row r="64" spans="2:16">
      <c r="B64" s="174" t="s">
        <v>379</v>
      </c>
      <c r="E64" s="198" t="e">
        <f>E59-E63</f>
        <v>#REF!</v>
      </c>
      <c r="F64" s="198" t="e">
        <f>F59-F63</f>
        <v>#REF!</v>
      </c>
      <c r="G64" s="198" t="e">
        <f t="shared" ref="G64:H64" si="25">G59-G63</f>
        <v>#REF!</v>
      </c>
      <c r="H64" s="198" t="e">
        <f t="shared" si="25"/>
        <v>#REF!</v>
      </c>
      <c r="I64" s="198"/>
      <c r="J64" s="198" t="e">
        <f>SUM(E64:I64)</f>
        <v>#REF!</v>
      </c>
      <c r="K64" s="238" t="e">
        <f>J64/J65</f>
        <v>#REF!</v>
      </c>
      <c r="O64" s="232"/>
      <c r="P64" s="231"/>
    </row>
    <row r="65" spans="1:16" ht="15.75" thickBot="1">
      <c r="B65" s="123" t="s">
        <v>362</v>
      </c>
      <c r="E65" s="214" t="e">
        <f>SUM(E63:E64)</f>
        <v>#REF!</v>
      </c>
      <c r="F65" s="214" t="e">
        <f t="shared" ref="F65:G65" si="26">SUM(F63:F64)</f>
        <v>#REF!</v>
      </c>
      <c r="G65" s="214" t="e">
        <f t="shared" si="26"/>
        <v>#REF!</v>
      </c>
      <c r="H65" s="214" t="e">
        <f t="shared" ref="H65" si="27">SUM(H63:H64)</f>
        <v>#REF!</v>
      </c>
      <c r="I65" s="214">
        <f>SUM(I63:I64)</f>
        <v>0</v>
      </c>
      <c r="J65" s="213" t="e">
        <f>SUM(J63:J64)</f>
        <v>#REF!</v>
      </c>
      <c r="K65" s="1"/>
      <c r="O65" s="232"/>
      <c r="P65" s="231"/>
    </row>
    <row r="66" spans="1:16" ht="15.75" thickTop="1">
      <c r="C66" s="212"/>
      <c r="D66" s="236" t="s">
        <v>393</v>
      </c>
      <c r="E66" s="237" t="e">
        <f t="shared" ref="E66:J66" si="28">E70-E65</f>
        <v>#REF!</v>
      </c>
      <c r="F66" s="237" t="e">
        <f t="shared" si="28"/>
        <v>#REF!</v>
      </c>
      <c r="G66" s="237" t="e">
        <f t="shared" si="28"/>
        <v>#REF!</v>
      </c>
      <c r="H66" s="237" t="e">
        <f t="shared" si="28"/>
        <v>#REF!</v>
      </c>
      <c r="I66" s="237">
        <f t="shared" si="28"/>
        <v>0</v>
      </c>
      <c r="J66" s="237" t="e">
        <f t="shared" si="28"/>
        <v>#REF!</v>
      </c>
      <c r="K66" s="1"/>
      <c r="O66" s="232"/>
      <c r="P66" s="231"/>
    </row>
    <row r="67" spans="1:16">
      <c r="E67" s="1"/>
      <c r="F67" s="1"/>
      <c r="G67" s="1"/>
      <c r="H67" s="1"/>
      <c r="I67" s="1"/>
      <c r="J67" s="1"/>
      <c r="K67" s="1"/>
      <c r="L67" s="232"/>
      <c r="O67" s="232"/>
      <c r="P67" s="231"/>
    </row>
    <row r="68" spans="1:16">
      <c r="B68" s="218" t="s">
        <v>397</v>
      </c>
      <c r="E68" s="172">
        <v>141000</v>
      </c>
      <c r="F68" s="172">
        <v>129000</v>
      </c>
      <c r="G68" s="172">
        <v>50000</v>
      </c>
      <c r="H68" s="172">
        <v>35000</v>
      </c>
      <c r="J68" s="1">
        <f>SUM(E68:I68)</f>
        <v>355000</v>
      </c>
      <c r="K68" s="1"/>
      <c r="L68" s="232"/>
      <c r="O68" s="232"/>
      <c r="P68" s="231"/>
    </row>
    <row r="69" spans="1:16">
      <c r="B69" s="218" t="s">
        <v>398</v>
      </c>
      <c r="E69" s="228">
        <v>97000</v>
      </c>
      <c r="F69" s="228">
        <v>90000</v>
      </c>
      <c r="G69" s="228">
        <v>40000</v>
      </c>
      <c r="H69" s="228">
        <v>33000</v>
      </c>
      <c r="I69" s="198"/>
      <c r="J69" s="198">
        <f>SUM(E69:I69)</f>
        <v>260000</v>
      </c>
      <c r="K69" s="1"/>
      <c r="L69" s="232"/>
      <c r="O69" s="232"/>
      <c r="P69" s="231"/>
    </row>
    <row r="70" spans="1:16" ht="15.75" thickBot="1">
      <c r="B70" s="218">
        <v>2018</v>
      </c>
      <c r="E70" s="214">
        <f>SUM(E68:E69)</f>
        <v>238000</v>
      </c>
      <c r="F70" s="214">
        <f t="shared" ref="F70:J70" si="29">SUM(F68:F69)</f>
        <v>219000</v>
      </c>
      <c r="G70" s="214">
        <f t="shared" si="29"/>
        <v>90000</v>
      </c>
      <c r="H70" s="214">
        <f t="shared" si="29"/>
        <v>68000</v>
      </c>
      <c r="I70" s="214">
        <f t="shared" si="29"/>
        <v>0</v>
      </c>
      <c r="J70" s="214">
        <f t="shared" si="29"/>
        <v>615000</v>
      </c>
      <c r="K70" s="123"/>
      <c r="L70" s="4"/>
    </row>
    <row r="71" spans="1:16" ht="15.75" thickTop="1">
      <c r="B71" s="218"/>
      <c r="C71" t="s">
        <v>400</v>
      </c>
      <c r="E71" s="1"/>
      <c r="F71" s="1"/>
      <c r="G71" s="1"/>
      <c r="H71" s="1"/>
      <c r="I71" s="1"/>
      <c r="J71" s="1"/>
      <c r="K71" s="123"/>
      <c r="L71" s="4"/>
    </row>
    <row r="72" spans="1:16">
      <c r="B72" t="s">
        <v>399</v>
      </c>
      <c r="C72">
        <v>23350</v>
      </c>
      <c r="E72" s="146" t="e">
        <f t="shared" ref="E72:I73" si="30">E68-E63</f>
        <v>#REF!</v>
      </c>
      <c r="F72" s="146" t="e">
        <f t="shared" si="30"/>
        <v>#REF!</v>
      </c>
      <c r="G72" s="146" t="e">
        <f t="shared" si="30"/>
        <v>#REF!</v>
      </c>
      <c r="H72" s="146" t="e">
        <f t="shared" si="30"/>
        <v>#REF!</v>
      </c>
      <c r="I72" s="146">
        <f t="shared" si="30"/>
        <v>0</v>
      </c>
      <c r="J72" s="146" t="e">
        <f>SUM(E72:I72)</f>
        <v>#REF!</v>
      </c>
      <c r="K72" s="123"/>
      <c r="L72" s="123"/>
      <c r="O72" s="233"/>
    </row>
    <row r="73" spans="1:16">
      <c r="B73"/>
      <c r="C73">
        <v>27100</v>
      </c>
      <c r="E73" s="146" t="e">
        <f t="shared" si="30"/>
        <v>#REF!</v>
      </c>
      <c r="F73" s="146" t="e">
        <f t="shared" si="30"/>
        <v>#REF!</v>
      </c>
      <c r="G73" s="146" t="e">
        <f t="shared" si="30"/>
        <v>#REF!</v>
      </c>
      <c r="H73" s="146" t="e">
        <f t="shared" si="30"/>
        <v>#REF!</v>
      </c>
      <c r="I73" s="146">
        <f t="shared" si="30"/>
        <v>0</v>
      </c>
      <c r="J73" s="146" t="e">
        <f>SUM(E73:I73)</f>
        <v>#REF!</v>
      </c>
      <c r="K73" s="123"/>
      <c r="L73" s="4"/>
    </row>
    <row r="74" spans="1:16">
      <c r="C74">
        <v>80100</v>
      </c>
      <c r="E74" s="163" t="e">
        <f>-SUM(E72:E73)</f>
        <v>#REF!</v>
      </c>
      <c r="F74" s="163" t="e">
        <f t="shared" ref="F74:J74" si="31">-SUM(F72:F73)</f>
        <v>#REF!</v>
      </c>
      <c r="G74" s="163" t="e">
        <f t="shared" si="31"/>
        <v>#REF!</v>
      </c>
      <c r="H74" s="163" t="e">
        <f t="shared" si="31"/>
        <v>#REF!</v>
      </c>
      <c r="I74" s="163">
        <f t="shared" si="31"/>
        <v>0</v>
      </c>
      <c r="J74" s="163" t="e">
        <f t="shared" si="31"/>
        <v>#REF!</v>
      </c>
    </row>
    <row r="76" spans="1:16">
      <c r="A76" s="152"/>
    </row>
  </sheetData>
  <mergeCells count="2">
    <mergeCell ref="A1:M1"/>
    <mergeCell ref="A2:M2"/>
  </mergeCells>
  <pageMargins left="0.25" right="0.25" top="0.75" bottom="0.75" header="0.3" footer="0.3"/>
  <pageSetup scale="53" fitToHeight="2" orientation="landscape" r:id="rId1"/>
  <rowBreaks count="1" manualBreakCount="1">
    <brk id="3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B198BC-F1BA-4DAD-B4A9-EC145AFBF85D}">
  <dimension ref="A1:Q73"/>
  <sheetViews>
    <sheetView workbookViewId="0">
      <selection sqref="A1:L1"/>
    </sheetView>
  </sheetViews>
  <sheetFormatPr defaultColWidth="8.85546875" defaultRowHeight="15"/>
  <cols>
    <col min="1" max="1" width="5.85546875" customWidth="1"/>
    <col min="2" max="2" width="38.28515625" style="174" customWidth="1"/>
    <col min="3" max="3" width="6.42578125" customWidth="1"/>
    <col min="4" max="4" width="7.5703125" customWidth="1"/>
    <col min="5" max="5" width="12.28515625" customWidth="1"/>
    <col min="6" max="7" width="11.140625" bestFit="1" customWidth="1"/>
    <col min="8" max="8" width="11.28515625" customWidth="1"/>
    <col min="9" max="9" width="13.28515625" customWidth="1"/>
    <col min="10" max="10" width="4.85546875" bestFit="1" customWidth="1"/>
    <col min="11" max="11" width="24.28515625" bestFit="1" customWidth="1"/>
    <col min="12" max="12" width="17.5703125" customWidth="1"/>
    <col min="13" max="13" width="12.28515625" bestFit="1" customWidth="1"/>
    <col min="14" max="14" width="11.140625" bestFit="1" customWidth="1"/>
  </cols>
  <sheetData>
    <row r="1" spans="1:12" ht="18.75">
      <c r="A1" s="320" t="s">
        <v>374</v>
      </c>
      <c r="B1" s="321"/>
      <c r="C1" s="321"/>
      <c r="D1" s="321"/>
      <c r="E1" s="321"/>
      <c r="F1" s="321"/>
      <c r="G1" s="321"/>
      <c r="H1" s="321"/>
      <c r="I1" s="321"/>
      <c r="J1" s="321"/>
      <c r="K1" s="321"/>
      <c r="L1" s="322"/>
    </row>
    <row r="2" spans="1:12" ht="19.5" thickBot="1">
      <c r="A2" s="323" t="s">
        <v>368</v>
      </c>
      <c r="B2" s="324"/>
      <c r="C2" s="324"/>
      <c r="D2" s="324"/>
      <c r="E2" s="324"/>
      <c r="F2" s="324"/>
      <c r="G2" s="324"/>
      <c r="H2" s="324"/>
      <c r="I2" s="324"/>
      <c r="J2" s="324"/>
      <c r="K2" s="324"/>
      <c r="L2" s="325"/>
    </row>
    <row r="3" spans="1:12">
      <c r="A3" s="222"/>
      <c r="B3" s="222"/>
      <c r="C3" s="222"/>
      <c r="D3" s="222"/>
      <c r="E3" s="222"/>
      <c r="F3" s="222"/>
      <c r="G3" s="222"/>
      <c r="H3" s="222"/>
      <c r="I3" s="222"/>
      <c r="J3" s="222"/>
      <c r="K3" s="222"/>
      <c r="L3" s="222"/>
    </row>
    <row r="4" spans="1:12">
      <c r="E4" s="223"/>
      <c r="F4" s="223"/>
      <c r="G4" s="223"/>
      <c r="H4" s="223"/>
      <c r="I4" s="224"/>
    </row>
    <row r="5" spans="1:12" ht="30.75" thickBot="1">
      <c r="A5" s="177"/>
      <c r="B5" s="180"/>
      <c r="C5" s="177"/>
      <c r="D5" s="177"/>
      <c r="E5" s="178" t="s">
        <v>375</v>
      </c>
      <c r="F5" s="178" t="s">
        <v>371</v>
      </c>
      <c r="G5" s="178" t="s">
        <v>373</v>
      </c>
      <c r="H5" s="178" t="s">
        <v>372</v>
      </c>
      <c r="I5" s="178" t="s">
        <v>300</v>
      </c>
      <c r="J5" s="182"/>
      <c r="K5" s="199" t="s">
        <v>394</v>
      </c>
      <c r="L5" s="199" t="s">
        <v>363</v>
      </c>
    </row>
    <row r="6" spans="1:12">
      <c r="A6" s="185"/>
      <c r="B6" s="186"/>
      <c r="C6" s="185"/>
      <c r="D6" s="185"/>
      <c r="E6" s="182"/>
      <c r="F6" s="182"/>
      <c r="G6" s="182"/>
      <c r="H6" s="182"/>
      <c r="I6" s="182"/>
      <c r="J6" s="182"/>
      <c r="K6" s="187"/>
    </row>
    <row r="7" spans="1:12" ht="15" hidden="1" customHeight="1">
      <c r="A7" s="153"/>
      <c r="B7" s="179"/>
      <c r="C7" s="153"/>
      <c r="D7" s="153"/>
      <c r="I7" s="216" t="s">
        <v>367</v>
      </c>
      <c r="K7" s="188">
        <v>0</v>
      </c>
      <c r="L7" s="190" t="s">
        <v>364</v>
      </c>
    </row>
    <row r="8" spans="1:12">
      <c r="A8" s="153"/>
      <c r="B8" s="179"/>
      <c r="C8" s="153"/>
      <c r="D8" s="153"/>
      <c r="I8" s="216" t="s">
        <v>366</v>
      </c>
      <c r="K8" s="188">
        <v>0</v>
      </c>
      <c r="L8" s="190" t="s">
        <v>364</v>
      </c>
    </row>
    <row r="9" spans="1:12">
      <c r="A9" s="153"/>
      <c r="B9" s="179"/>
      <c r="C9" s="153"/>
      <c r="D9" s="153"/>
      <c r="K9" s="188"/>
      <c r="L9" s="190"/>
    </row>
    <row r="10" spans="1:12" s="146" customFormat="1">
      <c r="B10" s="193">
        <v>2018</v>
      </c>
      <c r="C10" s="194"/>
      <c r="D10" s="194"/>
      <c r="E10" s="195"/>
      <c r="F10" s="195"/>
      <c r="G10" s="195"/>
      <c r="H10" s="195"/>
      <c r="I10" s="196"/>
      <c r="K10" s="221">
        <f>+B10</f>
        <v>2018</v>
      </c>
      <c r="L10" s="221"/>
    </row>
    <row r="11" spans="1:12" s="146" customFormat="1">
      <c r="B11" s="181" t="s">
        <v>337</v>
      </c>
      <c r="E11" s="163">
        <v>1942633</v>
      </c>
      <c r="F11" s="163">
        <v>1708753</v>
      </c>
      <c r="G11" s="163">
        <v>1100194</v>
      </c>
      <c r="H11" s="163">
        <v>1420472</v>
      </c>
      <c r="I11" s="163">
        <f>SUM(E11:H11)</f>
        <v>6172052</v>
      </c>
      <c r="J11" s="172"/>
      <c r="K11" s="163">
        <f>I11*(1-$K$7)</f>
        <v>6172052</v>
      </c>
    </row>
    <row r="12" spans="1:12">
      <c r="B12" s="174" t="s">
        <v>339</v>
      </c>
      <c r="E12" s="192">
        <v>363441</v>
      </c>
      <c r="F12" s="192">
        <v>452293</v>
      </c>
      <c r="G12" s="192">
        <v>64652</v>
      </c>
      <c r="H12" s="192">
        <v>127111</v>
      </c>
      <c r="I12" s="192">
        <f>SUM(E12:H12)</f>
        <v>1007497</v>
      </c>
      <c r="J12" s="172"/>
      <c r="K12" s="192">
        <f>I12*(1-$K$7)</f>
        <v>1007497</v>
      </c>
    </row>
    <row r="13" spans="1:12">
      <c r="B13" s="174" t="s">
        <v>338</v>
      </c>
      <c r="E13" s="163">
        <f t="shared" ref="E13:I13" si="0">SUM(E11:E12)</f>
        <v>2306074</v>
      </c>
      <c r="F13" s="163">
        <f t="shared" si="0"/>
        <v>2161046</v>
      </c>
      <c r="G13" s="163">
        <f t="shared" si="0"/>
        <v>1164846</v>
      </c>
      <c r="H13" s="163">
        <f t="shared" si="0"/>
        <v>1547583</v>
      </c>
      <c r="I13" s="163">
        <f t="shared" si="0"/>
        <v>7179549</v>
      </c>
      <c r="J13" s="172"/>
      <c r="K13" s="163">
        <f t="shared" ref="K13" si="1">SUM(K11:K12)</f>
        <v>7179549</v>
      </c>
    </row>
    <row r="14" spans="1:12">
      <c r="E14" s="163"/>
      <c r="F14" s="163"/>
      <c r="G14" s="163"/>
      <c r="H14" s="163"/>
      <c r="I14" s="163"/>
      <c r="J14" s="172"/>
      <c r="K14" s="163"/>
    </row>
    <row r="15" spans="1:12">
      <c r="B15" s="174" t="s">
        <v>341</v>
      </c>
      <c r="E15" s="183">
        <f>+E12/E13</f>
        <v>0.1576016207632539</v>
      </c>
      <c r="F15" s="183">
        <f t="shared" ref="F15:I15" si="2">+F12/F13</f>
        <v>0.20929355506546368</v>
      </c>
      <c r="G15" s="183">
        <f t="shared" si="2"/>
        <v>5.5502615796422877E-2</v>
      </c>
      <c r="H15" s="183">
        <f t="shared" si="2"/>
        <v>8.2135174656221999E-2</v>
      </c>
      <c r="I15" s="183">
        <f t="shared" si="2"/>
        <v>0.14032873095510595</v>
      </c>
      <c r="J15" s="183"/>
      <c r="K15" s="208">
        <f>AVERAGE(E15:H15)</f>
        <v>0.12613324157034062</v>
      </c>
      <c r="L15" s="189"/>
    </row>
    <row r="16" spans="1:12">
      <c r="E16" s="172"/>
      <c r="F16" s="172"/>
      <c r="G16" s="172"/>
      <c r="H16" s="172"/>
      <c r="I16" s="172"/>
      <c r="J16" s="172"/>
      <c r="K16" s="227"/>
      <c r="L16" s="189"/>
    </row>
    <row r="17" spans="2:17">
      <c r="B17" s="174" t="s">
        <v>338</v>
      </c>
      <c r="E17" s="163">
        <f>E13</f>
        <v>2306074</v>
      </c>
      <c r="F17" s="163">
        <f t="shared" ref="F17:H17" si="3">F13</f>
        <v>2161046</v>
      </c>
      <c r="G17" s="163">
        <f t="shared" si="3"/>
        <v>1164846</v>
      </c>
      <c r="H17" s="163">
        <f t="shared" si="3"/>
        <v>1547583</v>
      </c>
      <c r="I17" s="163">
        <f>SUM(E17:H17)</f>
        <v>7179549</v>
      </c>
      <c r="J17" s="172"/>
      <c r="K17" s="227">
        <f>K13</f>
        <v>7179549</v>
      </c>
      <c r="L17" s="189"/>
    </row>
    <row r="18" spans="2:17" ht="45">
      <c r="B18" s="226" t="s">
        <v>348</v>
      </c>
      <c r="C18" s="235">
        <v>0.67130000000000001</v>
      </c>
      <c r="D18" s="217"/>
      <c r="E18" s="172">
        <v>-765471.30660000001</v>
      </c>
      <c r="F18" s="172">
        <v>-662582.49820000003</v>
      </c>
      <c r="G18" s="172">
        <v>-483843.50280000002</v>
      </c>
      <c r="H18" s="172">
        <v>-477078.14140000002</v>
      </c>
      <c r="I18" s="172">
        <f>SUM(E18:H18)</f>
        <v>-2388975.449</v>
      </c>
      <c r="J18" s="172"/>
      <c r="K18" s="209">
        <f>I18*(1-$K$7)</f>
        <v>-2388975.449</v>
      </c>
    </row>
    <row r="19" spans="2:17">
      <c r="B19" s="174" t="s">
        <v>359</v>
      </c>
      <c r="C19" s="174"/>
      <c r="D19" s="174"/>
      <c r="E19" s="228">
        <v>-12407</v>
      </c>
      <c r="F19" s="228">
        <v>-71496</v>
      </c>
      <c r="G19" s="228">
        <v>-17546</v>
      </c>
      <c r="H19" s="228">
        <v>-4527</v>
      </c>
      <c r="I19" s="228">
        <f>SUM(E19:H19)</f>
        <v>-105976</v>
      </c>
      <c r="J19" s="172"/>
      <c r="K19" s="228">
        <f>I19*(1-$K$7)</f>
        <v>-105976</v>
      </c>
    </row>
    <row r="20" spans="2:17">
      <c r="B20" t="s">
        <v>349</v>
      </c>
      <c r="E20" s="163">
        <f>+E13+E18+E19</f>
        <v>1528195.6934</v>
      </c>
      <c r="F20" s="163">
        <f t="shared" ref="F20:H20" si="4">+F13+F18+F19</f>
        <v>1426967.5018</v>
      </c>
      <c r="G20" s="163">
        <f t="shared" si="4"/>
        <v>663456.49719999998</v>
      </c>
      <c r="H20" s="163">
        <f t="shared" si="4"/>
        <v>1065977.8585999999</v>
      </c>
      <c r="I20" s="163">
        <f>SUM(I17:I19)</f>
        <v>4684597.551</v>
      </c>
      <c r="J20" s="172"/>
      <c r="K20" s="209">
        <f>+K13+K18+K19</f>
        <v>4684597.551</v>
      </c>
    </row>
    <row r="21" spans="2:17">
      <c r="E21" s="163"/>
      <c r="F21" s="163"/>
      <c r="G21" s="163"/>
      <c r="H21" s="163"/>
      <c r="I21" s="163"/>
      <c r="J21" s="172"/>
      <c r="K21" s="163"/>
    </row>
    <row r="22" spans="2:17">
      <c r="B22" s="193">
        <v>2017</v>
      </c>
      <c r="C22" s="194"/>
      <c r="D22" s="194"/>
      <c r="E22" s="195"/>
      <c r="F22" s="195"/>
      <c r="G22" s="229"/>
      <c r="H22" s="229"/>
      <c r="I22" s="195"/>
      <c r="J22" s="172"/>
      <c r="K22" s="221">
        <f>+B22</f>
        <v>2017</v>
      </c>
      <c r="L22" s="221"/>
    </row>
    <row r="23" spans="2:17">
      <c r="B23" s="181" t="s">
        <v>337</v>
      </c>
      <c r="C23" s="146"/>
      <c r="D23" s="146"/>
      <c r="E23" s="163">
        <v>2287617</v>
      </c>
      <c r="F23" s="163">
        <v>2017501</v>
      </c>
      <c r="G23" s="163">
        <v>938631</v>
      </c>
      <c r="H23" s="163">
        <v>1039209</v>
      </c>
      <c r="I23" s="163">
        <f>SUM(E23:H23)</f>
        <v>6282958</v>
      </c>
      <c r="J23" s="172"/>
      <c r="K23" s="163">
        <f>I23*(1-$K$7)</f>
        <v>6282958</v>
      </c>
      <c r="L23" s="146"/>
    </row>
    <row r="24" spans="2:17">
      <c r="B24" s="174" t="s">
        <v>339</v>
      </c>
      <c r="E24" s="192">
        <v>402560</v>
      </c>
      <c r="F24" s="192">
        <v>373090</v>
      </c>
      <c r="G24" s="192">
        <v>73728</v>
      </c>
      <c r="H24" s="192">
        <v>39917</v>
      </c>
      <c r="I24" s="192">
        <f>SUM(E24:H24)</f>
        <v>889295</v>
      </c>
      <c r="J24" s="172"/>
      <c r="K24" s="192">
        <f>I24*(1-$K$7)</f>
        <v>889295</v>
      </c>
    </row>
    <row r="25" spans="2:17">
      <c r="B25" s="174" t="s">
        <v>338</v>
      </c>
      <c r="E25" s="163">
        <f t="shared" ref="E25:I25" si="5">SUM(E23:E24)</f>
        <v>2690177</v>
      </c>
      <c r="F25" s="163">
        <f t="shared" si="5"/>
        <v>2390591</v>
      </c>
      <c r="G25" s="163">
        <f t="shared" si="5"/>
        <v>1012359</v>
      </c>
      <c r="H25" s="163">
        <f t="shared" si="5"/>
        <v>1079126</v>
      </c>
      <c r="I25" s="163">
        <f t="shared" si="5"/>
        <v>7172253</v>
      </c>
      <c r="J25" s="172"/>
      <c r="K25" s="163">
        <f t="shared" ref="K25" si="6">SUM(K23:K24)</f>
        <v>7172253</v>
      </c>
    </row>
    <row r="26" spans="2:17">
      <c r="E26" s="163"/>
      <c r="F26" s="163"/>
      <c r="G26" s="163"/>
      <c r="H26" s="163"/>
      <c r="I26" s="163"/>
      <c r="J26" s="172"/>
      <c r="K26" s="163"/>
    </row>
    <row r="27" spans="2:17">
      <c r="B27" s="174" t="s">
        <v>341</v>
      </c>
      <c r="E27" s="183">
        <f>+E24/E25</f>
        <v>0.14964071137326651</v>
      </c>
      <c r="F27" s="183">
        <f t="shared" ref="F27:H27" si="7">+F24/F25</f>
        <v>0.15606601045515522</v>
      </c>
      <c r="G27" s="183">
        <f t="shared" si="7"/>
        <v>7.282791973993416E-2</v>
      </c>
      <c r="H27" s="183">
        <f t="shared" si="7"/>
        <v>3.6990119782119975E-2</v>
      </c>
      <c r="I27" s="183">
        <f>+I24/I25</f>
        <v>0.12399102485648512</v>
      </c>
      <c r="J27" s="183"/>
      <c r="K27" s="208">
        <f>AVERAGE(E27:H27)</f>
        <v>0.10388119033761897</v>
      </c>
      <c r="L27" s="189"/>
    </row>
    <row r="28" spans="2:17">
      <c r="E28" s="172"/>
      <c r="F28" s="172"/>
      <c r="G28" s="172"/>
      <c r="H28" s="172"/>
      <c r="I28" s="172"/>
      <c r="J28" s="172"/>
      <c r="K28" s="227"/>
      <c r="L28" s="189"/>
    </row>
    <row r="29" spans="2:17">
      <c r="B29" s="174" t="s">
        <v>338</v>
      </c>
      <c r="E29" s="163">
        <f>E25</f>
        <v>2690177</v>
      </c>
      <c r="F29" s="163">
        <f t="shared" ref="F29:H29" si="8">F25</f>
        <v>2390591</v>
      </c>
      <c r="G29" s="163">
        <f t="shared" si="8"/>
        <v>1012359</v>
      </c>
      <c r="H29" s="163">
        <f t="shared" si="8"/>
        <v>1079126</v>
      </c>
      <c r="I29" s="163">
        <f>SUM(E29:H29)</f>
        <v>7172253</v>
      </c>
      <c r="J29" s="172"/>
      <c r="K29" s="163">
        <f t="shared" ref="K29" si="9">K25</f>
        <v>7172253</v>
      </c>
      <c r="L29" s="189"/>
    </row>
    <row r="30" spans="2:17" ht="45">
      <c r="B30" s="226" t="s">
        <v>348</v>
      </c>
      <c r="C30" s="235">
        <f>+C18</f>
        <v>0.67130000000000001</v>
      </c>
      <c r="D30" s="218"/>
      <c r="E30" s="172">
        <v>-1022298.6032</v>
      </c>
      <c r="F30" s="172">
        <v>-720602.95720000006</v>
      </c>
      <c r="G30" s="172">
        <v>-440651.38949999999</v>
      </c>
      <c r="H30" s="172">
        <v>-316502.51010000001</v>
      </c>
      <c r="I30" s="172">
        <f>SUM(E30:H30)</f>
        <v>-2500055.46</v>
      </c>
      <c r="J30" s="172"/>
      <c r="K30" s="209">
        <f>I30*(1-$K$7)</f>
        <v>-2500055.46</v>
      </c>
    </row>
    <row r="31" spans="2:17" ht="14.45" customHeight="1">
      <c r="B31" s="174" t="s">
        <v>359</v>
      </c>
      <c r="C31" s="174"/>
      <c r="D31" s="174"/>
      <c r="E31" s="228">
        <v>0</v>
      </c>
      <c r="F31" s="228">
        <v>-110164</v>
      </c>
      <c r="G31" s="228">
        <v>-11521</v>
      </c>
      <c r="H31" s="228">
        <v>-4500</v>
      </c>
      <c r="I31" s="228">
        <f>SUM(E31:H31)</f>
        <v>-126185</v>
      </c>
      <c r="J31" s="209"/>
      <c r="K31" s="228">
        <f>I31*(1-$K$7)</f>
        <v>-126185</v>
      </c>
      <c r="M31" s="1"/>
      <c r="N31" s="1"/>
      <c r="O31" s="1"/>
      <c r="P31" s="1"/>
      <c r="Q31" s="1"/>
    </row>
    <row r="32" spans="2:17">
      <c r="B32" t="s">
        <v>349</v>
      </c>
      <c r="E32" s="163">
        <f>+E25+E30+E31</f>
        <v>1667878.3968</v>
      </c>
      <c r="F32" s="163">
        <f t="shared" ref="F32:H32" si="10">+F25+F30+F31</f>
        <v>1559824.0427999999</v>
      </c>
      <c r="G32" s="163">
        <f t="shared" si="10"/>
        <v>560186.61049999995</v>
      </c>
      <c r="H32" s="163">
        <f t="shared" si="10"/>
        <v>758123.48989999993</v>
      </c>
      <c r="I32" s="163">
        <f>SUM(I29:I31)</f>
        <v>4546012.54</v>
      </c>
      <c r="J32" s="172"/>
      <c r="K32" s="209">
        <f>+K25+K30+K31</f>
        <v>4546012.54</v>
      </c>
    </row>
    <row r="33" spans="2:14">
      <c r="E33" s="163"/>
      <c r="F33" s="163"/>
      <c r="G33" s="163"/>
      <c r="H33" s="163"/>
      <c r="I33" s="163"/>
      <c r="J33" s="172"/>
      <c r="K33" s="163"/>
    </row>
    <row r="34" spans="2:14">
      <c r="B34" s="193">
        <v>2016</v>
      </c>
      <c r="C34" s="194"/>
      <c r="D34" s="194"/>
      <c r="E34" s="195"/>
      <c r="F34" s="195"/>
      <c r="G34" s="195"/>
      <c r="H34" s="195"/>
      <c r="I34" s="195"/>
      <c r="J34" s="172"/>
      <c r="K34" s="221">
        <f>+B34</f>
        <v>2016</v>
      </c>
      <c r="L34" s="221"/>
    </row>
    <row r="35" spans="2:14">
      <c r="B35" s="181" t="s">
        <v>337</v>
      </c>
      <c r="C35" s="146"/>
      <c r="D35" s="146"/>
      <c r="E35" s="163">
        <v>2752991</v>
      </c>
      <c r="F35" s="172">
        <v>2025454</v>
      </c>
      <c r="G35" s="163">
        <v>533042</v>
      </c>
      <c r="H35" s="163">
        <v>325944</v>
      </c>
      <c r="I35" s="163">
        <f>SUM(E35:H35)</f>
        <v>5637431</v>
      </c>
      <c r="J35" s="172"/>
      <c r="K35" s="163">
        <f>I35*(1-$K$7)</f>
        <v>5637431</v>
      </c>
      <c r="L35" s="146"/>
    </row>
    <row r="36" spans="2:14">
      <c r="B36" s="174" t="s">
        <v>339</v>
      </c>
      <c r="E36" s="192">
        <v>459803</v>
      </c>
      <c r="F36" s="228">
        <v>480362</v>
      </c>
      <c r="G36" s="192">
        <v>10977</v>
      </c>
      <c r="H36" s="192">
        <v>7174</v>
      </c>
      <c r="I36" s="192">
        <f>SUM(E36:H36)</f>
        <v>958316</v>
      </c>
      <c r="J36" s="172"/>
      <c r="K36" s="192">
        <f>I36*(1-$K$7)</f>
        <v>958316</v>
      </c>
    </row>
    <row r="37" spans="2:14">
      <c r="B37" s="174" t="s">
        <v>338</v>
      </c>
      <c r="E37" s="163">
        <f t="shared" ref="E37:I37" si="11">SUM(E35:E36)</f>
        <v>3212794</v>
      </c>
      <c r="F37" s="172">
        <f t="shared" si="11"/>
        <v>2505816</v>
      </c>
      <c r="G37" s="163">
        <f t="shared" si="11"/>
        <v>544019</v>
      </c>
      <c r="H37" s="163">
        <f t="shared" si="11"/>
        <v>333118</v>
      </c>
      <c r="I37" s="163">
        <f t="shared" si="11"/>
        <v>6595747</v>
      </c>
      <c r="J37" s="172"/>
      <c r="K37" s="163">
        <f>+K35+K36</f>
        <v>6595747</v>
      </c>
    </row>
    <row r="38" spans="2:14">
      <c r="E38" s="163"/>
      <c r="F38" s="172"/>
      <c r="G38" s="163"/>
      <c r="H38" s="163"/>
      <c r="I38" s="163"/>
      <c r="J38" s="172"/>
      <c r="K38" s="163"/>
    </row>
    <row r="39" spans="2:14">
      <c r="B39" s="174" t="s">
        <v>341</v>
      </c>
      <c r="E39" s="183">
        <f>+E36/E37</f>
        <v>0.14311624087943392</v>
      </c>
      <c r="F39" s="183">
        <f t="shared" ref="F39:I39" si="12">+F36/F37</f>
        <v>0.19169883183761297</v>
      </c>
      <c r="G39" s="183">
        <f>+G36/G37</f>
        <v>2.0177604091033585E-2</v>
      </c>
      <c r="H39" s="183">
        <f>+H36/H37</f>
        <v>2.1535912199280735E-2</v>
      </c>
      <c r="I39" s="183">
        <f t="shared" si="12"/>
        <v>0.1452930198808414</v>
      </c>
      <c r="J39" s="183"/>
      <c r="K39" s="208">
        <f>AVERAGE(E39:H39)</f>
        <v>9.4132147251840312E-2</v>
      </c>
      <c r="L39" s="189"/>
    </row>
    <row r="40" spans="2:14">
      <c r="E40" s="172"/>
      <c r="F40" s="172"/>
      <c r="G40" s="172"/>
      <c r="H40" s="172"/>
      <c r="I40" s="172"/>
      <c r="J40" s="172"/>
      <c r="K40" s="209"/>
      <c r="L40" s="189"/>
    </row>
    <row r="41" spans="2:14">
      <c r="B41" s="174" t="s">
        <v>338</v>
      </c>
      <c r="E41" s="163">
        <f>E37</f>
        <v>3212794</v>
      </c>
      <c r="F41" s="172">
        <f t="shared" ref="F41:H41" si="13">F37</f>
        <v>2505816</v>
      </c>
      <c r="G41" s="163">
        <f t="shared" si="13"/>
        <v>544019</v>
      </c>
      <c r="H41" s="163">
        <f t="shared" si="13"/>
        <v>333118</v>
      </c>
      <c r="I41" s="163">
        <f>SUM(E41:H41)</f>
        <v>6595747</v>
      </c>
      <c r="J41" s="172"/>
      <c r="K41" s="209">
        <f>I41*(1-$K$7)</f>
        <v>6595747</v>
      </c>
      <c r="L41" s="189"/>
    </row>
    <row r="42" spans="2:14" ht="45">
      <c r="B42" s="226" t="s">
        <v>348</v>
      </c>
      <c r="C42" s="235">
        <f>+C30</f>
        <v>0.67130000000000001</v>
      </c>
      <c r="D42" s="218"/>
      <c r="E42" s="172" t="e">
        <f>-$C$30*'Summary of Data'!#REF!</f>
        <v>#REF!</v>
      </c>
      <c r="F42" s="172" t="e">
        <f>-$C$30*'Summary of Data'!#REF!</f>
        <v>#REF!</v>
      </c>
      <c r="G42" s="172" t="e">
        <f>-$C$30*'Summary of Data'!#REF!</f>
        <v>#REF!</v>
      </c>
      <c r="H42" s="172" t="e">
        <f>-$C$30*'Summary of Data'!#REF!</f>
        <v>#REF!</v>
      </c>
      <c r="I42" s="163" t="e">
        <f>SUM(E42:H42)</f>
        <v>#REF!</v>
      </c>
      <c r="J42" s="172"/>
      <c r="K42" s="209" t="e">
        <f>I42*(1-$K$7)</f>
        <v>#REF!</v>
      </c>
    </row>
    <row r="43" spans="2:14" ht="14.45" customHeight="1">
      <c r="B43" s="174" t="s">
        <v>359</v>
      </c>
      <c r="C43" s="174"/>
      <c r="D43" s="174"/>
      <c r="E43" s="228">
        <v>-53954</v>
      </c>
      <c r="F43" s="228">
        <v>-99661</v>
      </c>
      <c r="G43" s="228">
        <v>-4193</v>
      </c>
      <c r="H43" s="228">
        <v>-6110</v>
      </c>
      <c r="I43" s="192">
        <f>SUM(E43:H43)</f>
        <v>-163918</v>
      </c>
      <c r="J43" s="172"/>
      <c r="K43" s="228">
        <f>I43*(1-$K$7)</f>
        <v>-163918</v>
      </c>
    </row>
    <row r="44" spans="2:14">
      <c r="B44" t="s">
        <v>349</v>
      </c>
      <c r="E44" s="163" t="e">
        <f>+E37+E42+E43</f>
        <v>#REF!</v>
      </c>
      <c r="F44" s="172" t="e">
        <f t="shared" ref="F44:H44" si="14">+F37+F42+F43</f>
        <v>#REF!</v>
      </c>
      <c r="G44" s="163" t="e">
        <f t="shared" si="14"/>
        <v>#REF!</v>
      </c>
      <c r="H44" s="163" t="e">
        <f t="shared" si="14"/>
        <v>#REF!</v>
      </c>
      <c r="I44" s="163" t="e">
        <f>SUM(I41:I43)</f>
        <v>#REF!</v>
      </c>
      <c r="J44" s="172"/>
      <c r="K44" s="209" t="e">
        <f>SUM(K41:K43)</f>
        <v>#REF!</v>
      </c>
    </row>
    <row r="45" spans="2:14" ht="15.75" thickBot="1">
      <c r="B45"/>
      <c r="E45" s="1"/>
      <c r="F45" s="1"/>
      <c r="G45" s="1"/>
      <c r="H45" s="1"/>
      <c r="I45" s="215"/>
      <c r="J45" s="1"/>
      <c r="K45" s="191"/>
    </row>
    <row r="46" spans="2:14">
      <c r="B46" s="180" t="s">
        <v>365</v>
      </c>
      <c r="C46" s="175"/>
      <c r="D46" s="175"/>
      <c r="E46" s="176"/>
      <c r="F46" s="176"/>
      <c r="G46" s="176"/>
      <c r="H46" s="176"/>
      <c r="I46" s="176"/>
      <c r="J46" s="184"/>
      <c r="K46" s="219" t="s">
        <v>370</v>
      </c>
      <c r="L46" s="220"/>
    </row>
    <row r="47" spans="2:14">
      <c r="B47" s="174" t="s">
        <v>352</v>
      </c>
      <c r="C47" s="212" t="s">
        <v>357</v>
      </c>
      <c r="D47" s="212" t="s">
        <v>358</v>
      </c>
      <c r="E47" s="1"/>
      <c r="F47" s="1"/>
      <c r="G47" s="1"/>
      <c r="H47" s="1"/>
      <c r="I47" s="1"/>
      <c r="J47" s="1"/>
      <c r="K47" s="200"/>
      <c r="L47" s="201"/>
    </row>
    <row r="48" spans="2:14">
      <c r="B48" s="197" t="s">
        <v>381</v>
      </c>
      <c r="C48" s="241">
        <v>0.5</v>
      </c>
      <c r="D48" s="242">
        <f>+K15</f>
        <v>0.12613324157034062</v>
      </c>
      <c r="E48" s="172">
        <f>+E20*$D48*$C48</f>
        <v>96378.138281188192</v>
      </c>
      <c r="F48" s="172">
        <f>+F20*$D48*$C48</f>
        <v>89994.018308782426</v>
      </c>
      <c r="G48" s="172">
        <f>+G20*$D48*$C48</f>
        <v>41841.959316369808</v>
      </c>
      <c r="H48" s="172">
        <f>+H20*$D48*$C48</f>
        <v>67227.621373714093</v>
      </c>
      <c r="I48" s="172">
        <f>+I20*$D48*$C48</f>
        <v>295441.73728005454</v>
      </c>
      <c r="J48" s="1"/>
      <c r="K48" s="202">
        <f>+K20*$D$48*$C$48</f>
        <v>295441.73728005454</v>
      </c>
      <c r="L48" s="201"/>
      <c r="M48" s="151"/>
      <c r="N48" s="144"/>
    </row>
    <row r="49" spans="2:15">
      <c r="B49" s="197" t="s">
        <v>382</v>
      </c>
      <c r="C49" s="241">
        <v>0.32</v>
      </c>
      <c r="D49" s="242">
        <f>D48</f>
        <v>0.12613324157034062</v>
      </c>
      <c r="E49" s="172">
        <f>+E20*$D49*$C49</f>
        <v>61682.008499960444</v>
      </c>
      <c r="F49" s="172">
        <f>+F20*$D49*$C49</f>
        <v>57596.171717620753</v>
      </c>
      <c r="G49" s="172">
        <f>+G20*$D49*$C49</f>
        <v>26778.853962476678</v>
      </c>
      <c r="H49" s="172">
        <f>+H20*$D49*$C49</f>
        <v>43025.677679177017</v>
      </c>
      <c r="I49" s="172">
        <f>+I20*$D49*$C49</f>
        <v>189082.7118592349</v>
      </c>
      <c r="J49" s="1"/>
      <c r="K49" s="203">
        <f>+K20*$D$49*$C$49</f>
        <v>189082.7118592349</v>
      </c>
      <c r="L49" s="201"/>
    </row>
    <row r="50" spans="2:15">
      <c r="B50" s="197" t="s">
        <v>383</v>
      </c>
      <c r="C50" s="241">
        <v>0.18</v>
      </c>
      <c r="D50" s="242">
        <f>D49</f>
        <v>0.12613324157034062</v>
      </c>
      <c r="E50" s="172">
        <f>+E20*$D50*$C50</f>
        <v>34696.129781227748</v>
      </c>
      <c r="F50" s="172">
        <f>+F20*$D50*$C50</f>
        <v>32397.846591161673</v>
      </c>
      <c r="G50" s="172">
        <f>+G20*$D50*$C50</f>
        <v>15063.10535389313</v>
      </c>
      <c r="H50" s="172">
        <f>+H20*$D50*$C50</f>
        <v>24201.943694537073</v>
      </c>
      <c r="I50" s="172">
        <f>+I20*$D50*$C50</f>
        <v>106359.02542081963</v>
      </c>
      <c r="J50" s="1"/>
      <c r="K50" s="203">
        <f>+K20*$D$50*$C$50</f>
        <v>106359.02542081963</v>
      </c>
      <c r="L50" s="201"/>
    </row>
    <row r="51" spans="2:15">
      <c r="B51" s="197" t="s">
        <v>384</v>
      </c>
      <c r="C51" s="243">
        <v>0.32</v>
      </c>
      <c r="D51" s="244">
        <f>+K27</f>
        <v>0.10388119033761897</v>
      </c>
      <c r="E51" s="172">
        <f>+E32*$D51*$C51</f>
        <v>55443.581823354747</v>
      </c>
      <c r="F51" s="172">
        <f>+F32*$D51*$C51</f>
        <v>51851.641050656355</v>
      </c>
      <c r="G51" s="172">
        <f>+G32*$D51*$C51</f>
        <v>18621.712611179559</v>
      </c>
      <c r="H51" s="172">
        <f>+H32*$D51*$C51</f>
        <v>25201.526577190991</v>
      </c>
      <c r="I51" s="172">
        <f>+I32*$D51*$C51</f>
        <v>151118.46206238164</v>
      </c>
      <c r="J51" s="1"/>
      <c r="K51" s="203">
        <f>+K32*$D$51*$C$51</f>
        <v>151118.46206238164</v>
      </c>
      <c r="L51" s="201"/>
      <c r="M51" s="146"/>
      <c r="N51" s="144"/>
    </row>
    <row r="52" spans="2:15">
      <c r="B52" s="197" t="s">
        <v>386</v>
      </c>
      <c r="C52" s="243">
        <v>0.18</v>
      </c>
      <c r="D52" s="244">
        <f>D51</f>
        <v>0.10388119033761897</v>
      </c>
      <c r="E52" s="172">
        <f>+E32*$D52*$C52</f>
        <v>31187.014775637042</v>
      </c>
      <c r="F52" s="172">
        <f>+F32*$D52*$C52</f>
        <v>29166.548090994198</v>
      </c>
      <c r="G52" s="172">
        <f>+G32*$D52*$C52</f>
        <v>10474.7133437885</v>
      </c>
      <c r="H52" s="172">
        <f>+H32*$D52*$C52</f>
        <v>14175.858699669931</v>
      </c>
      <c r="I52" s="172">
        <f>+I32*$D52*$C52</f>
        <v>85004.134910089677</v>
      </c>
      <c r="J52" s="1"/>
      <c r="K52" s="203">
        <f>+K32*$D$52*$C$52</f>
        <v>85004.134910089677</v>
      </c>
      <c r="L52" s="201"/>
    </row>
    <row r="53" spans="2:15">
      <c r="B53" s="197" t="s">
        <v>387</v>
      </c>
      <c r="C53" s="245">
        <v>0.18</v>
      </c>
      <c r="D53" s="246">
        <f>+K39</f>
        <v>9.4132147251840312E-2</v>
      </c>
      <c r="E53" s="228" t="e">
        <f>+E44*$D53*$C53</f>
        <v>#REF!</v>
      </c>
      <c r="F53" s="228" t="e">
        <f>+F44*$D53*$C53</f>
        <v>#REF!</v>
      </c>
      <c r="G53" s="228" t="e">
        <f>+G44*$D53*$C53</f>
        <v>#REF!</v>
      </c>
      <c r="H53" s="228" t="e">
        <f>+H44*$D53*$C53</f>
        <v>#REF!</v>
      </c>
      <c r="I53" s="228" t="e">
        <f>+I44*$D53*$C53</f>
        <v>#REF!</v>
      </c>
      <c r="J53" s="1"/>
      <c r="K53" s="204" t="e">
        <f>+K44*$D$53*$C$53</f>
        <v>#REF!</v>
      </c>
      <c r="L53" s="255" t="s">
        <v>390</v>
      </c>
      <c r="M53" t="s">
        <v>391</v>
      </c>
      <c r="N53" s="144"/>
    </row>
    <row r="54" spans="2:15">
      <c r="B54" s="211" t="s">
        <v>360</v>
      </c>
      <c r="E54" s="1" t="e">
        <f>SUM(E48:E53)</f>
        <v>#REF!</v>
      </c>
      <c r="F54" s="1" t="e">
        <f>SUM(F48:F53)</f>
        <v>#REF!</v>
      </c>
      <c r="G54" s="1" t="e">
        <f>SUM(G48:G53)</f>
        <v>#REF!</v>
      </c>
      <c r="H54" s="1" t="e">
        <f>SUM(H48:H53)</f>
        <v>#REF!</v>
      </c>
      <c r="I54" s="1" t="e">
        <f>SUM(I48:I53)</f>
        <v>#REF!</v>
      </c>
      <c r="J54" s="1"/>
      <c r="K54" s="205" t="e">
        <f>SUM(K48:K53)</f>
        <v>#REF!</v>
      </c>
      <c r="L54" s="257" t="e">
        <f>K54/K13</f>
        <v>#REF!</v>
      </c>
      <c r="M54" t="s">
        <v>392</v>
      </c>
    </row>
    <row r="55" spans="2:15">
      <c r="B55"/>
      <c r="E55" s="1"/>
      <c r="F55" s="1"/>
      <c r="G55" s="1"/>
      <c r="H55" s="1"/>
      <c r="I55" s="253"/>
      <c r="J55" s="1"/>
      <c r="K55" s="205"/>
      <c r="L55" s="201"/>
    </row>
    <row r="56" spans="2:15">
      <c r="B56" s="174" t="s">
        <v>361</v>
      </c>
      <c r="D56" s="234">
        <v>0.24</v>
      </c>
      <c r="E56" s="198" t="e">
        <f>-E54*$D$56</f>
        <v>#REF!</v>
      </c>
      <c r="F56" s="198" t="e">
        <f>-F54*$D$56</f>
        <v>#REF!</v>
      </c>
      <c r="G56" s="198" t="e">
        <f>-G54*$D$56</f>
        <v>#REF!</v>
      </c>
      <c r="H56" s="198" t="e">
        <f>-H54*$D$56</f>
        <v>#REF!</v>
      </c>
      <c r="I56" s="198" t="e">
        <f>-I54*$D$56</f>
        <v>#REF!</v>
      </c>
      <c r="J56" s="1"/>
      <c r="K56" s="206" t="e">
        <f>-K54*$D$56</f>
        <v>#REF!</v>
      </c>
      <c r="L56" s="201"/>
    </row>
    <row r="57" spans="2:15">
      <c r="E57" s="1"/>
      <c r="F57" s="1"/>
      <c r="G57" s="1"/>
      <c r="H57" s="1"/>
      <c r="I57" s="4"/>
      <c r="J57" s="4"/>
      <c r="K57" s="200"/>
      <c r="L57" s="201"/>
    </row>
    <row r="58" spans="2:15" ht="15.75" thickBot="1">
      <c r="B58" s="123" t="s">
        <v>362</v>
      </c>
      <c r="E58" s="214" t="e">
        <f>SUM(E54:E56)</f>
        <v>#REF!</v>
      </c>
      <c r="F58" s="214" t="e">
        <f>SUM(F54:F56)</f>
        <v>#REF!</v>
      </c>
      <c r="G58" s="214" t="e">
        <f>SUM(G54:G56)</f>
        <v>#REF!</v>
      </c>
      <c r="H58" s="214" t="e">
        <f>SUM(H54:H56)</f>
        <v>#REF!</v>
      </c>
      <c r="I58" s="213" t="e">
        <f>SUM(I54:I56)</f>
        <v>#REF!</v>
      </c>
      <c r="J58" s="1"/>
      <c r="K58" s="207" t="e">
        <f>SUM(K54:K56)</f>
        <v>#REF!</v>
      </c>
      <c r="L58" s="256" t="e">
        <f>K58/K13</f>
        <v>#REF!</v>
      </c>
    </row>
    <row r="59" spans="2:15" ht="16.5" thickTop="1" thickBot="1">
      <c r="B59" s="259" t="s">
        <v>385</v>
      </c>
      <c r="E59" s="214" t="e">
        <f>ROUND(E58,-3)</f>
        <v>#REF!</v>
      </c>
      <c r="F59" s="214" t="e">
        <f t="shared" ref="F59:H59" si="15">ROUND(F58,-3)</f>
        <v>#REF!</v>
      </c>
      <c r="G59" s="214" t="e">
        <f t="shared" si="15"/>
        <v>#REF!</v>
      </c>
      <c r="H59" s="214" t="e">
        <f t="shared" si="15"/>
        <v>#REF!</v>
      </c>
      <c r="I59" s="213" t="e">
        <f>SUM(E59:H59)</f>
        <v>#REF!</v>
      </c>
      <c r="J59" s="251"/>
      <c r="K59" s="252"/>
    </row>
    <row r="60" spans="2:15" ht="15.75" thickTop="1">
      <c r="B60"/>
      <c r="D60" s="236" t="s">
        <v>388</v>
      </c>
      <c r="E60" s="253"/>
      <c r="F60" s="253"/>
      <c r="G60" s="253"/>
      <c r="H60" s="253"/>
      <c r="I60" s="253" t="e">
        <f>I59/I12</f>
        <v>#REF!</v>
      </c>
      <c r="J60" s="1"/>
      <c r="K60" s="237"/>
    </row>
    <row r="61" spans="2:15">
      <c r="E61" s="1"/>
      <c r="F61" s="1"/>
      <c r="G61" s="1"/>
      <c r="H61" s="1"/>
      <c r="I61" s="1"/>
      <c r="J61" s="1"/>
    </row>
    <row r="62" spans="2:15">
      <c r="B62" s="258" t="s">
        <v>380</v>
      </c>
      <c r="C62" s="247"/>
      <c r="D62" s="247"/>
      <c r="E62" s="248"/>
      <c r="F62" s="248"/>
      <c r="G62" s="248"/>
      <c r="H62" s="248"/>
      <c r="I62" s="121"/>
      <c r="J62" s="254" t="s">
        <v>389</v>
      </c>
      <c r="N62" s="232"/>
      <c r="O62" s="231"/>
    </row>
    <row r="63" spans="2:15">
      <c r="B63" s="174" t="s">
        <v>378</v>
      </c>
      <c r="E63" s="1" t="e">
        <f>ROUND((E48+E51+E53)+(((E48+E51+E53)/E54)*E56),-3)</f>
        <v>#REF!</v>
      </c>
      <c r="F63" s="1" t="e">
        <f>ROUND((F48+F51+F53)+(((F48+F51+F53)/F54)*F56),-3)</f>
        <v>#REF!</v>
      </c>
      <c r="G63" s="1" t="e">
        <f>ROUND((G48+G51+G53)+(((G48+G51+G53)/G54)*G56),-3)</f>
        <v>#REF!</v>
      </c>
      <c r="H63" s="1" t="e">
        <f t="shared" ref="H63" si="16">ROUND((H48+H51+H53)+(((H48+H51+H53)/H54)*H56),-3)</f>
        <v>#REF!</v>
      </c>
      <c r="I63" s="1" t="e">
        <f>SUM(E63:H63)</f>
        <v>#REF!</v>
      </c>
      <c r="J63" s="238" t="e">
        <f>I63/I65</f>
        <v>#REF!</v>
      </c>
      <c r="N63" s="232"/>
      <c r="O63" s="231"/>
    </row>
    <row r="64" spans="2:15">
      <c r="B64" s="174" t="s">
        <v>379</v>
      </c>
      <c r="E64" s="198" t="e">
        <f>E59-E63</f>
        <v>#REF!</v>
      </c>
      <c r="F64" s="198" t="e">
        <f>F59-F63</f>
        <v>#REF!</v>
      </c>
      <c r="G64" s="198" t="e">
        <f t="shared" ref="G64:H64" si="17">G59-G63</f>
        <v>#REF!</v>
      </c>
      <c r="H64" s="198" t="e">
        <f t="shared" si="17"/>
        <v>#REF!</v>
      </c>
      <c r="I64" s="198" t="e">
        <f>SUM(E64:H64)</f>
        <v>#REF!</v>
      </c>
      <c r="J64" s="238" t="e">
        <f>I64/I65</f>
        <v>#REF!</v>
      </c>
      <c r="N64" s="232"/>
      <c r="O64" s="231"/>
    </row>
    <row r="65" spans="1:15" ht="15.75" thickBot="1">
      <c r="B65" s="123" t="s">
        <v>362</v>
      </c>
      <c r="E65" s="214" t="e">
        <f>SUM(E63:E64)</f>
        <v>#REF!</v>
      </c>
      <c r="F65" s="214" t="e">
        <f t="shared" ref="F65:G65" si="18">SUM(F63:F64)</f>
        <v>#REF!</v>
      </c>
      <c r="G65" s="214" t="e">
        <f t="shared" si="18"/>
        <v>#REF!</v>
      </c>
      <c r="H65" s="214" t="e">
        <f>SUM(H63:H64)</f>
        <v>#REF!</v>
      </c>
      <c r="I65" s="213" t="e">
        <f>SUM(I63:I64)</f>
        <v>#REF!</v>
      </c>
      <c r="J65" s="1"/>
      <c r="N65" s="232"/>
      <c r="O65" s="231"/>
    </row>
    <row r="66" spans="1:15" ht="15.75" thickTop="1">
      <c r="C66" s="212"/>
      <c r="D66" s="236" t="s">
        <v>393</v>
      </c>
      <c r="E66" s="237" t="e">
        <f>E68-E65</f>
        <v>#REF!</v>
      </c>
      <c r="F66" s="237" t="e">
        <f>F68-F65</f>
        <v>#REF!</v>
      </c>
      <c r="G66" s="237" t="e">
        <f>G68-G65</f>
        <v>#REF!</v>
      </c>
      <c r="H66" s="237" t="e">
        <f>H68-H65</f>
        <v>#REF!</v>
      </c>
      <c r="I66" s="237" t="e">
        <f>I68-I65</f>
        <v>#REF!</v>
      </c>
      <c r="J66" s="1"/>
      <c r="N66" s="232"/>
      <c r="O66" s="231"/>
    </row>
    <row r="67" spans="1:15">
      <c r="E67" s="1"/>
      <c r="F67" s="1"/>
      <c r="G67" s="1"/>
      <c r="H67" s="1"/>
      <c r="I67" s="1"/>
      <c r="J67" s="1"/>
      <c r="K67" s="232"/>
      <c r="N67" s="232"/>
      <c r="O67" s="231"/>
    </row>
    <row r="68" spans="1:15" ht="15.75" thickBot="1">
      <c r="B68" s="239">
        <v>2017</v>
      </c>
      <c r="C68" s="240"/>
      <c r="D68" s="240"/>
      <c r="E68" s="249" t="e">
        <f>'Chargeback Analysis 2017'!E65</f>
        <v>#REF!</v>
      </c>
      <c r="F68" s="249" t="e">
        <f>'Chargeback Analysis 2017'!F65</f>
        <v>#REF!</v>
      </c>
      <c r="G68" s="249" t="e">
        <f>'Chargeback Analysis 2017'!G65</f>
        <v>#REF!</v>
      </c>
      <c r="H68" s="249" t="e">
        <f>'Chargeback Analysis 2017'!H65</f>
        <v>#REF!</v>
      </c>
      <c r="I68" s="249" t="e">
        <f>SUM(E68:H68)</f>
        <v>#REF!</v>
      </c>
      <c r="J68" s="123"/>
      <c r="K68" s="4"/>
    </row>
    <row r="69" spans="1:15" ht="15.75" hidden="1" thickTop="1">
      <c r="B69" s="239"/>
      <c r="C69" s="240"/>
      <c r="D69" s="240"/>
      <c r="E69" s="240"/>
      <c r="F69" s="240"/>
      <c r="G69" s="240"/>
      <c r="H69" s="240"/>
      <c r="I69" s="240"/>
      <c r="J69" s="123"/>
      <c r="K69" s="123"/>
      <c r="N69" s="233"/>
    </row>
    <row r="70" spans="1:15" ht="16.5" hidden="1" thickTop="1" thickBot="1">
      <c r="B70" s="239">
        <v>2015</v>
      </c>
      <c r="C70" s="240"/>
      <c r="D70" s="240"/>
      <c r="E70" s="249" t="e">
        <f>+#REF!</f>
        <v>#REF!</v>
      </c>
      <c r="F70" s="249" t="e">
        <f>+#REF!</f>
        <v>#REF!</v>
      </c>
      <c r="G70" s="249" t="e">
        <f>+#REF!</f>
        <v>#REF!</v>
      </c>
      <c r="H70" s="249" t="e">
        <f>+#REF!</f>
        <v>#REF!</v>
      </c>
      <c r="I70" s="249" t="e">
        <f>SUM(E70:H70)</f>
        <v>#REF!</v>
      </c>
      <c r="J70" s="123"/>
      <c r="K70" s="4"/>
    </row>
    <row r="71" spans="1:15" ht="15.75" thickTop="1"/>
    <row r="73" spans="1:15">
      <c r="A73" s="152"/>
    </row>
  </sheetData>
  <mergeCells count="2">
    <mergeCell ref="A1:L1"/>
    <mergeCell ref="A2:L2"/>
  </mergeCells>
  <pageMargins left="0.25" right="0.25" top="0.75" bottom="0.75" header="0.3" footer="0.3"/>
  <pageSetup scale="53" fitToHeight="2" orientation="landscape" r:id="rId1"/>
  <rowBreaks count="1" manualBreakCount="1">
    <brk id="33"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70"/>
  <sheetViews>
    <sheetView workbookViewId="0">
      <selection sqref="A1:L1"/>
    </sheetView>
  </sheetViews>
  <sheetFormatPr defaultColWidth="8.85546875" defaultRowHeight="15"/>
  <cols>
    <col min="1" max="1" width="5.85546875" customWidth="1"/>
    <col min="2" max="2" width="38.28515625" style="174" customWidth="1"/>
    <col min="3" max="3" width="6.42578125" customWidth="1"/>
    <col min="4" max="4" width="7.5703125" customWidth="1"/>
    <col min="5" max="5" width="12.28515625" customWidth="1"/>
    <col min="6" max="7" width="11.140625" bestFit="1" customWidth="1"/>
    <col min="8" max="8" width="11.28515625" customWidth="1"/>
    <col min="9" max="9" width="13.28515625" customWidth="1"/>
    <col min="10" max="10" width="4.85546875" bestFit="1" customWidth="1"/>
    <col min="11" max="11" width="24.28515625" bestFit="1" customWidth="1"/>
    <col min="12" max="12" width="17.5703125" customWidth="1"/>
    <col min="13" max="13" width="12.28515625" bestFit="1" customWidth="1"/>
    <col min="14" max="14" width="11.140625" bestFit="1" customWidth="1"/>
  </cols>
  <sheetData>
    <row r="1" spans="1:12" ht="18.75">
      <c r="A1" s="320" t="s">
        <v>374</v>
      </c>
      <c r="B1" s="321"/>
      <c r="C1" s="321"/>
      <c r="D1" s="321"/>
      <c r="E1" s="321"/>
      <c r="F1" s="321"/>
      <c r="G1" s="321"/>
      <c r="H1" s="321"/>
      <c r="I1" s="321"/>
      <c r="J1" s="321"/>
      <c r="K1" s="321"/>
      <c r="L1" s="322"/>
    </row>
    <row r="2" spans="1:12" ht="19.5" thickBot="1">
      <c r="A2" s="323" t="s">
        <v>368</v>
      </c>
      <c r="B2" s="324"/>
      <c r="C2" s="324"/>
      <c r="D2" s="324"/>
      <c r="E2" s="324"/>
      <c r="F2" s="324"/>
      <c r="G2" s="324"/>
      <c r="H2" s="324"/>
      <c r="I2" s="324"/>
      <c r="J2" s="324"/>
      <c r="K2" s="324"/>
      <c r="L2" s="325"/>
    </row>
    <row r="3" spans="1:12">
      <c r="A3" s="222"/>
      <c r="B3" s="222"/>
      <c r="C3" s="222"/>
      <c r="D3" s="222"/>
      <c r="E3" s="222"/>
      <c r="F3" s="222"/>
      <c r="G3" s="222"/>
      <c r="H3" s="222"/>
      <c r="I3" s="222"/>
      <c r="J3" s="222"/>
      <c r="K3" s="222"/>
      <c r="L3" s="222"/>
    </row>
    <row r="4" spans="1:12">
      <c r="E4" s="223"/>
      <c r="F4" s="223"/>
      <c r="G4" s="223"/>
      <c r="H4" s="223"/>
      <c r="I4" s="224"/>
    </row>
    <row r="5" spans="1:12" ht="30.75" thickBot="1">
      <c r="A5" s="177"/>
      <c r="B5" s="180"/>
      <c r="C5" s="177"/>
      <c r="D5" s="177"/>
      <c r="E5" s="178" t="s">
        <v>375</v>
      </c>
      <c r="F5" s="178" t="s">
        <v>371</v>
      </c>
      <c r="G5" s="178" t="s">
        <v>373</v>
      </c>
      <c r="H5" s="178" t="s">
        <v>372</v>
      </c>
      <c r="I5" s="178" t="s">
        <v>300</v>
      </c>
      <c r="J5" s="182"/>
      <c r="K5" s="199" t="s">
        <v>369</v>
      </c>
      <c r="L5" s="199" t="s">
        <v>363</v>
      </c>
    </row>
    <row r="6" spans="1:12">
      <c r="A6" s="185"/>
      <c r="B6" s="186"/>
      <c r="C6" s="185"/>
      <c r="D6" s="185"/>
      <c r="E6" s="182"/>
      <c r="F6" s="182"/>
      <c r="G6" s="182"/>
      <c r="H6" s="182"/>
      <c r="I6" s="182"/>
      <c r="J6" s="182"/>
      <c r="K6" s="187"/>
    </row>
    <row r="7" spans="1:12" ht="15" hidden="1" customHeight="1">
      <c r="A7" s="153"/>
      <c r="B7" s="179"/>
      <c r="C7" s="153"/>
      <c r="D7" s="153"/>
      <c r="I7" s="216" t="s">
        <v>367</v>
      </c>
      <c r="K7" s="188">
        <v>0</v>
      </c>
      <c r="L7" s="190" t="s">
        <v>364</v>
      </c>
    </row>
    <row r="8" spans="1:12">
      <c r="A8" s="153"/>
      <c r="B8" s="179"/>
      <c r="C8" s="153"/>
      <c r="D8" s="153"/>
      <c r="I8" s="216" t="s">
        <v>366</v>
      </c>
      <c r="K8" s="188">
        <v>0</v>
      </c>
      <c r="L8" s="190" t="s">
        <v>364</v>
      </c>
    </row>
    <row r="9" spans="1:12">
      <c r="A9" s="153"/>
      <c r="B9" s="179"/>
      <c r="C9" s="153"/>
      <c r="D9" s="153"/>
      <c r="K9" s="188"/>
      <c r="L9" s="190"/>
    </row>
    <row r="10" spans="1:12" s="146" customFormat="1">
      <c r="B10" s="193">
        <v>2017</v>
      </c>
      <c r="C10" s="194"/>
      <c r="D10" s="194"/>
      <c r="E10" s="195"/>
      <c r="F10" s="195"/>
      <c r="G10" s="195"/>
      <c r="H10" s="195"/>
      <c r="I10" s="196"/>
      <c r="K10" s="221">
        <f>+B10</f>
        <v>2017</v>
      </c>
      <c r="L10" s="221"/>
    </row>
    <row r="11" spans="1:12" s="146" customFormat="1">
      <c r="B11" s="181" t="s">
        <v>337</v>
      </c>
      <c r="E11" s="163">
        <v>2287617</v>
      </c>
      <c r="F11" s="163">
        <v>2017501</v>
      </c>
      <c r="G11" s="163">
        <v>938631</v>
      </c>
      <c r="H11" s="163">
        <v>1039209</v>
      </c>
      <c r="I11" s="163">
        <f>SUM(E11:H11)</f>
        <v>6282958</v>
      </c>
      <c r="J11" s="172"/>
      <c r="K11" s="163">
        <f>I11*(1-$K$7)</f>
        <v>6282958</v>
      </c>
    </row>
    <row r="12" spans="1:12">
      <c r="B12" s="174" t="s">
        <v>339</v>
      </c>
      <c r="E12" s="192">
        <v>402560</v>
      </c>
      <c r="F12" s="192">
        <v>373090</v>
      </c>
      <c r="G12" s="192">
        <v>73728</v>
      </c>
      <c r="H12" s="192">
        <v>39917</v>
      </c>
      <c r="I12" s="192">
        <f>SUM(E12:H12)</f>
        <v>889295</v>
      </c>
      <c r="J12" s="172"/>
      <c r="K12" s="192">
        <f>I12*(1-$K$7)</f>
        <v>889295</v>
      </c>
    </row>
    <row r="13" spans="1:12">
      <c r="B13" s="174" t="s">
        <v>338</v>
      </c>
      <c r="E13" s="163">
        <f t="shared" ref="E13:I13" si="0">SUM(E11:E12)</f>
        <v>2690177</v>
      </c>
      <c r="F13" s="163">
        <f t="shared" si="0"/>
        <v>2390591</v>
      </c>
      <c r="G13" s="163">
        <f t="shared" si="0"/>
        <v>1012359</v>
      </c>
      <c r="H13" s="163">
        <f t="shared" si="0"/>
        <v>1079126</v>
      </c>
      <c r="I13" s="163">
        <f t="shared" si="0"/>
        <v>7172253</v>
      </c>
      <c r="J13" s="172"/>
      <c r="K13" s="163">
        <f t="shared" ref="K13" si="1">SUM(K11:K12)</f>
        <v>7172253</v>
      </c>
    </row>
    <row r="14" spans="1:12">
      <c r="E14" s="163"/>
      <c r="F14" s="163"/>
      <c r="G14" s="163"/>
      <c r="H14" s="163"/>
      <c r="I14" s="163"/>
      <c r="J14" s="172"/>
      <c r="K14" s="163"/>
    </row>
    <row r="15" spans="1:12">
      <c r="B15" s="174" t="s">
        <v>341</v>
      </c>
      <c r="E15" s="183">
        <f>+E12/E13</f>
        <v>0.14964071137326651</v>
      </c>
      <c r="F15" s="183">
        <f t="shared" ref="F15:I15" si="2">+F12/F13</f>
        <v>0.15606601045515522</v>
      </c>
      <c r="G15" s="183">
        <f t="shared" si="2"/>
        <v>7.282791973993416E-2</v>
      </c>
      <c r="H15" s="183">
        <f t="shared" si="2"/>
        <v>3.6990119782119975E-2</v>
      </c>
      <c r="I15" s="183">
        <f t="shared" si="2"/>
        <v>0.12399102485648512</v>
      </c>
      <c r="J15" s="183"/>
      <c r="K15" s="208">
        <f>AVERAGE(E15:H15)</f>
        <v>0.10388119033761897</v>
      </c>
      <c r="L15" s="189"/>
    </row>
    <row r="16" spans="1:12">
      <c r="E16" s="172"/>
      <c r="F16" s="172"/>
      <c r="G16" s="172"/>
      <c r="H16" s="172"/>
      <c r="I16" s="172"/>
      <c r="J16" s="172"/>
      <c r="K16" s="227"/>
      <c r="L16" s="189"/>
    </row>
    <row r="17" spans="2:17">
      <c r="B17" s="174" t="s">
        <v>338</v>
      </c>
      <c r="E17" s="163">
        <f>E13</f>
        <v>2690177</v>
      </c>
      <c r="F17" s="163">
        <f t="shared" ref="F17:H17" si="3">F13</f>
        <v>2390591</v>
      </c>
      <c r="G17" s="163">
        <f t="shared" si="3"/>
        <v>1012359</v>
      </c>
      <c r="H17" s="163">
        <f t="shared" si="3"/>
        <v>1079126</v>
      </c>
      <c r="I17" s="163">
        <f>SUM(E17:H17)</f>
        <v>7172253</v>
      </c>
      <c r="J17" s="172"/>
      <c r="K17" s="227">
        <f>K13</f>
        <v>7172253</v>
      </c>
      <c r="L17" s="189"/>
    </row>
    <row r="18" spans="2:17" ht="45">
      <c r="B18" s="226" t="s">
        <v>348</v>
      </c>
      <c r="C18" s="235">
        <v>0.67130000000000001</v>
      </c>
      <c r="D18" s="217"/>
      <c r="E18" s="172" t="e">
        <f>-'Summary of Data'!#REF!*$C$18</f>
        <v>#REF!</v>
      </c>
      <c r="F18" s="172" t="e">
        <f>-'Summary of Data'!#REF!*$C$18</f>
        <v>#REF!</v>
      </c>
      <c r="G18" s="172" t="e">
        <f>-'Summary of Data'!#REF!*$C$18</f>
        <v>#REF!</v>
      </c>
      <c r="H18" s="172" t="e">
        <f>-'Summary of Data'!#REF!*$C$18</f>
        <v>#REF!</v>
      </c>
      <c r="I18" s="172" t="e">
        <f>SUM(E18:H18)</f>
        <v>#REF!</v>
      </c>
      <c r="J18" s="172"/>
      <c r="K18" s="209" t="e">
        <f>I18*(1-$K$7)</f>
        <v>#REF!</v>
      </c>
    </row>
    <row r="19" spans="2:17">
      <c r="B19" s="174" t="s">
        <v>359</v>
      </c>
      <c r="C19" s="174"/>
      <c r="D19" s="174"/>
      <c r="E19" s="228">
        <v>0</v>
      </c>
      <c r="F19" s="228">
        <v>-110164</v>
      </c>
      <c r="G19" s="228">
        <v>-11521</v>
      </c>
      <c r="H19" s="228">
        <v>-4500</v>
      </c>
      <c r="I19" s="228">
        <f>SUM(E19:H19)</f>
        <v>-126185</v>
      </c>
      <c r="J19" s="172"/>
      <c r="K19" s="228">
        <f>I19*(1-$K$7)</f>
        <v>-126185</v>
      </c>
    </row>
    <row r="20" spans="2:17">
      <c r="B20" t="s">
        <v>349</v>
      </c>
      <c r="E20" s="163" t="e">
        <f>+E13+E18+E19</f>
        <v>#REF!</v>
      </c>
      <c r="F20" s="163" t="e">
        <f t="shared" ref="F20:H20" si="4">+F13+F18+F19</f>
        <v>#REF!</v>
      </c>
      <c r="G20" s="163" t="e">
        <f t="shared" si="4"/>
        <v>#REF!</v>
      </c>
      <c r="H20" s="163" t="e">
        <f t="shared" si="4"/>
        <v>#REF!</v>
      </c>
      <c r="I20" s="163" t="e">
        <f>SUM(I17:I19)</f>
        <v>#REF!</v>
      </c>
      <c r="J20" s="172"/>
      <c r="K20" s="209" t="e">
        <f>+K13+K18+K19</f>
        <v>#REF!</v>
      </c>
    </row>
    <row r="21" spans="2:17">
      <c r="E21" s="163"/>
      <c r="F21" s="163"/>
      <c r="G21" s="163"/>
      <c r="H21" s="163"/>
      <c r="I21" s="163"/>
      <c r="J21" s="172"/>
      <c r="K21" s="163"/>
    </row>
    <row r="22" spans="2:17">
      <c r="B22" s="193">
        <v>2016</v>
      </c>
      <c r="C22" s="194"/>
      <c r="D22" s="194"/>
      <c r="E22" s="195"/>
      <c r="F22" s="195"/>
      <c r="G22" s="229"/>
      <c r="H22" s="229"/>
      <c r="I22" s="195"/>
      <c r="J22" s="172"/>
      <c r="K22" s="221">
        <f>+B22</f>
        <v>2016</v>
      </c>
      <c r="L22" s="221"/>
    </row>
    <row r="23" spans="2:17">
      <c r="B23" s="181" t="s">
        <v>337</v>
      </c>
      <c r="C23" s="146"/>
      <c r="D23" s="146"/>
      <c r="E23" s="163">
        <v>2752991</v>
      </c>
      <c r="F23" s="172">
        <v>2025454</v>
      </c>
      <c r="G23" s="163">
        <v>533042</v>
      </c>
      <c r="H23" s="163">
        <v>325944</v>
      </c>
      <c r="I23" s="163">
        <f>SUM(E23:H23)</f>
        <v>5637431</v>
      </c>
      <c r="J23" s="172"/>
      <c r="K23" s="163">
        <f>I23*(1-$K$7)</f>
        <v>5637431</v>
      </c>
      <c r="L23" s="146"/>
    </row>
    <row r="24" spans="2:17">
      <c r="B24" s="174" t="s">
        <v>339</v>
      </c>
      <c r="E24" s="192">
        <v>459803</v>
      </c>
      <c r="F24" s="228">
        <v>480362</v>
      </c>
      <c r="G24" s="192">
        <v>10977</v>
      </c>
      <c r="H24" s="192">
        <v>7174</v>
      </c>
      <c r="I24" s="192">
        <f>SUM(E24:H24)</f>
        <v>958316</v>
      </c>
      <c r="J24" s="172"/>
      <c r="K24" s="192">
        <f>I24*(1-$K$7)</f>
        <v>958316</v>
      </c>
    </row>
    <row r="25" spans="2:17">
      <c r="B25" s="174" t="s">
        <v>338</v>
      </c>
      <c r="E25" s="163">
        <f t="shared" ref="E25:K25" si="5">SUM(E23:E24)</f>
        <v>3212794</v>
      </c>
      <c r="F25" s="172">
        <f t="shared" si="5"/>
        <v>2505816</v>
      </c>
      <c r="G25" s="163">
        <f t="shared" si="5"/>
        <v>544019</v>
      </c>
      <c r="H25" s="163">
        <f t="shared" si="5"/>
        <v>333118</v>
      </c>
      <c r="I25" s="163">
        <f t="shared" si="5"/>
        <v>6595747</v>
      </c>
      <c r="J25" s="172"/>
      <c r="K25" s="163">
        <f t="shared" si="5"/>
        <v>6595747</v>
      </c>
    </row>
    <row r="26" spans="2:17">
      <c r="E26" s="163"/>
      <c r="F26" s="172"/>
      <c r="G26" s="163"/>
      <c r="H26" s="163"/>
      <c r="I26" s="163"/>
      <c r="J26" s="172"/>
      <c r="K26" s="163"/>
    </row>
    <row r="27" spans="2:17">
      <c r="B27" s="174" t="s">
        <v>341</v>
      </c>
      <c r="E27" s="183">
        <f>+E24/E25</f>
        <v>0.14311624087943392</v>
      </c>
      <c r="F27" s="183">
        <f t="shared" ref="F27:I27" si="6">+F24/F25</f>
        <v>0.19169883183761297</v>
      </c>
      <c r="G27" s="183">
        <f t="shared" si="6"/>
        <v>2.0177604091033585E-2</v>
      </c>
      <c r="H27" s="183">
        <f t="shared" si="6"/>
        <v>2.1535912199280735E-2</v>
      </c>
      <c r="I27" s="183">
        <f t="shared" si="6"/>
        <v>0.1452930198808414</v>
      </c>
      <c r="J27" s="183"/>
      <c r="K27" s="208">
        <f>AVERAGE(E27:H27)</f>
        <v>9.4132147251840312E-2</v>
      </c>
      <c r="L27" s="189"/>
    </row>
    <row r="28" spans="2:17">
      <c r="E28" s="172"/>
      <c r="F28" s="172"/>
      <c r="G28" s="172"/>
      <c r="H28" s="172"/>
      <c r="I28" s="172"/>
      <c r="J28" s="172"/>
      <c r="K28" s="227"/>
      <c r="L28" s="189"/>
    </row>
    <row r="29" spans="2:17">
      <c r="B29" s="174" t="s">
        <v>338</v>
      </c>
      <c r="E29" s="163">
        <f>E25</f>
        <v>3212794</v>
      </c>
      <c r="F29" s="172">
        <f t="shared" ref="F29:K29" si="7">F25</f>
        <v>2505816</v>
      </c>
      <c r="G29" s="163">
        <f t="shared" si="7"/>
        <v>544019</v>
      </c>
      <c r="H29" s="163">
        <f t="shared" si="7"/>
        <v>333118</v>
      </c>
      <c r="I29" s="163">
        <f>SUM(E29:H29)</f>
        <v>6595747</v>
      </c>
      <c r="J29" s="172"/>
      <c r="K29" s="163">
        <f t="shared" si="7"/>
        <v>6595747</v>
      </c>
      <c r="L29" s="189"/>
    </row>
    <row r="30" spans="2:17" ht="45">
      <c r="B30" s="226" t="s">
        <v>348</v>
      </c>
      <c r="C30" s="235">
        <f>+C18</f>
        <v>0.67130000000000001</v>
      </c>
      <c r="D30" s="218"/>
      <c r="E30" s="172" t="e">
        <f>-$C$30*'Summary of Data'!#REF!</f>
        <v>#REF!</v>
      </c>
      <c r="F30" s="172" t="e">
        <f>-$C$30*'Summary of Data'!#REF!</f>
        <v>#REF!</v>
      </c>
      <c r="G30" s="172" t="e">
        <f>-$C$30*'Summary of Data'!#REF!</f>
        <v>#REF!</v>
      </c>
      <c r="H30" s="172" t="e">
        <f>-$C$30*'Summary of Data'!#REF!</f>
        <v>#REF!</v>
      </c>
      <c r="I30" s="163" t="e">
        <f>SUM(E30:H30)</f>
        <v>#REF!</v>
      </c>
      <c r="J30" s="172"/>
      <c r="K30" s="209" t="e">
        <f>I30*(1-$K$7)</f>
        <v>#REF!</v>
      </c>
    </row>
    <row r="31" spans="2:17" ht="14.45" customHeight="1">
      <c r="B31" s="174" t="s">
        <v>359</v>
      </c>
      <c r="C31" s="174"/>
      <c r="D31" s="174"/>
      <c r="E31" s="228">
        <v>-53954</v>
      </c>
      <c r="F31" s="228">
        <v>-99661</v>
      </c>
      <c r="G31" s="228">
        <v>-4193</v>
      </c>
      <c r="H31" s="228">
        <v>-6110</v>
      </c>
      <c r="I31" s="192">
        <f>SUM(E31:H31)</f>
        <v>-163918</v>
      </c>
      <c r="J31" s="209"/>
      <c r="K31" s="228">
        <f>I31*(1-$K$7)</f>
        <v>-163918</v>
      </c>
      <c r="M31" s="1"/>
      <c r="N31" s="1"/>
      <c r="O31" s="1"/>
      <c r="P31" s="1"/>
      <c r="Q31" s="1"/>
    </row>
    <row r="32" spans="2:17">
      <c r="B32" t="s">
        <v>349</v>
      </c>
      <c r="E32" s="163" t="e">
        <f>+E25+E30+E31</f>
        <v>#REF!</v>
      </c>
      <c r="F32" s="172" t="e">
        <f t="shared" ref="F32:H32" si="8">+F25+F30+F31</f>
        <v>#REF!</v>
      </c>
      <c r="G32" s="163" t="e">
        <f t="shared" si="8"/>
        <v>#REF!</v>
      </c>
      <c r="H32" s="163" t="e">
        <f t="shared" si="8"/>
        <v>#REF!</v>
      </c>
      <c r="I32" s="163" t="e">
        <f>SUM(I29:I31)</f>
        <v>#REF!</v>
      </c>
      <c r="J32" s="172"/>
      <c r="K32" s="209" t="e">
        <f>+K25+K30+K31</f>
        <v>#REF!</v>
      </c>
    </row>
    <row r="33" spans="2:14">
      <c r="E33" s="163"/>
      <c r="F33" s="163"/>
      <c r="G33" s="163"/>
      <c r="H33" s="163"/>
      <c r="I33" s="163"/>
      <c r="J33" s="172"/>
      <c r="K33" s="163"/>
    </row>
    <row r="34" spans="2:14">
      <c r="B34" s="193">
        <v>2015</v>
      </c>
      <c r="C34" s="194"/>
      <c r="D34" s="194"/>
      <c r="E34" s="195"/>
      <c r="F34" s="195"/>
      <c r="G34" s="195"/>
      <c r="H34" s="195"/>
      <c r="I34" s="195"/>
      <c r="J34" s="172"/>
      <c r="K34" s="221">
        <f>+B34</f>
        <v>2015</v>
      </c>
      <c r="L34" s="221"/>
    </row>
    <row r="35" spans="2:14">
      <c r="B35" s="181" t="s">
        <v>337</v>
      </c>
      <c r="C35" s="146"/>
      <c r="D35" s="146"/>
      <c r="E35" s="163">
        <v>3056686</v>
      </c>
      <c r="F35" s="163">
        <v>1921822</v>
      </c>
      <c r="G35" s="210"/>
      <c r="H35" s="210"/>
      <c r="I35" s="163">
        <f>SUM(E35:H35)</f>
        <v>4978508</v>
      </c>
      <c r="J35" s="172"/>
      <c r="K35" s="163">
        <f>I35*(1-$K$7)</f>
        <v>4978508</v>
      </c>
      <c r="L35" s="146"/>
    </row>
    <row r="36" spans="2:14">
      <c r="B36" s="174" t="s">
        <v>339</v>
      </c>
      <c r="E36" s="192">
        <v>222833</v>
      </c>
      <c r="F36" s="192">
        <v>471679</v>
      </c>
      <c r="G36" s="210"/>
      <c r="H36" s="210"/>
      <c r="I36" s="192">
        <f>SUM(E36:H36)</f>
        <v>694512</v>
      </c>
      <c r="J36" s="172"/>
      <c r="K36" s="192">
        <f>I36*(1-$K$7)</f>
        <v>694512</v>
      </c>
    </row>
    <row r="37" spans="2:14">
      <c r="B37" s="174" t="s">
        <v>338</v>
      </c>
      <c r="E37" s="163">
        <f t="shared" ref="E37:F37" si="9">SUM(E35:E36)</f>
        <v>3279519</v>
      </c>
      <c r="F37" s="163">
        <f t="shared" si="9"/>
        <v>2393501</v>
      </c>
      <c r="G37" s="210"/>
      <c r="H37" s="210"/>
      <c r="I37" s="163">
        <f t="shared" ref="I37" si="10">SUM(I35:I36)</f>
        <v>5673020</v>
      </c>
      <c r="J37" s="172"/>
      <c r="K37" s="163">
        <f>+K35+K36</f>
        <v>5673020</v>
      </c>
    </row>
    <row r="38" spans="2:14">
      <c r="E38" s="163"/>
      <c r="F38" s="163"/>
      <c r="G38" s="210"/>
      <c r="H38" s="210"/>
      <c r="I38" s="163"/>
      <c r="J38" s="172"/>
      <c r="K38" s="163"/>
    </row>
    <row r="39" spans="2:14">
      <c r="B39" s="174" t="s">
        <v>341</v>
      </c>
      <c r="E39" s="183">
        <f>+E36/E37</f>
        <v>6.7946854401514364E-2</v>
      </c>
      <c r="F39" s="183">
        <f t="shared" ref="F39" si="11">+F36/F37</f>
        <v>0.19706655647939983</v>
      </c>
      <c r="G39" s="183">
        <v>0</v>
      </c>
      <c r="H39" s="183">
        <v>0</v>
      </c>
      <c r="I39" s="183">
        <f>+I36/I37</f>
        <v>0.12242368262406972</v>
      </c>
      <c r="J39" s="183"/>
      <c r="K39" s="208">
        <f>AVERAGE(E39:F39)</f>
        <v>0.13250670544045709</v>
      </c>
      <c r="L39" s="189"/>
    </row>
    <row r="40" spans="2:14">
      <c r="E40" s="172"/>
      <c r="F40" s="172"/>
      <c r="G40" s="210"/>
      <c r="H40" s="210"/>
      <c r="I40" s="172"/>
      <c r="J40" s="172"/>
      <c r="K40" s="209"/>
      <c r="L40" s="189"/>
    </row>
    <row r="41" spans="2:14">
      <c r="B41" s="174" t="s">
        <v>338</v>
      </c>
      <c r="E41" s="163">
        <f t="shared" ref="E41:F41" si="12">E37</f>
        <v>3279519</v>
      </c>
      <c r="F41" s="163">
        <f t="shared" si="12"/>
        <v>2393501</v>
      </c>
      <c r="G41" s="210"/>
      <c r="H41" s="210"/>
      <c r="I41" s="163">
        <f>SUM(E41:H41)</f>
        <v>5673020</v>
      </c>
      <c r="J41" s="172"/>
      <c r="K41" s="209">
        <f>I41*(1-$K$7)</f>
        <v>5673020</v>
      </c>
      <c r="L41" s="189"/>
    </row>
    <row r="42" spans="2:14" ht="45">
      <c r="B42" s="226" t="s">
        <v>348</v>
      </c>
      <c r="C42" s="235">
        <f>+C30</f>
        <v>0.67130000000000001</v>
      </c>
      <c r="D42" s="218"/>
      <c r="E42" s="172" t="e">
        <f>-$C$42*'Summary of Data'!#REF!</f>
        <v>#REF!</v>
      </c>
      <c r="F42" s="172" t="e">
        <f>-$C$42*'Summary of Data'!#REF!</f>
        <v>#REF!</v>
      </c>
      <c r="G42" s="210"/>
      <c r="H42" s="210"/>
      <c r="I42" s="163" t="e">
        <f>SUM(E42:H42)</f>
        <v>#REF!</v>
      </c>
      <c r="J42" s="172"/>
      <c r="K42" s="209" t="e">
        <f>I42*(1-$K$7)</f>
        <v>#REF!</v>
      </c>
    </row>
    <row r="43" spans="2:14" ht="14.45" customHeight="1">
      <c r="B43" s="174" t="s">
        <v>359</v>
      </c>
      <c r="C43" s="174"/>
      <c r="D43" s="174"/>
      <c r="E43" s="228">
        <v>-95587</v>
      </c>
      <c r="F43" s="228">
        <v>-79204</v>
      </c>
      <c r="G43" s="210"/>
      <c r="H43" s="210"/>
      <c r="I43" s="192">
        <f>SUM(E43:H43)</f>
        <v>-174791</v>
      </c>
      <c r="J43" s="172"/>
      <c r="K43" s="228">
        <f>I43*(1-$K$7)</f>
        <v>-174791</v>
      </c>
    </row>
    <row r="44" spans="2:14">
      <c r="B44" t="s">
        <v>349</v>
      </c>
      <c r="E44" s="163" t="e">
        <f t="shared" ref="E44:F44" si="13">+E37+E42+E43</f>
        <v>#REF!</v>
      </c>
      <c r="F44" s="163" t="e">
        <f t="shared" si="13"/>
        <v>#REF!</v>
      </c>
      <c r="G44" s="230"/>
      <c r="H44" s="230"/>
      <c r="I44" s="163" t="e">
        <f>SUM(I41:I43)</f>
        <v>#REF!</v>
      </c>
      <c r="J44" s="172"/>
      <c r="K44" s="209" t="e">
        <f>SUM(K41:K43)</f>
        <v>#REF!</v>
      </c>
    </row>
    <row r="45" spans="2:14" ht="15.75" thickBot="1">
      <c r="B45"/>
      <c r="E45" s="1"/>
      <c r="F45" s="1"/>
      <c r="G45" s="1"/>
      <c r="H45" s="1"/>
      <c r="I45" s="215"/>
      <c r="J45" s="1"/>
      <c r="K45" s="191"/>
    </row>
    <row r="46" spans="2:14">
      <c r="B46" s="180" t="s">
        <v>365</v>
      </c>
      <c r="C46" s="175"/>
      <c r="D46" s="175"/>
      <c r="E46" s="176"/>
      <c r="F46" s="176"/>
      <c r="G46" s="176"/>
      <c r="H46" s="176"/>
      <c r="I46" s="176"/>
      <c r="J46" s="184"/>
      <c r="K46" s="219" t="s">
        <v>370</v>
      </c>
      <c r="L46" s="220"/>
    </row>
    <row r="47" spans="2:14">
      <c r="B47" s="174" t="s">
        <v>352</v>
      </c>
      <c r="C47" s="212" t="s">
        <v>357</v>
      </c>
      <c r="D47" s="212" t="s">
        <v>358</v>
      </c>
      <c r="E47" s="1"/>
      <c r="F47" s="1"/>
      <c r="G47" s="1"/>
      <c r="H47" s="1"/>
      <c r="I47" s="1"/>
      <c r="J47" s="1"/>
      <c r="K47" s="200"/>
      <c r="L47" s="201"/>
    </row>
    <row r="48" spans="2:14">
      <c r="B48" s="197" t="s">
        <v>381</v>
      </c>
      <c r="C48" s="241">
        <v>0.5</v>
      </c>
      <c r="D48" s="242">
        <f>+K15</f>
        <v>0.10388119033761897</v>
      </c>
      <c r="E48" s="172" t="e">
        <f>+E20*$D48*$C48</f>
        <v>#REF!</v>
      </c>
      <c r="F48" s="172" t="e">
        <f>+F20*$D48*$C48</f>
        <v>#REF!</v>
      </c>
      <c r="G48" s="172" t="e">
        <f>+G20*$D48*$C48</f>
        <v>#REF!</v>
      </c>
      <c r="H48" s="172" t="e">
        <f>+H20*$D48*$C48</f>
        <v>#REF!</v>
      </c>
      <c r="I48" s="172" t="e">
        <f>+I20*$D48*$C48</f>
        <v>#REF!</v>
      </c>
      <c r="J48" s="1"/>
      <c r="K48" s="202" t="e">
        <f>+K20*$D$48*$C$48</f>
        <v>#REF!</v>
      </c>
      <c r="L48" s="201"/>
      <c r="M48" s="151"/>
      <c r="N48" s="144"/>
    </row>
    <row r="49" spans="2:15">
      <c r="B49" s="197" t="s">
        <v>382</v>
      </c>
      <c r="C49" s="241">
        <v>0.32</v>
      </c>
      <c r="D49" s="242">
        <f>D48</f>
        <v>0.10388119033761897</v>
      </c>
      <c r="E49" s="172" t="e">
        <f>+E20*$D49*$C49</f>
        <v>#REF!</v>
      </c>
      <c r="F49" s="172" t="e">
        <f>+F20*$D49*$C49</f>
        <v>#REF!</v>
      </c>
      <c r="G49" s="172" t="e">
        <f>+G20*$D49*$C49</f>
        <v>#REF!</v>
      </c>
      <c r="H49" s="172" t="e">
        <f>+H20*$D49*$C49</f>
        <v>#REF!</v>
      </c>
      <c r="I49" s="172" t="e">
        <f>+I20*$D49*$C49</f>
        <v>#REF!</v>
      </c>
      <c r="J49" s="1"/>
      <c r="K49" s="203" t="e">
        <f>+K20*$D$49*$C$49</f>
        <v>#REF!</v>
      </c>
      <c r="L49" s="201"/>
    </row>
    <row r="50" spans="2:15">
      <c r="B50" s="197" t="s">
        <v>383</v>
      </c>
      <c r="C50" s="241">
        <v>0.18</v>
      </c>
      <c r="D50" s="242">
        <f>D49</f>
        <v>0.10388119033761897</v>
      </c>
      <c r="E50" s="172" t="e">
        <f>+E20*$D50*$C50</f>
        <v>#REF!</v>
      </c>
      <c r="F50" s="172" t="e">
        <f>+F20*$D50*$C50</f>
        <v>#REF!</v>
      </c>
      <c r="G50" s="172" t="e">
        <f>+G20*$D50*$C50</f>
        <v>#REF!</v>
      </c>
      <c r="H50" s="172" t="e">
        <f>+H20*$D50*$C50</f>
        <v>#REF!</v>
      </c>
      <c r="I50" s="172" t="e">
        <f>+I20*$D50*$C50</f>
        <v>#REF!</v>
      </c>
      <c r="J50" s="1"/>
      <c r="K50" s="203" t="e">
        <f>+K20*$D$50*$C$50</f>
        <v>#REF!</v>
      </c>
      <c r="L50" s="201"/>
    </row>
    <row r="51" spans="2:15">
      <c r="B51" s="197" t="s">
        <v>384</v>
      </c>
      <c r="C51" s="243">
        <v>0.32</v>
      </c>
      <c r="D51" s="244">
        <f>+K27</f>
        <v>9.4132147251840312E-2</v>
      </c>
      <c r="E51" s="172" t="e">
        <f>+E32*$D51*$C51</f>
        <v>#REF!</v>
      </c>
      <c r="F51" s="172" t="e">
        <f>+F32*$D51*$C51</f>
        <v>#REF!</v>
      </c>
      <c r="G51" s="172" t="e">
        <f>+G32*$D51*$C51</f>
        <v>#REF!</v>
      </c>
      <c r="H51" s="172" t="e">
        <f>+H32*$D51*$C51</f>
        <v>#REF!</v>
      </c>
      <c r="I51" s="172" t="e">
        <f>+I32*$D51*$C51</f>
        <v>#REF!</v>
      </c>
      <c r="J51" s="1"/>
      <c r="K51" s="203" t="e">
        <f>+K32*$D$51*$C$51</f>
        <v>#REF!</v>
      </c>
      <c r="L51" s="201"/>
      <c r="M51" s="146"/>
      <c r="N51" s="144"/>
    </row>
    <row r="52" spans="2:15">
      <c r="B52" s="197" t="s">
        <v>386</v>
      </c>
      <c r="C52" s="243">
        <v>0.18</v>
      </c>
      <c r="D52" s="244">
        <f>D51</f>
        <v>9.4132147251840312E-2</v>
      </c>
      <c r="E52" s="172" t="e">
        <f>+E32*$D52*$C52</f>
        <v>#REF!</v>
      </c>
      <c r="F52" s="172" t="e">
        <f>+F32*$D52*$C52</f>
        <v>#REF!</v>
      </c>
      <c r="G52" s="172" t="e">
        <f>+G32*$D52*$C52</f>
        <v>#REF!</v>
      </c>
      <c r="H52" s="172" t="e">
        <f>+H32*$D52*$C52</f>
        <v>#REF!</v>
      </c>
      <c r="I52" s="172" t="e">
        <f>+I32*$D52*$C52</f>
        <v>#REF!</v>
      </c>
      <c r="J52" s="1"/>
      <c r="K52" s="203" t="e">
        <f>+K32*$D$52*$C$52</f>
        <v>#REF!</v>
      </c>
      <c r="L52" s="201"/>
    </row>
    <row r="53" spans="2:15">
      <c r="B53" s="197" t="s">
        <v>387</v>
      </c>
      <c r="C53" s="245">
        <v>0.18</v>
      </c>
      <c r="D53" s="246">
        <f>+K39</f>
        <v>0.13250670544045709</v>
      </c>
      <c r="E53" s="228" t="e">
        <f>+E44*$D53*$C53</f>
        <v>#REF!</v>
      </c>
      <c r="F53" s="228" t="e">
        <f>+F44*$D53*$C53</f>
        <v>#REF!</v>
      </c>
      <c r="G53" s="228">
        <f>+G44*$D53*$C53</f>
        <v>0</v>
      </c>
      <c r="H53" s="228">
        <f>+H44*$D53*$C53</f>
        <v>0</v>
      </c>
      <c r="I53" s="228" t="e">
        <f>+I44*$D53*$C53</f>
        <v>#REF!</v>
      </c>
      <c r="J53" s="1"/>
      <c r="K53" s="204" t="e">
        <f>+K44*$D$53*$C$53</f>
        <v>#REF!</v>
      </c>
      <c r="L53" s="255" t="s">
        <v>390</v>
      </c>
      <c r="M53" t="s">
        <v>391</v>
      </c>
      <c r="N53" s="144"/>
    </row>
    <row r="54" spans="2:15">
      <c r="B54" s="211" t="s">
        <v>360</v>
      </c>
      <c r="E54" s="1" t="e">
        <f>SUM(E48:E53)</f>
        <v>#REF!</v>
      </c>
      <c r="F54" s="1" t="e">
        <f>SUM(F48:F53)</f>
        <v>#REF!</v>
      </c>
      <c r="G54" s="1" t="e">
        <f>SUM(G48:G53)</f>
        <v>#REF!</v>
      </c>
      <c r="H54" s="1" t="e">
        <f>SUM(H48:H53)</f>
        <v>#REF!</v>
      </c>
      <c r="I54" s="1" t="e">
        <f>SUM(I48:I53)</f>
        <v>#REF!</v>
      </c>
      <c r="J54" s="1"/>
      <c r="K54" s="205" t="e">
        <f>SUM(K48:K53)</f>
        <v>#REF!</v>
      </c>
      <c r="L54" s="257" t="e">
        <f>K54/K13</f>
        <v>#REF!</v>
      </c>
      <c r="M54" t="s">
        <v>392</v>
      </c>
    </row>
    <row r="55" spans="2:15">
      <c r="B55"/>
      <c r="E55" s="1"/>
      <c r="F55" s="1"/>
      <c r="G55" s="1"/>
      <c r="H55" s="1"/>
      <c r="I55" s="253"/>
      <c r="J55" s="1"/>
      <c r="K55" s="205"/>
      <c r="L55" s="201"/>
    </row>
    <row r="56" spans="2:15">
      <c r="B56" s="174" t="s">
        <v>361</v>
      </c>
      <c r="D56" s="234">
        <v>0.24</v>
      </c>
      <c r="E56" s="198" t="e">
        <f>-E54*$D$56</f>
        <v>#REF!</v>
      </c>
      <c r="F56" s="198" t="e">
        <f>-F54*$D$56</f>
        <v>#REF!</v>
      </c>
      <c r="G56" s="198" t="e">
        <f>-G54*$D$56</f>
        <v>#REF!</v>
      </c>
      <c r="H56" s="198" t="e">
        <f>-H54*$D$56</f>
        <v>#REF!</v>
      </c>
      <c r="I56" s="198" t="e">
        <f>-I54*$D$56</f>
        <v>#REF!</v>
      </c>
      <c r="J56" s="1"/>
      <c r="K56" s="206" t="e">
        <f>-K54*$D$56</f>
        <v>#REF!</v>
      </c>
      <c r="L56" s="201"/>
    </row>
    <row r="57" spans="2:15">
      <c r="E57" s="1"/>
      <c r="F57" s="1"/>
      <c r="G57" s="1"/>
      <c r="H57" s="1"/>
      <c r="I57" s="4"/>
      <c r="J57" s="4"/>
      <c r="K57" s="200"/>
      <c r="L57" s="201"/>
    </row>
    <row r="58" spans="2:15" ht="15.75" thickBot="1">
      <c r="B58" s="123" t="s">
        <v>362</v>
      </c>
      <c r="E58" s="214" t="e">
        <f>SUM(E54:E56)</f>
        <v>#REF!</v>
      </c>
      <c r="F58" s="214" t="e">
        <f>SUM(F54:F56)</f>
        <v>#REF!</v>
      </c>
      <c r="G58" s="214" t="e">
        <f>SUM(G54:G56)</f>
        <v>#REF!</v>
      </c>
      <c r="H58" s="214" t="e">
        <f>SUM(H54:H56)</f>
        <v>#REF!</v>
      </c>
      <c r="I58" s="213" t="e">
        <f>SUM(I54:I56)</f>
        <v>#REF!</v>
      </c>
      <c r="J58" s="1"/>
      <c r="K58" s="207" t="e">
        <f>SUM(K54:K56)</f>
        <v>#REF!</v>
      </c>
      <c r="L58" s="256" t="e">
        <f>K58/K13</f>
        <v>#REF!</v>
      </c>
    </row>
    <row r="59" spans="2:15" ht="16.5" thickTop="1" thickBot="1">
      <c r="B59" s="259" t="s">
        <v>385</v>
      </c>
      <c r="E59" s="214" t="e">
        <f>ROUND(E58,-3)</f>
        <v>#REF!</v>
      </c>
      <c r="F59" s="214" t="e">
        <f t="shared" ref="F59:H59" si="14">ROUND(F58,-3)</f>
        <v>#REF!</v>
      </c>
      <c r="G59" s="214" t="e">
        <f t="shared" si="14"/>
        <v>#REF!</v>
      </c>
      <c r="H59" s="214" t="e">
        <f t="shared" si="14"/>
        <v>#REF!</v>
      </c>
      <c r="I59" s="213" t="e">
        <f>SUM(E59:H59)</f>
        <v>#REF!</v>
      </c>
      <c r="J59" s="251"/>
      <c r="K59" s="252"/>
    </row>
    <row r="60" spans="2:15" ht="15.75" thickTop="1">
      <c r="B60"/>
      <c r="D60" s="236" t="s">
        <v>388</v>
      </c>
      <c r="E60" s="253"/>
      <c r="F60" s="253"/>
      <c r="G60" s="253"/>
      <c r="H60" s="253"/>
      <c r="I60" s="253" t="e">
        <f>I59/I12</f>
        <v>#REF!</v>
      </c>
      <c r="J60" s="1"/>
      <c r="K60" s="237"/>
    </row>
    <row r="61" spans="2:15">
      <c r="E61" s="1"/>
      <c r="F61" s="1"/>
      <c r="G61" s="1"/>
      <c r="H61" s="1"/>
      <c r="I61" s="1"/>
      <c r="J61" s="1"/>
    </row>
    <row r="62" spans="2:15">
      <c r="B62" s="258" t="s">
        <v>380</v>
      </c>
      <c r="C62" s="247"/>
      <c r="D62" s="247"/>
      <c r="E62" s="248"/>
      <c r="F62" s="248"/>
      <c r="G62" s="248"/>
      <c r="H62" s="248"/>
      <c r="I62" s="121"/>
      <c r="J62" s="254" t="s">
        <v>389</v>
      </c>
      <c r="N62" s="232"/>
      <c r="O62" s="231"/>
    </row>
    <row r="63" spans="2:15">
      <c r="B63" s="174" t="s">
        <v>378</v>
      </c>
      <c r="E63" s="1" t="e">
        <f>ROUND((E48+E51+E53)+(((E48+E51+E53)/E54)*E56),-3)</f>
        <v>#REF!</v>
      </c>
      <c r="F63" s="1" t="e">
        <f>ROUND((F48+F51+F53)+(((F48+F51+F53)/F54)*F56),-3)</f>
        <v>#REF!</v>
      </c>
      <c r="G63" s="1" t="e">
        <f>ROUND((G48+G51+G53)+(((G48+G51+G53)/G54)*G56),-3)</f>
        <v>#REF!</v>
      </c>
      <c r="H63" s="1" t="e">
        <f t="shared" ref="H63" si="15">ROUND((H48+H51+H53)+(((H48+H51+H53)/H54)*H56),-3)</f>
        <v>#REF!</v>
      </c>
      <c r="I63" s="1" t="e">
        <f>SUM(E63:H63)</f>
        <v>#REF!</v>
      </c>
      <c r="J63" s="238" t="e">
        <f>I63/I65</f>
        <v>#REF!</v>
      </c>
      <c r="N63" s="232"/>
      <c r="O63" s="231"/>
    </row>
    <row r="64" spans="2:15">
      <c r="B64" s="174" t="s">
        <v>379</v>
      </c>
      <c r="E64" s="198" t="e">
        <f>E59-E63</f>
        <v>#REF!</v>
      </c>
      <c r="F64" s="198" t="e">
        <f>F59-F63</f>
        <v>#REF!</v>
      </c>
      <c r="G64" s="198" t="e">
        <f t="shared" ref="G64:H64" si="16">G59-G63</f>
        <v>#REF!</v>
      </c>
      <c r="H64" s="198" t="e">
        <f t="shared" si="16"/>
        <v>#REF!</v>
      </c>
      <c r="I64" s="198" t="e">
        <f>SUM(E64:H64)</f>
        <v>#REF!</v>
      </c>
      <c r="J64" s="238" t="e">
        <f>I64/I65</f>
        <v>#REF!</v>
      </c>
      <c r="N64" s="232"/>
      <c r="O64" s="231"/>
    </row>
    <row r="65" spans="1:15" ht="15.75" thickBot="1">
      <c r="B65" s="123" t="s">
        <v>362</v>
      </c>
      <c r="E65" s="214" t="e">
        <f>SUM(E63:E64)</f>
        <v>#REF!</v>
      </c>
      <c r="F65" s="214" t="e">
        <f t="shared" ref="F65:G65" si="17">SUM(F63:F64)</f>
        <v>#REF!</v>
      </c>
      <c r="G65" s="214" t="e">
        <f t="shared" si="17"/>
        <v>#REF!</v>
      </c>
      <c r="H65" s="214" t="e">
        <f>SUM(H63:H64)</f>
        <v>#REF!</v>
      </c>
      <c r="I65" s="213" t="e">
        <f>SUM(I63:I64)</f>
        <v>#REF!</v>
      </c>
      <c r="J65" s="1"/>
      <c r="N65" s="232"/>
      <c r="O65" s="231"/>
    </row>
    <row r="66" spans="1:15" ht="15.75" hidden="1" thickTop="1">
      <c r="B66" s="239"/>
      <c r="C66" s="240"/>
      <c r="D66" s="240"/>
      <c r="E66" s="240"/>
      <c r="F66" s="240"/>
      <c r="G66" s="240"/>
      <c r="H66" s="240"/>
      <c r="I66" s="240"/>
      <c r="J66" s="123"/>
      <c r="K66" s="123"/>
      <c r="N66" s="233"/>
    </row>
    <row r="67" spans="1:15" ht="15.75" hidden="1" thickBot="1">
      <c r="B67" s="239">
        <v>2015</v>
      </c>
      <c r="C67" s="240"/>
      <c r="D67" s="240"/>
      <c r="E67" s="249" t="e">
        <f>+#REF!</f>
        <v>#REF!</v>
      </c>
      <c r="F67" s="249" t="e">
        <f>+#REF!</f>
        <v>#REF!</v>
      </c>
      <c r="G67" s="249" t="e">
        <f>+#REF!</f>
        <v>#REF!</v>
      </c>
      <c r="H67" s="249" t="e">
        <f>+#REF!</f>
        <v>#REF!</v>
      </c>
      <c r="I67" s="249" t="e">
        <f>SUM(E67:H67)</f>
        <v>#REF!</v>
      </c>
      <c r="J67" s="123"/>
      <c r="K67" s="4"/>
    </row>
    <row r="68" spans="1:15" ht="15.75" thickTop="1"/>
    <row r="70" spans="1:15">
      <c r="A70" s="152"/>
    </row>
  </sheetData>
  <mergeCells count="2">
    <mergeCell ref="A1:L1"/>
    <mergeCell ref="A2:L2"/>
  </mergeCells>
  <pageMargins left="0.25" right="0.25" top="0.75" bottom="0.75" header="0.3" footer="0.3"/>
  <pageSetup scale="53" fitToHeight="2" orientation="landscape" r:id="rId1"/>
  <rowBreaks count="1" manualBreakCount="1">
    <brk id="3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9"/>
  <sheetViews>
    <sheetView workbookViewId="0">
      <selection activeCell="D3" sqref="D3"/>
    </sheetView>
  </sheetViews>
  <sheetFormatPr defaultColWidth="9.140625" defaultRowHeight="12.75"/>
  <cols>
    <col min="1" max="1" width="32.140625" style="225" bestFit="1" customWidth="1"/>
    <col min="2" max="2" width="20.85546875" style="225" customWidth="1"/>
    <col min="3" max="3" width="12.7109375" style="225" customWidth="1"/>
    <col min="4" max="4" width="9.140625" style="225"/>
    <col min="5" max="5" width="12.42578125" style="225" customWidth="1"/>
    <col min="6" max="6" width="5" style="225" customWidth="1"/>
    <col min="7" max="7" width="12.42578125" style="225" customWidth="1"/>
    <col min="8" max="16384" width="9.140625" style="225"/>
  </cols>
  <sheetData>
    <row r="2" spans="1:7">
      <c r="A2" s="225" t="s">
        <v>446</v>
      </c>
      <c r="C2" s="225" t="s">
        <v>448</v>
      </c>
      <c r="E2" s="225" t="s">
        <v>448</v>
      </c>
      <c r="G2" s="225" t="s">
        <v>448</v>
      </c>
    </row>
    <row r="3" spans="1:7">
      <c r="A3" s="225" t="s">
        <v>447</v>
      </c>
      <c r="C3" s="225" t="s">
        <v>449</v>
      </c>
      <c r="E3" s="225" t="s">
        <v>450</v>
      </c>
      <c r="G3" s="225" t="s">
        <v>451</v>
      </c>
    </row>
    <row r="5" spans="1:7">
      <c r="C5" s="278">
        <v>2024</v>
      </c>
      <c r="E5" s="278">
        <v>2023</v>
      </c>
      <c r="G5" s="278">
        <v>2022</v>
      </c>
    </row>
    <row r="6" spans="1:7">
      <c r="C6" s="290" t="s">
        <v>474</v>
      </c>
      <c r="E6" s="290" t="s">
        <v>474</v>
      </c>
      <c r="G6" s="290" t="s">
        <v>474</v>
      </c>
    </row>
    <row r="7" spans="1:7">
      <c r="A7" s="225" t="s">
        <v>442</v>
      </c>
      <c r="B7" s="225" t="s">
        <v>413</v>
      </c>
      <c r="C7" s="263" t="e">
        <f>-'TB Links'!E3</f>
        <v>#VALUE!</v>
      </c>
      <c r="E7" s="263" t="e">
        <f>-'TB Links'!F3</f>
        <v>#VALUE!</v>
      </c>
      <c r="G7" s="263" t="e">
        <f>-'TB Links'!G3</f>
        <v>#VALUE!</v>
      </c>
    </row>
    <row r="8" spans="1:7">
      <c r="A8" s="225" t="s">
        <v>441</v>
      </c>
      <c r="B8" s="225" t="s">
        <v>414</v>
      </c>
      <c r="C8" s="263" t="e">
        <f>-SUMIF('TB Links'!$H$22:$H$412,'Summary of Data'!$B8,'TB Links'!$E$22:$E$412)</f>
        <v>#VALUE!</v>
      </c>
      <c r="E8" s="263" t="e">
        <f>-SUMIF('TB Links'!$H$22:$H$412,'Summary of Data'!$B8,'TB Links'!$F$22:$F$412)</f>
        <v>#VALUE!</v>
      </c>
      <c r="G8" s="263" t="e">
        <f>-SUMIF('TB Links'!$H$22:$H$412,'Summary of Data'!$B8,'TB Links'!$G$22:$G$412)</f>
        <v>#VALUE!</v>
      </c>
    </row>
    <row r="10" spans="1:7">
      <c r="A10" s="225" t="s">
        <v>415</v>
      </c>
      <c r="B10" s="225" t="s">
        <v>445</v>
      </c>
      <c r="C10" s="263" t="e">
        <f>SUMIF('TB Links'!$H$22:$H$412,'Summary of Data'!$B10,'TB Links'!$E$22:$E$412)</f>
        <v>#VALUE!</v>
      </c>
      <c r="E10" s="263" t="e">
        <f>SUMIF('TB Links'!$H$22:$H$412,'Summary of Data'!$B10,'TB Links'!$F$22:$F$412)</f>
        <v>#VALUE!</v>
      </c>
      <c r="G10" s="263" t="e">
        <f>SUMIF('TB Links'!$H$22:$H$412,'Summary of Data'!$B10,'TB Links'!$G$22:$G$412)</f>
        <v>#VALUE!</v>
      </c>
    </row>
    <row r="11" spans="1:7">
      <c r="C11" s="270"/>
      <c r="E11" s="270"/>
      <c r="G11" s="270"/>
    </row>
    <row r="12" spans="1:7">
      <c r="A12" s="225" t="s">
        <v>443</v>
      </c>
      <c r="B12" s="225" t="s">
        <v>377</v>
      </c>
      <c r="C12" s="263" t="e">
        <f>-SUMIF('TB Links'!$H$22:$H$412,'Summary of Data'!$B12,'TB Links'!$E$22:$E$412)</f>
        <v>#VALUE!</v>
      </c>
      <c r="E12" s="263" t="e">
        <f>-SUMIF('TB Links'!$H$22:$H$412,'Summary of Data'!$B12,'TB Links'!$F$22:$F$412)</f>
        <v>#VALUE!</v>
      </c>
      <c r="G12" s="263" t="e">
        <f>-SUMIF('TB Links'!$H$22:$H$412,'Summary of Data'!$B12,'TB Links'!$G$22:$G$412)</f>
        <v>#VALUE!</v>
      </c>
    </row>
    <row r="13" spans="1:7">
      <c r="C13" s="262"/>
      <c r="E13" s="262"/>
      <c r="G13" s="262"/>
    </row>
    <row r="14" spans="1:7">
      <c r="C14" s="262"/>
      <c r="E14" s="262"/>
      <c r="G14" s="262"/>
    </row>
    <row r="15" spans="1:7">
      <c r="C15" s="262"/>
      <c r="E15" s="262"/>
      <c r="G15" s="262"/>
    </row>
    <row r="16" spans="1:7">
      <c r="A16" s="225" t="str">
        <f>+A7</f>
        <v xml:space="preserve">Total F&amp;I Net - All Products </v>
      </c>
      <c r="C16" s="262" t="e">
        <f t="shared" ref="C16" si="0">+C7</f>
        <v>#VALUE!</v>
      </c>
      <c r="E16" s="262" t="e">
        <f t="shared" ref="E16" si="1">+E7</f>
        <v>#VALUE!</v>
      </c>
      <c r="G16" s="262" t="e">
        <f>+G7</f>
        <v>#VALUE!</v>
      </c>
    </row>
    <row r="17" spans="1:7">
      <c r="A17" s="225" t="str">
        <f>+A10</f>
        <v>Total Chargebacks</v>
      </c>
      <c r="C17" s="262" t="e">
        <f t="shared" ref="C17" si="2">+C10</f>
        <v>#VALUE!</v>
      </c>
      <c r="E17" s="262" t="e">
        <f t="shared" ref="E17" si="3">+E10</f>
        <v>#VALUE!</v>
      </c>
      <c r="G17" s="262" t="e">
        <f t="shared" ref="G17" si="4">+G10</f>
        <v>#VALUE!</v>
      </c>
    </row>
    <row r="18" spans="1:7">
      <c r="A18" s="225" t="s">
        <v>376</v>
      </c>
      <c r="C18" s="262" t="e">
        <f t="shared" ref="C18" si="5">SUM(C16:C17)</f>
        <v>#VALUE!</v>
      </c>
      <c r="E18" s="262" t="e">
        <f t="shared" ref="E18" si="6">SUM(E16:E17)</f>
        <v>#VALUE!</v>
      </c>
      <c r="G18" s="262" t="e">
        <f>SUM(G16:G17)</f>
        <v>#VALUE!</v>
      </c>
    </row>
    <row r="19" spans="1:7">
      <c r="C19" s="262"/>
      <c r="E19" s="262"/>
      <c r="G19" s="262"/>
    </row>
    <row r="20" spans="1:7">
      <c r="A20" s="225" t="str">
        <f>+A8</f>
        <v>Total Finance Only (Fin Res / Bank Res)</v>
      </c>
      <c r="C20" s="262" t="e">
        <f t="shared" ref="C20" si="7">+C8</f>
        <v>#VALUE!</v>
      </c>
      <c r="E20" s="262" t="e">
        <f t="shared" ref="E20" si="8">+E8</f>
        <v>#VALUE!</v>
      </c>
      <c r="G20" s="262" t="e">
        <f t="shared" ref="G20" si="9">+G8</f>
        <v>#VALUE!</v>
      </c>
    </row>
    <row r="21" spans="1:7">
      <c r="C21" s="262"/>
      <c r="E21" s="262"/>
      <c r="G21" s="262"/>
    </row>
    <row r="22" spans="1:7">
      <c r="A22" s="225" t="s">
        <v>377</v>
      </c>
      <c r="C22" s="262" t="e">
        <f t="shared" ref="C22" si="10">+C12</f>
        <v>#VALUE!</v>
      </c>
      <c r="E22" s="262" t="e">
        <f t="shared" ref="E22" si="11">+E12</f>
        <v>#VALUE!</v>
      </c>
      <c r="G22" s="262" t="e">
        <f t="shared" ref="G22" si="12">+G12</f>
        <v>#VALUE!</v>
      </c>
    </row>
    <row r="29" spans="1:7">
      <c r="E29" s="250"/>
      <c r="G29" s="25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22</vt:i4>
      </vt:variant>
    </vt:vector>
  </HeadingPairs>
  <TitlesOfParts>
    <vt:vector size="46" baseType="lpstr">
      <vt:lpstr>HAG Consolidated</vt:lpstr>
      <vt:lpstr>Instructions</vt:lpstr>
      <vt:lpstr>Chargeback Analysis 2024</vt:lpstr>
      <vt:lpstr>Chargeback Analysis 2021</vt:lpstr>
      <vt:lpstr>Chargeback Analysis 2020</vt:lpstr>
      <vt:lpstr>Chargeback Analysis 2019</vt:lpstr>
      <vt:lpstr>Chargeback Analysis 2018</vt:lpstr>
      <vt:lpstr>Chargeback Analysis 2017</vt:lpstr>
      <vt:lpstr>Summary of Data</vt:lpstr>
      <vt:lpstr>TB Links</vt:lpstr>
      <vt:lpstr>Label List</vt:lpstr>
      <vt:lpstr>SUMMARY FI (3)</vt:lpstr>
      <vt:lpstr>SUMMARY FI (2)</vt:lpstr>
      <vt:lpstr>SUMMARY FI</vt:lpstr>
      <vt:lpstr>New Vehicle</vt:lpstr>
      <vt:lpstr>Used Vehicle</vt:lpstr>
      <vt:lpstr>Service</vt:lpstr>
      <vt:lpstr>Parts &amp; Accessories</vt:lpstr>
      <vt:lpstr>Body Shop</vt:lpstr>
      <vt:lpstr>Dealership Totals</vt:lpstr>
      <vt:lpstr>CB 2016</vt:lpstr>
      <vt:lpstr>CB 2015</vt:lpstr>
      <vt:lpstr>2014</vt:lpstr>
      <vt:lpstr>Income Accounts</vt:lpstr>
      <vt:lpstr>'Chargeback Analysis 2017'!Print_Area</vt:lpstr>
      <vt:lpstr>'Chargeback Analysis 2018'!Print_Area</vt:lpstr>
      <vt:lpstr>'Chargeback Analysis 2019'!Print_Area</vt:lpstr>
      <vt:lpstr>'Chargeback Analysis 2020'!Print_Area</vt:lpstr>
      <vt:lpstr>'Chargeback Analysis 2021'!Print_Area</vt:lpstr>
      <vt:lpstr>'Chargeback Analysis 2024'!Print_Area</vt:lpstr>
      <vt:lpstr>'New Vehicle'!Print_Area</vt:lpstr>
      <vt:lpstr>'Parts &amp; Accessories'!Print_Area</vt:lpstr>
      <vt:lpstr>Service!Print_Area</vt:lpstr>
      <vt:lpstr>'Used Vehicle'!Print_Area</vt:lpstr>
      <vt:lpstr>'Chargeback Analysis 2017'!Print_Titles</vt:lpstr>
      <vt:lpstr>'Chargeback Analysis 2018'!Print_Titles</vt:lpstr>
      <vt:lpstr>'Chargeback Analysis 2019'!Print_Titles</vt:lpstr>
      <vt:lpstr>'Chargeback Analysis 2020'!Print_Titles</vt:lpstr>
      <vt:lpstr>'Chargeback Analysis 2021'!Print_Titles</vt:lpstr>
      <vt:lpstr>'Chargeback Analysis 2024'!Print_Titles</vt:lpstr>
      <vt:lpstr>'Dealership Totals'!Print_Titles</vt:lpstr>
      <vt:lpstr>'HAG Consolidated'!Print_Titles</vt:lpstr>
      <vt:lpstr>'New Vehicle'!Print_Titles</vt:lpstr>
      <vt:lpstr>'Parts &amp; Accessories'!Print_Titles</vt:lpstr>
      <vt:lpstr>Service!Print_Titles</vt:lpstr>
      <vt:lpstr>'Used Vehicle'!Print_Titles</vt:lpstr>
    </vt:vector>
  </TitlesOfParts>
  <Company>Cricket Communications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Fillmore, Faith</dc:creator>
  <cp:lastModifiedBy>Olivia Young</cp:lastModifiedBy>
  <cp:lastPrinted>2017-10-17T18:38:57Z</cp:lastPrinted>
  <dcterms:created xsi:type="dcterms:W3CDTF">2014-08-27T16:27:08Z</dcterms:created>
  <dcterms:modified xsi:type="dcterms:W3CDTF">2025-12-15T20:34:59Z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i4>20</vt:i4>
  </property>
  <property fmtid="{D5CDD505-2E9C-101B-9397-08002B2CF9AE}" pid="3" name="tabName">
    <vt:lpwstr>Audi Accounts Payable and Other Liabilities</vt:lpwstr>
  </property>
  <property fmtid="{D5CDD505-2E9C-101B-9397-08002B2CF9AE}" pid="4" name="tabIndex">
    <vt:lpwstr>I2</vt:lpwstr>
  </property>
  <property fmtid="{D5CDD505-2E9C-101B-9397-08002B2CF9AE}" pid="5" name="workpaperIndex">
    <vt:lpwstr>I2.00</vt:lpwstr>
  </property>
</Properties>
</file>